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1.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3.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drawings/drawing7.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drawings/drawing8.xml" ContentType="application/vnd.openxmlformats-officedocument.drawing+xml"/>
  <Override PartName="/xl/comments17.xml" ContentType="application/vnd.openxmlformats-officedocument.spreadsheetml.comments+xml"/>
  <Override PartName="/xl/threadedComments/threadedComment17.xml" ContentType="application/vnd.ms-excel.threadedcomments+xml"/>
  <Override PartName="/xl/drawings/drawing9.xml" ContentType="application/vnd.openxmlformats-officedocument.drawing+xml"/>
  <Override PartName="/xl/comments18.xml" ContentType="application/vnd.openxmlformats-officedocument.spreadsheetml.comments+xml"/>
  <Override PartName="/xl/threadedComments/threadedComment18.xml" ContentType="application/vnd.ms-excel.threadedcomments+xml"/>
  <Override PartName="/xl/drawings/drawing10.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drawings/drawing11.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drawings/drawing12.xml" ContentType="application/vnd.openxmlformats-officedocument.drawing+xml"/>
  <Override PartName="/xl/comments21.xml" ContentType="application/vnd.openxmlformats-officedocument.spreadsheetml.comments+xml"/>
  <Override PartName="/xl/threadedComments/threadedComment21.xml" ContentType="application/vnd.ms-excel.threaded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2.xml" ContentType="application/vnd.openxmlformats-officedocument.spreadsheetml.comments+xml"/>
  <Override PartName="/xl/threadedComments/threadedComment22.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23.xml" ContentType="application/vnd.openxmlformats-officedocument.spreadsheetml.comments+xml"/>
  <Override PartName="/xl/threadedComments/threadedComment23.xml" ContentType="application/vnd.ms-excel.threadedcomments+xml"/>
  <Override PartName="/xl/drawings/drawing19.xml" ContentType="application/vnd.openxmlformats-officedocument.drawing+xml"/>
  <Override PartName="/xl/drawings/drawing20.xml" ContentType="application/vnd.openxmlformats-officedocument.drawing+xml"/>
  <Override PartName="/xl/comments24.xml" ContentType="application/vnd.openxmlformats-officedocument.spreadsheetml.comments+xml"/>
  <Override PartName="/xl/threadedComments/threadedComment24.xml" ContentType="application/vnd.ms-excel.threadedcomments+xml"/>
  <Override PartName="/xl/drawings/drawing21.xml" ContentType="application/vnd.openxmlformats-officedocument.drawing+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drawings/drawing22.xml" ContentType="application/vnd.openxmlformats-officedocument.drawing+xml"/>
  <Override PartName="/xl/comments34.xml" ContentType="application/vnd.openxmlformats-officedocument.spreadsheetml.comments+xml"/>
  <Override PartName="/xl/threadedComments/threadedComment34.xml" ContentType="application/vnd.ms-excel.threadedcomments+xml"/>
  <Override PartName="/xl/drawings/drawing23.xml" ContentType="application/vnd.openxmlformats-officedocument.drawing+xml"/>
  <Override PartName="/xl/comments35.xml" ContentType="application/vnd.openxmlformats-officedocument.spreadsheetml.comments+xml"/>
  <Override PartName="/xl/threadedComments/threadedComment35.xml" ContentType="application/vnd.ms-excel.threadedcomments+xml"/>
  <Override PartName="/xl/drawings/drawing24.xml" ContentType="application/vnd.openxmlformats-officedocument.drawing+xml"/>
  <Override PartName="/xl/comments36.xml" ContentType="application/vnd.openxmlformats-officedocument.spreadsheetml.comments+xml"/>
  <Override PartName="/xl/threadedComments/threadedComment36.xml" ContentType="application/vnd.ms-excel.threadedcomments+xml"/>
  <Override PartName="/xl/drawings/drawing25.xml" ContentType="application/vnd.openxmlformats-officedocument.drawing+xml"/>
  <Override PartName="/xl/comments37.xml" ContentType="application/vnd.openxmlformats-officedocument.spreadsheetml.comments+xml"/>
  <Override PartName="/xl/threadedComments/threadedComment37.xml" ContentType="application/vnd.ms-excel.threadedcomments+xml"/>
  <Override PartName="/xl/drawings/drawing26.xml" ContentType="application/vnd.openxmlformats-officedocument.drawing+xml"/>
  <Override PartName="/xl/comments38.xml" ContentType="application/vnd.openxmlformats-officedocument.spreadsheetml.comments+xml"/>
  <Override PartName="/xl/threadedComments/threadedComment38.xml" ContentType="application/vnd.ms-excel.threadedcomments+xml"/>
  <Override PartName="/xl/drawings/drawing27.xml" ContentType="application/vnd.openxmlformats-officedocument.drawing+xml"/>
  <Override PartName="/xl/comments39.xml" ContentType="application/vnd.openxmlformats-officedocument.spreadsheetml.comments+xml"/>
  <Override PartName="/xl/threadedComments/threadedComment39.xml" ContentType="application/vnd.ms-excel.threadedcomments+xml"/>
  <Override PartName="/xl/drawings/drawing28.xml" ContentType="application/vnd.openxmlformats-officedocument.drawing+xml"/>
  <Override PartName="/xl/comments40.xml" ContentType="application/vnd.openxmlformats-officedocument.spreadsheetml.comments+xml"/>
  <Override PartName="/xl/threadedComments/threadedComment40.xml" ContentType="application/vnd.ms-excel.threadedcomments+xml"/>
  <Override PartName="/xl/drawings/drawing29.xml" ContentType="application/vnd.openxmlformats-officedocument.drawing+xml"/>
  <Override PartName="/xl/comments41.xml" ContentType="application/vnd.openxmlformats-officedocument.spreadsheetml.comments+xml"/>
  <Override PartName="/xl/threadedComments/threadedComment41.xml" ContentType="application/vnd.ms-excel.threadedcomments+xml"/>
  <Override PartName="/xl/drawings/drawing30.xml" ContentType="application/vnd.openxmlformats-officedocument.drawing+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comments60.xml" ContentType="application/vnd.openxmlformats-officedocument.spreadsheetml.comments+xml"/>
  <Override PartName="/xl/threadedComments/threadedComment60.xml" ContentType="application/vnd.ms-excel.threadedcomments+xml"/>
  <Override PartName="/xl/comments61.xml" ContentType="application/vnd.openxmlformats-officedocument.spreadsheetml.comments+xml"/>
  <Override PartName="/xl/threadedComments/threadedComment61.xml" ContentType="application/vnd.ms-excel.threadedcomments+xml"/>
  <Override PartName="/xl/comments62.xml" ContentType="application/vnd.openxmlformats-officedocument.spreadsheetml.comments+xml"/>
  <Override PartName="/xl/threadedComments/threadedComment62.xml" ContentType="application/vnd.ms-excel.threadedcomments+xml"/>
  <Override PartName="/xl/comments63.xml" ContentType="application/vnd.openxmlformats-officedocument.spreadsheetml.comments+xml"/>
  <Override PartName="/xl/threadedComments/threadedComment63.xml" ContentType="application/vnd.ms-excel.threadedcomments+xml"/>
  <Override PartName="/xl/comments64.xml" ContentType="application/vnd.openxmlformats-officedocument.spreadsheetml.comments+xml"/>
  <Override PartName="/xl/threadedComments/threadedComment64.xml" ContentType="application/vnd.ms-excel.threadedcomments+xml"/>
  <Override PartName="/xl/drawings/drawing34.xml" ContentType="application/vnd.openxmlformats-officedocument.drawing+xml"/>
  <Override PartName="/xl/drawings/drawing35.xml" ContentType="application/vnd.openxmlformats-officedocument.drawing+xml"/>
  <Override PartName="/xl/comments65.xml" ContentType="application/vnd.openxmlformats-officedocument.spreadsheetml.comments+xml"/>
  <Override PartName="/xl/threadedComments/threadedComment65.xml" ContentType="application/vnd.ms-excel.threadedcomments+xml"/>
  <Override PartName="/xl/drawings/drawing36.xml" ContentType="application/vnd.openxmlformats-officedocument.drawing+xml"/>
  <Override PartName="/xl/comments66.xml" ContentType="application/vnd.openxmlformats-officedocument.spreadsheetml.comments+xml"/>
  <Override PartName="/xl/threadedComments/threadedComment66.xml" ContentType="application/vnd.ms-excel.threadedcomments+xml"/>
  <Override PartName="/xl/drawings/drawing37.xml" ContentType="application/vnd.openxmlformats-officedocument.drawing+xml"/>
  <Override PartName="/xl/comments67.xml" ContentType="application/vnd.openxmlformats-officedocument.spreadsheetml.comments+xml"/>
  <Override PartName="/xl/threadedComments/threadedComment67.xml" ContentType="application/vnd.ms-excel.threadedcomments+xml"/>
  <Override PartName="/xl/drawings/drawing38.xml" ContentType="application/vnd.openxmlformats-officedocument.drawing+xml"/>
  <Override PartName="/xl/comments68.xml" ContentType="application/vnd.openxmlformats-officedocument.spreadsheetml.comments+xml"/>
  <Override PartName="/xl/drawings/drawing39.xml" ContentType="application/vnd.openxmlformats-officedocument.drawing+xml"/>
  <Override PartName="/xl/comments69.xml" ContentType="application/vnd.openxmlformats-officedocument.spreadsheetml.comments+xml"/>
  <Override PartName="/xl/threadedComments/threadedComment68.xml" ContentType="application/vnd.ms-excel.threadedcomments+xml"/>
  <Override PartName="/xl/comments70.xml" ContentType="application/vnd.openxmlformats-officedocument.spreadsheetml.comments+xml"/>
  <Override PartName="/xl/threadedComments/threadedComment69.xml" ContentType="application/vnd.ms-excel.threadedcomments+xml"/>
  <Override PartName="/xl/drawings/drawing40.xml" ContentType="application/vnd.openxmlformats-officedocument.drawing+xml"/>
  <Override PartName="/xl/comments71.xml" ContentType="application/vnd.openxmlformats-officedocument.spreadsheetml.comments+xml"/>
  <Override PartName="/xl/threadedComments/threadedComment70.xml" ContentType="application/vnd.ms-excel.threadedcomments+xml"/>
  <Override PartName="/xl/comments72.xml" ContentType="application/vnd.openxmlformats-officedocument.spreadsheetml.comments+xml"/>
  <Override PartName="/xl/threadedComments/threadedComment71.xml" ContentType="application/vnd.ms-excel.threadedcomments+xml"/>
  <Override PartName="/xl/comments73.xml" ContentType="application/vnd.openxmlformats-officedocument.spreadsheetml.comments+xml"/>
  <Override PartName="/xl/threadedComments/threadedComment72.xml" ContentType="application/vnd.ms-excel.threadedcomments+xml"/>
  <Override PartName="/xl/comments74.xml" ContentType="application/vnd.openxmlformats-officedocument.spreadsheetml.comments+xml"/>
  <Override PartName="/xl/threadedComments/threadedComment73.xml" ContentType="application/vnd.ms-excel.threadedcomments+xml"/>
  <Override PartName="/xl/comments75.xml" ContentType="application/vnd.openxmlformats-officedocument.spreadsheetml.comments+xml"/>
  <Override PartName="/xl/threadedComments/threadedComment74.xml" ContentType="application/vnd.ms-excel.threadedcomments+xml"/>
  <Override PartName="/xl/comments76.xml" ContentType="application/vnd.openxmlformats-officedocument.spreadsheetml.comments+xml"/>
  <Override PartName="/xl/threadedComments/threadedComment75.xml" ContentType="application/vnd.ms-excel.threadedcomments+xml"/>
  <Override PartName="/xl/comments77.xml" ContentType="application/vnd.openxmlformats-officedocument.spreadsheetml.comments+xml"/>
  <Override PartName="/xl/threadedComments/threadedComment76.xml" ContentType="application/vnd.ms-excel.threadedcomments+xml"/>
  <Override PartName="/xl/comments78.xml" ContentType="application/vnd.openxmlformats-officedocument.spreadsheetml.comments+xml"/>
  <Override PartName="/xl/threadedComments/threadedComment77.xml" ContentType="application/vnd.ms-excel.threadedcomments+xml"/>
  <Override PartName="/xl/drawings/drawing41.xml" ContentType="application/vnd.openxmlformats-officedocument.drawing+xml"/>
  <Override PartName="/xl/comments79.xml" ContentType="application/vnd.openxmlformats-officedocument.spreadsheetml.comments+xml"/>
  <Override PartName="/xl/threadedComments/threadedComment78.xml" ContentType="application/vnd.ms-excel.threadedcomments+xml"/>
  <Override PartName="/xl/comments80.xml" ContentType="application/vnd.openxmlformats-officedocument.spreadsheetml.comments+xml"/>
  <Override PartName="/xl/threadedComments/threadedComment79.xml" ContentType="application/vnd.ms-excel.threadedcomments+xml"/>
  <Override PartName="/xl/comments81.xml" ContentType="application/vnd.openxmlformats-officedocument.spreadsheetml.comments+xml"/>
  <Override PartName="/xl/threadedComments/threadedComment80.xml" ContentType="application/vnd.ms-excel.threadedcomments+xml"/>
  <Override PartName="/xl/comments82.xml" ContentType="application/vnd.openxmlformats-officedocument.spreadsheetml.comments+xml"/>
  <Override PartName="/xl/threadedComments/threadedComment81.xml" ContentType="application/vnd.ms-excel.threadedcomments+xml"/>
  <Override PartName="/xl/comments83.xml" ContentType="application/vnd.openxmlformats-officedocument.spreadsheetml.comments+xml"/>
  <Override PartName="/xl/threadedComments/threadedComment82.xml" ContentType="application/vnd.ms-excel.threadedcomments+xml"/>
  <Override PartName="/xl/comments84.xml" ContentType="application/vnd.openxmlformats-officedocument.spreadsheetml.comments+xml"/>
  <Override PartName="/xl/threadedComments/threadedComment83.xml" ContentType="application/vnd.ms-excel.threadedcomments+xml"/>
  <Override PartName="/xl/comments85.xml" ContentType="application/vnd.openxmlformats-officedocument.spreadsheetml.comments+xml"/>
  <Override PartName="/xl/threadedComments/threadedComment84.xml" ContentType="application/vnd.ms-excel.threadedcomments+xml"/>
  <Override PartName="/xl/comments86.xml" ContentType="application/vnd.openxmlformats-officedocument.spreadsheetml.comments+xml"/>
  <Override PartName="/xl/threadedComments/threadedComment85.xml" ContentType="application/vnd.ms-excel.threadedcomments+xml"/>
  <Override PartName="/xl/comments87.xml" ContentType="application/vnd.openxmlformats-officedocument.spreadsheetml.comments+xml"/>
  <Override PartName="/xl/threadedComments/threadedComment8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nv5inc-my.sharepoint.com/personal/andrewj_johnson_nv5_com/Documents/Documents/GitHub/Potential-Study-Tool/MeasureChar/"/>
    </mc:Choice>
  </mc:AlternateContent>
  <xr:revisionPtr revIDLastSave="0" documentId="8_{D28125CF-8D74-4C4E-B4EA-CBFCCB781639}" xr6:coauthVersionLast="47" xr6:coauthVersionMax="47" xr10:uidLastSave="{00000000-0000-0000-0000-000000000000}"/>
  <bookViews>
    <workbookView xWindow="-120" yWindow="-120" windowWidth="29040" windowHeight="15720" tabRatio="827" activeTab="3" xr2:uid="{E1B9372A-2F86-4D3D-A332-A7F1A3130D4F}"/>
  </bookViews>
  <sheets>
    <sheet name="Electric Stove Coil Upgrade" sheetId="88" r:id="rId1"/>
    <sheet name="ES Clothes Dryer" sheetId="2" r:id="rId2"/>
    <sheet name="ES Dehumidifier" sheetId="4" r:id="rId3"/>
    <sheet name="ES Dishwasher" sheetId="5" r:id="rId4"/>
    <sheet name="Res Induction Cooking Appliance" sheetId="6" r:id="rId5"/>
    <sheet name="MF Clothes Washer" sheetId="3" r:id="rId6"/>
    <sheet name="ECM Circulators CW" sheetId="65" r:id="rId7"/>
    <sheet name="ECM Circulators DHW" sheetId="66" r:id="rId8"/>
    <sheet name="ES Ceiling Fan" sheetId="7" r:id="rId9"/>
    <sheet name="Level 2 EV Charger" sheetId="8" r:id="rId10"/>
    <sheet name="Tier 2 Power Strip" sheetId="9" r:id="rId11"/>
    <sheet name="Smart Sockets" sheetId="10" r:id="rId12"/>
    <sheet name="ENERGY STAR Pool Pump" sheetId="11" r:id="rId13"/>
    <sheet name="Pool Pump Timer" sheetId="67" r:id="rId14"/>
    <sheet name="Varaible Speed Pool Pump" sheetId="89" r:id="rId15"/>
    <sheet name="ES Refrigerator" sheetId="15" r:id="rId16"/>
    <sheet name="Refrigerator Freezer Recycling" sheetId="16" r:id="rId17"/>
    <sheet name="Water Heater Wrap" sheetId="20" r:id="rId18"/>
    <sheet name="WH Temp Setback" sheetId="21" r:id="rId19"/>
    <sheet name="Low Flow Faucet Aerator" sheetId="22" r:id="rId20"/>
    <sheet name="HPWH" sheetId="85" r:id="rId21"/>
    <sheet name="Low Flow Showerhead" sheetId="23" r:id="rId22"/>
    <sheet name="Pipe Insulation" sheetId="24" r:id="rId23"/>
    <sheet name="Solar Water Heater" sheetId="17" r:id="rId24"/>
    <sheet name="Solar Water Heater Tune Up" sheetId="98" r:id="rId25"/>
    <sheet name="Tankless Water Heater" sheetId="18" r:id="rId26"/>
    <sheet name="Thermo Restrict Valve" sheetId="25" r:id="rId27"/>
    <sheet name="Window AC" sheetId="12" r:id="rId28"/>
    <sheet name="Drainwater Heat Recovery" sheetId="19" r:id="rId29"/>
    <sheet name="CI Clothes Dryer" sheetId="63" r:id="rId30"/>
    <sheet name="CI High Speed Clothes Washer" sheetId="62" r:id="rId31"/>
    <sheet name="CI ES Dishwasher" sheetId="40" r:id="rId32"/>
    <sheet name="CI ES Dehumidifier" sheetId="90" r:id="rId33"/>
    <sheet name="CI Electric Oven and Range" sheetId="99" r:id="rId34"/>
    <sheet name="CI Combination Oven" sheetId="26" r:id="rId35"/>
    <sheet name="CI ES Convection Oven" sheetId="27" r:id="rId36"/>
    <sheet name="CI ES Fryer" sheetId="28" r:id="rId37"/>
    <sheet name="CI ES Griddle" sheetId="29" r:id="rId38"/>
    <sheet name="CI ES Hot Food Holding Cabinet" sheetId="30" r:id="rId39"/>
    <sheet name="CI Steamers" sheetId="31" r:id="rId40"/>
    <sheet name="CI ECM Circulators CW" sheetId="68" r:id="rId41"/>
    <sheet name="CI ECM Circulators DHW" sheetId="69" r:id="rId42"/>
    <sheet name="CI Compressed Air Improv" sheetId="100" r:id="rId43"/>
    <sheet name="CI ES Pool Pumps" sheetId="86" r:id="rId44"/>
    <sheet name="CI HP Pool Heater" sheetId="87" r:id="rId45"/>
    <sheet name="CI Imprvoed Vertical Lift Eff" sheetId="101" r:id="rId46"/>
    <sheet name="CI Pool Covers" sheetId="14" r:id="rId47"/>
    <sheet name="CI VSD CW Pump" sheetId="71" r:id="rId48"/>
    <sheet name="CI VSD Condenser" sheetId="72" r:id="rId49"/>
    <sheet name="CI VSD Custom" sheetId="91" r:id="rId50"/>
    <sheet name="CI BevSnack Machine Controls" sheetId="41" r:id="rId51"/>
    <sheet name="CI Computer Power Management" sheetId="42" r:id="rId52"/>
    <sheet name="CI Level 2 EV Charger" sheetId="92" r:id="rId53"/>
    <sheet name="CI Water Cooler" sheetId="73" r:id="rId54"/>
    <sheet name="CI Power Strip" sheetId="43" r:id="rId55"/>
    <sheet name="CI Tier 2 Power Strip" sheetId="93" r:id="rId56"/>
    <sheet name="CI Add Doors to Open Display " sheetId="44" r:id="rId57"/>
    <sheet name="CI Anti Sweat Control" sheetId="74" r:id="rId58"/>
    <sheet name="CI Case Night Covers" sheetId="45" r:id="rId59"/>
    <sheet name="CI ECM CompCondenser" sheetId="102" r:id="rId60"/>
    <sheet name="CI ECM Evap Fan" sheetId="82" r:id="rId61"/>
    <sheet name="CI Eff Ref Compressor" sheetId="103" r:id="rId62"/>
    <sheet name="CI Ice Maker" sheetId="53" r:id="rId63"/>
    <sheet name="CI ES Refr Bev Vending Machine" sheetId="46" r:id="rId64"/>
    <sheet name="CI ES Refrigerator" sheetId="94" r:id="rId65"/>
    <sheet name="CI ES Refrigerator Res Style" sheetId="95" r:id="rId66"/>
    <sheet name="CI Evap Fan Speed Controls" sheetId="47" r:id="rId67"/>
    <sheet name="CI Floating Head Pressure Ctrl" sheetId="48" r:id="rId68"/>
    <sheet name="CI High Eff Built Up" sheetId="104" r:id="rId69"/>
    <sheet name="CI High Eff Small Walk In" sheetId="105" r:id="rId70"/>
    <sheet name="CI Loading Dock Pit Seals" sheetId="75" r:id="rId71"/>
    <sheet name="CI Low Heat Doors" sheetId="106" r:id="rId72"/>
    <sheet name="CI Evap Fan Perm Magnet" sheetId="76" r:id="rId73"/>
    <sheet name="CI Refrigeration Tune-up" sheetId="107" r:id="rId74"/>
    <sheet name="CI Cooler Freezer Gasket" sheetId="77" r:id="rId75"/>
    <sheet name="CI Walkin Cooler" sheetId="108" r:id="rId76"/>
    <sheet name="CI ECM Blower Motor" sheetId="78" r:id="rId77"/>
    <sheet name="CI ECM Fan Motor" sheetId="96" r:id="rId78"/>
    <sheet name="CI Garage Exhaust" sheetId="83" r:id="rId79"/>
    <sheet name="CI Kitchen DCV" sheetId="79" r:id="rId80"/>
    <sheet name="CI VSD Cool Tower Fans" sheetId="84" r:id="rId81"/>
    <sheet name="CI VSD HVAC Fan" sheetId="97" r:id="rId82"/>
    <sheet name="CI Faucet Aerator" sheetId="59" r:id="rId83"/>
    <sheet name="CI HPWH" sheetId="80" r:id="rId84"/>
    <sheet name="CI Ozone Laundry" sheetId="81" r:id="rId85"/>
    <sheet name="CI Pre-Rinse Spray Valves" sheetId="60" r:id="rId86"/>
    <sheet name="CI Water Heater" sheetId="64" r:id="rId87"/>
    <sheet name="CI High Speed Overhead Doors" sheetId="49" r:id="rId88"/>
    <sheet name="CI High Speed Rollup Doors" sheetId="50" r:id="rId89"/>
    <sheet name="CI Door Heater Controls" sheetId="51" r:id="rId90"/>
    <sheet name="CI ECM Coolers Freezers" sheetId="52" r:id="rId91"/>
    <sheet name="CI Glass Door Ref and Freezers" sheetId="54" r:id="rId92"/>
    <sheet name="CI Q Sync Motors" sheetId="55" r:id="rId93"/>
    <sheet name="CI Automatic Door Closers" sheetId="56" r:id="rId94"/>
    <sheet name="CI Strip Curtains" sheetId="57" r:id="rId95"/>
    <sheet name="CI Refrigeration Economizers" sheetId="58" r:id="rId96"/>
    <sheet name="CI Low Flow Showerheads" sheetId="61" r:id="rId97"/>
    <sheet name="Misc CI Ltg" sheetId="35" r:id="rId98"/>
    <sheet name="Ext Photo Repair" sheetId="34" r:id="rId99"/>
    <sheet name="LED Streetlighting" sheetId="32" r:id="rId100"/>
    <sheet name="LED Exit Signs" sheetId="33" r:id="rId101"/>
    <sheet name="Ultra-Efficient LED Ltg" sheetId="38" r:id="rId102"/>
    <sheet name="Fluorescent Delamping" sheetId="37" r:id="rId103"/>
    <sheet name="CI Lighting Controls" sheetId="36" r:id="rId104"/>
    <sheet name="T5 Fixtures and Lamps" sheetId="39" r:id="rId105"/>
  </sheets>
  <externalReferences>
    <externalReference r:id="rId106"/>
    <externalReference r:id="rId107"/>
    <externalReference r:id="rId108"/>
  </externalReferences>
  <definedNames>
    <definedName name="BTUperkWh">[2]HeaterData!$B$33</definedName>
    <definedName name="ColOffset">4</definedName>
    <definedName name="Discounted_UPV_Factor_Energy">[2]NPVTable!$J$3</definedName>
    <definedName name="Discounted_UPV_Factor_Non_Fuel">[2]NPVTable!$K$3</definedName>
    <definedName name="EmptyStr" comment="Empty string">""</definedName>
    <definedName name="ErrorString">"---"</definedName>
    <definedName name="Inflation">[1]Lookups!$B$27:$K$48</definedName>
    <definedName name="lkpBuildingType">'[1]MeasChar Template Lkps'!$B$44:$B$74</definedName>
    <definedName name="lkpEndUse">'[1]MeasChar Template Lkps'!$B$20:$B$41</definedName>
    <definedName name="lkpFuel">'[1]MeasChar Template Lkps'!$B$9:$B$10</definedName>
    <definedName name="lkpMarket">'[1]MeasChar Template Lkps'!$D$4:$D$5</definedName>
    <definedName name="lkpSector">'[1]MeasChar Template Lkps'!$B$4:$B$6</definedName>
    <definedName name="MBtuPerWh">0.00341214</definedName>
    <definedName name="MeasCharKey">#REF!</definedName>
    <definedName name="MeasCharsColumn">#REF!</definedName>
    <definedName name="MeasCharsColumnRow">[3]MeasChars!$A$5:$BY$5</definedName>
    <definedName name="MeasCharsHeaders">#REF!</definedName>
    <definedName name="MeasCharsKey">#REF!</definedName>
    <definedName name="MeasCharTbl">[3]MeasChars!$A$5:$BY$457</definedName>
    <definedName name="MeasNums">#REF!</definedName>
    <definedName name="MeasStatus">[1]Lookups!$B$128:$B$135</definedName>
    <definedName name="MeasuresColumnRow">#REF!</definedName>
    <definedName name="MeasureTbl">#REF!</definedName>
    <definedName name="Million">1000000</definedName>
    <definedName name="Pct_Usable_Storage">[2]HeaterData!$B$37</definedName>
    <definedName name="Regions">[3]RegionTable!$A$9:$A$16</definedName>
    <definedName name="RegionTable">[1]RegionTable!$B$9:$AP$11</definedName>
    <definedName name="RSMnsLabor">[1]RegionTable!$C$4</definedName>
    <definedName name="SAPBEXrevision">0</definedName>
    <definedName name="SAPBEXsysID">"BIP"</definedName>
    <definedName name="SAPBEXwbID">"DBM7UBYBJIWF476W7MS2O64XB"</definedName>
    <definedName name="SelectedRegion">[1]RegionTable!$A$2</definedName>
    <definedName name="Space">" "</definedName>
    <definedName name="Thousand">1000</definedName>
    <definedName name="ToBaseYr">[1]Lookups!$B$22</definedName>
    <definedName name="vtff">1</definedName>
    <definedName name="WaterHeaterTable">[2]HeaterData!$A$7:$AI$15</definedName>
    <definedName name="wrn.ALL." localSheetId="56" hidden="1">{#N/A,#N/A,TRUE,"RES";#N/A,#N/A,TRUE,"RES SHELL";#N/A,#N/A,TRUE,"RES HVAC";#N/A,#N/A,TRUE,"MOTORS";#N/A,#N/A,TRUE,"COM MISC";#N/A,#N/A,TRUE,"COM COOL";#N/A,#N/A,TRUE,"COM LIGHT";"print",#N/A,TRUE,"INT"}</definedName>
    <definedName name="wrn.ALL." localSheetId="57" hidden="1">{#N/A,#N/A,TRUE,"RES";#N/A,#N/A,TRUE,"RES SHELL";#N/A,#N/A,TRUE,"RES HVAC";#N/A,#N/A,TRUE,"MOTORS";#N/A,#N/A,TRUE,"COM MISC";#N/A,#N/A,TRUE,"COM COOL";#N/A,#N/A,TRUE,"COM LIGHT";"print",#N/A,TRUE,"INT"}</definedName>
    <definedName name="wrn.ALL." localSheetId="93" hidden="1">{#N/A,#N/A,TRUE,"RES";#N/A,#N/A,TRUE,"RES SHELL";#N/A,#N/A,TRUE,"RES HVAC";#N/A,#N/A,TRUE,"MOTORS";#N/A,#N/A,TRUE,"COM MISC";#N/A,#N/A,TRUE,"COM COOL";#N/A,#N/A,TRUE,"COM LIGHT";"print",#N/A,TRUE,"INT"}</definedName>
    <definedName name="wrn.ALL." localSheetId="50" hidden="1">{#N/A,#N/A,TRUE,"RES";#N/A,#N/A,TRUE,"RES SHELL";#N/A,#N/A,TRUE,"RES HVAC";#N/A,#N/A,TRUE,"MOTORS";#N/A,#N/A,TRUE,"COM MISC";#N/A,#N/A,TRUE,"COM COOL";#N/A,#N/A,TRUE,"COM LIGHT";"print",#N/A,TRUE,"INT"}</definedName>
    <definedName name="wrn.ALL." localSheetId="58" hidden="1">{#N/A,#N/A,TRUE,"RES";#N/A,#N/A,TRUE,"RES SHELL";#N/A,#N/A,TRUE,"RES HVAC";#N/A,#N/A,TRUE,"MOTORS";#N/A,#N/A,TRUE,"COM MISC";#N/A,#N/A,TRUE,"COM COOL";#N/A,#N/A,TRUE,"COM LIGHT";"print",#N/A,TRUE,"INT"}</definedName>
    <definedName name="wrn.ALL." localSheetId="29" hidden="1">{#N/A,#N/A,TRUE,"RES";#N/A,#N/A,TRUE,"RES SHELL";#N/A,#N/A,TRUE,"RES HVAC";#N/A,#N/A,TRUE,"MOTORS";#N/A,#N/A,TRUE,"COM MISC";#N/A,#N/A,TRUE,"COM COOL";#N/A,#N/A,TRUE,"COM LIGHT";"print",#N/A,TRUE,"INT"}</definedName>
    <definedName name="wrn.ALL." localSheetId="34" hidden="1">{#N/A,#N/A,TRUE,"RES";#N/A,#N/A,TRUE,"RES SHELL";#N/A,#N/A,TRUE,"RES HVAC";#N/A,#N/A,TRUE,"MOTORS";#N/A,#N/A,TRUE,"COM MISC";#N/A,#N/A,TRUE,"COM COOL";#N/A,#N/A,TRUE,"COM LIGHT";"print",#N/A,TRUE,"INT"}</definedName>
    <definedName name="wrn.ALL." localSheetId="42" hidden="1">{#N/A,#N/A,TRUE,"RES";#N/A,#N/A,TRUE,"RES SHELL";#N/A,#N/A,TRUE,"RES HVAC";#N/A,#N/A,TRUE,"MOTORS";#N/A,#N/A,TRUE,"COM MISC";#N/A,#N/A,TRUE,"COM COOL";#N/A,#N/A,TRUE,"COM LIGHT";"print",#N/A,TRUE,"INT"}</definedName>
    <definedName name="wrn.ALL." localSheetId="51" hidden="1">{#N/A,#N/A,TRUE,"RES";#N/A,#N/A,TRUE,"RES SHELL";#N/A,#N/A,TRUE,"RES HVAC";#N/A,#N/A,TRUE,"MOTORS";#N/A,#N/A,TRUE,"COM MISC";#N/A,#N/A,TRUE,"COM COOL";#N/A,#N/A,TRUE,"COM LIGHT";"print",#N/A,TRUE,"INT"}</definedName>
    <definedName name="wrn.ALL." localSheetId="74" hidden="1">{#N/A,#N/A,TRUE,"RES";#N/A,#N/A,TRUE,"RES SHELL";#N/A,#N/A,TRUE,"RES HVAC";#N/A,#N/A,TRUE,"MOTORS";#N/A,#N/A,TRUE,"COM MISC";#N/A,#N/A,TRUE,"COM COOL";#N/A,#N/A,TRUE,"COM LIGHT";"print",#N/A,TRUE,"INT"}</definedName>
    <definedName name="wrn.ALL." localSheetId="89" hidden="1">{#N/A,#N/A,TRUE,"RES";#N/A,#N/A,TRUE,"RES SHELL";#N/A,#N/A,TRUE,"RES HVAC";#N/A,#N/A,TRUE,"MOTORS";#N/A,#N/A,TRUE,"COM MISC";#N/A,#N/A,TRUE,"COM COOL";#N/A,#N/A,TRUE,"COM LIGHT";"print",#N/A,TRUE,"INT"}</definedName>
    <definedName name="wrn.ALL." localSheetId="76" hidden="1">{#N/A,#N/A,TRUE,"RES";#N/A,#N/A,TRUE,"RES SHELL";#N/A,#N/A,TRUE,"RES HVAC";#N/A,#N/A,TRUE,"MOTORS";#N/A,#N/A,TRUE,"COM MISC";#N/A,#N/A,TRUE,"COM COOL";#N/A,#N/A,TRUE,"COM LIGHT";"print",#N/A,TRUE,"INT"}</definedName>
    <definedName name="wrn.ALL." localSheetId="40" hidden="1">{#N/A,#N/A,TRUE,"RES";#N/A,#N/A,TRUE,"RES SHELL";#N/A,#N/A,TRUE,"RES HVAC";#N/A,#N/A,TRUE,"MOTORS";#N/A,#N/A,TRUE,"COM MISC";#N/A,#N/A,TRUE,"COM COOL";#N/A,#N/A,TRUE,"COM LIGHT";"print",#N/A,TRUE,"INT"}</definedName>
    <definedName name="wrn.ALL." localSheetId="41" hidden="1">{#N/A,#N/A,TRUE,"RES";#N/A,#N/A,TRUE,"RES SHELL";#N/A,#N/A,TRUE,"RES HVAC";#N/A,#N/A,TRUE,"MOTORS";#N/A,#N/A,TRUE,"COM MISC";#N/A,#N/A,TRUE,"COM COOL";#N/A,#N/A,TRUE,"COM LIGHT";"print",#N/A,TRUE,"INT"}</definedName>
    <definedName name="wrn.ALL." localSheetId="59" hidden="1">{#N/A,#N/A,TRUE,"RES";#N/A,#N/A,TRUE,"RES SHELL";#N/A,#N/A,TRUE,"RES HVAC";#N/A,#N/A,TRUE,"MOTORS";#N/A,#N/A,TRUE,"COM MISC";#N/A,#N/A,TRUE,"COM COOL";#N/A,#N/A,TRUE,"COM LIGHT";"print",#N/A,TRUE,"INT"}</definedName>
    <definedName name="wrn.ALL." localSheetId="90" hidden="1">{#N/A,#N/A,TRUE,"RES";#N/A,#N/A,TRUE,"RES SHELL";#N/A,#N/A,TRUE,"RES HVAC";#N/A,#N/A,TRUE,"MOTORS";#N/A,#N/A,TRUE,"COM MISC";#N/A,#N/A,TRUE,"COM COOL";#N/A,#N/A,TRUE,"COM LIGHT";"print",#N/A,TRUE,"INT"}</definedName>
    <definedName name="wrn.ALL." localSheetId="60" hidden="1">{#N/A,#N/A,TRUE,"RES";#N/A,#N/A,TRUE,"RES SHELL";#N/A,#N/A,TRUE,"RES HVAC";#N/A,#N/A,TRUE,"MOTORS";#N/A,#N/A,TRUE,"COM MISC";#N/A,#N/A,TRUE,"COM COOL";#N/A,#N/A,TRUE,"COM LIGHT";"print",#N/A,TRUE,"INT"}</definedName>
    <definedName name="wrn.ALL." localSheetId="77" hidden="1">{#N/A,#N/A,TRUE,"RES";#N/A,#N/A,TRUE,"RES SHELL";#N/A,#N/A,TRUE,"RES HVAC";#N/A,#N/A,TRUE,"MOTORS";#N/A,#N/A,TRUE,"COM MISC";#N/A,#N/A,TRUE,"COM COOL";#N/A,#N/A,TRUE,"COM LIGHT";"print",#N/A,TRUE,"INT"}</definedName>
    <definedName name="wrn.ALL." localSheetId="61" hidden="1">{#N/A,#N/A,TRUE,"RES";#N/A,#N/A,TRUE,"RES SHELL";#N/A,#N/A,TRUE,"RES HVAC";#N/A,#N/A,TRUE,"MOTORS";#N/A,#N/A,TRUE,"COM MISC";#N/A,#N/A,TRUE,"COM COOL";#N/A,#N/A,TRUE,"COM LIGHT";"print",#N/A,TRUE,"INT"}</definedName>
    <definedName name="wrn.ALL." localSheetId="33" hidden="1">{#N/A,#N/A,TRUE,"RES";#N/A,#N/A,TRUE,"RES SHELL";#N/A,#N/A,TRUE,"RES HVAC";#N/A,#N/A,TRUE,"MOTORS";#N/A,#N/A,TRUE,"COM MISC";#N/A,#N/A,TRUE,"COM COOL";#N/A,#N/A,TRUE,"COM LIGHT";"print",#N/A,TRUE,"INT"}</definedName>
    <definedName name="wrn.ALL." localSheetId="35" hidden="1">{#N/A,#N/A,TRUE,"RES";#N/A,#N/A,TRUE,"RES SHELL";#N/A,#N/A,TRUE,"RES HVAC";#N/A,#N/A,TRUE,"MOTORS";#N/A,#N/A,TRUE,"COM MISC";#N/A,#N/A,TRUE,"COM COOL";#N/A,#N/A,TRUE,"COM LIGHT";"print",#N/A,TRUE,"INT"}</definedName>
    <definedName name="wrn.ALL." localSheetId="32" hidden="1">{#N/A,#N/A,TRUE,"RES";#N/A,#N/A,TRUE,"RES SHELL";#N/A,#N/A,TRUE,"RES HVAC";#N/A,#N/A,TRUE,"MOTORS";#N/A,#N/A,TRUE,"COM MISC";#N/A,#N/A,TRUE,"COM COOL";#N/A,#N/A,TRUE,"COM LIGHT";"print",#N/A,TRUE,"INT"}</definedName>
    <definedName name="wrn.ALL." localSheetId="31" hidden="1">{#N/A,#N/A,TRUE,"RES";#N/A,#N/A,TRUE,"RES SHELL";#N/A,#N/A,TRUE,"RES HVAC";#N/A,#N/A,TRUE,"MOTORS";#N/A,#N/A,TRUE,"COM MISC";#N/A,#N/A,TRUE,"COM COOL";#N/A,#N/A,TRUE,"COM LIGHT";"print",#N/A,TRUE,"INT"}</definedName>
    <definedName name="wrn.ALL." localSheetId="36" hidden="1">{#N/A,#N/A,TRUE,"RES";#N/A,#N/A,TRUE,"RES SHELL";#N/A,#N/A,TRUE,"RES HVAC";#N/A,#N/A,TRUE,"MOTORS";#N/A,#N/A,TRUE,"COM MISC";#N/A,#N/A,TRUE,"COM COOL";#N/A,#N/A,TRUE,"COM LIGHT";"print",#N/A,TRUE,"INT"}</definedName>
    <definedName name="wrn.ALL." localSheetId="37" hidden="1">{#N/A,#N/A,TRUE,"RES";#N/A,#N/A,TRUE,"RES SHELL";#N/A,#N/A,TRUE,"RES HVAC";#N/A,#N/A,TRUE,"MOTORS";#N/A,#N/A,TRUE,"COM MISC";#N/A,#N/A,TRUE,"COM COOL";#N/A,#N/A,TRUE,"COM LIGHT";"print",#N/A,TRUE,"INT"}</definedName>
    <definedName name="wrn.ALL." localSheetId="38" hidden="1">{#N/A,#N/A,TRUE,"RES";#N/A,#N/A,TRUE,"RES SHELL";#N/A,#N/A,TRUE,"RES HVAC";#N/A,#N/A,TRUE,"MOTORS";#N/A,#N/A,TRUE,"COM MISC";#N/A,#N/A,TRUE,"COM COOL";#N/A,#N/A,TRUE,"COM LIGHT";"print",#N/A,TRUE,"INT"}</definedName>
    <definedName name="wrn.ALL." localSheetId="43" hidden="1">{#N/A,#N/A,TRUE,"RES";#N/A,#N/A,TRUE,"RES SHELL";#N/A,#N/A,TRUE,"RES HVAC";#N/A,#N/A,TRUE,"MOTORS";#N/A,#N/A,TRUE,"COM MISC";#N/A,#N/A,TRUE,"COM COOL";#N/A,#N/A,TRUE,"COM LIGHT";"print",#N/A,TRUE,"INT"}</definedName>
    <definedName name="wrn.ALL." localSheetId="63" hidden="1">{#N/A,#N/A,TRUE,"RES";#N/A,#N/A,TRUE,"RES SHELL";#N/A,#N/A,TRUE,"RES HVAC";#N/A,#N/A,TRUE,"MOTORS";#N/A,#N/A,TRUE,"COM MISC";#N/A,#N/A,TRUE,"COM COOL";#N/A,#N/A,TRUE,"COM LIGHT";"print",#N/A,TRUE,"INT"}</definedName>
    <definedName name="wrn.ALL." localSheetId="64" hidden="1">{#N/A,#N/A,TRUE,"RES";#N/A,#N/A,TRUE,"RES SHELL";#N/A,#N/A,TRUE,"RES HVAC";#N/A,#N/A,TRUE,"MOTORS";#N/A,#N/A,TRUE,"COM MISC";#N/A,#N/A,TRUE,"COM COOL";#N/A,#N/A,TRUE,"COM LIGHT";"print",#N/A,TRUE,"INT"}</definedName>
    <definedName name="wrn.ALL." localSheetId="65" hidden="1">{#N/A,#N/A,TRUE,"RES";#N/A,#N/A,TRUE,"RES SHELL";#N/A,#N/A,TRUE,"RES HVAC";#N/A,#N/A,TRUE,"MOTORS";#N/A,#N/A,TRUE,"COM MISC";#N/A,#N/A,TRUE,"COM COOL";#N/A,#N/A,TRUE,"COM LIGHT";"print",#N/A,TRUE,"INT"}</definedName>
    <definedName name="wrn.ALL." localSheetId="72" hidden="1">{#N/A,#N/A,TRUE,"RES";#N/A,#N/A,TRUE,"RES SHELL";#N/A,#N/A,TRUE,"RES HVAC";#N/A,#N/A,TRUE,"MOTORS";#N/A,#N/A,TRUE,"COM MISC";#N/A,#N/A,TRUE,"COM COOL";#N/A,#N/A,TRUE,"COM LIGHT";"print",#N/A,TRUE,"INT"}</definedName>
    <definedName name="wrn.ALL." localSheetId="66" hidden="1">{#N/A,#N/A,TRUE,"RES";#N/A,#N/A,TRUE,"RES SHELL";#N/A,#N/A,TRUE,"RES HVAC";#N/A,#N/A,TRUE,"MOTORS";#N/A,#N/A,TRUE,"COM MISC";#N/A,#N/A,TRUE,"COM COOL";#N/A,#N/A,TRUE,"COM LIGHT";"print",#N/A,TRUE,"INT"}</definedName>
    <definedName name="wrn.ALL." localSheetId="82" hidden="1">{#N/A,#N/A,TRUE,"RES";#N/A,#N/A,TRUE,"RES SHELL";#N/A,#N/A,TRUE,"RES HVAC";#N/A,#N/A,TRUE,"MOTORS";#N/A,#N/A,TRUE,"COM MISC";#N/A,#N/A,TRUE,"COM COOL";#N/A,#N/A,TRUE,"COM LIGHT";"print",#N/A,TRUE,"INT"}</definedName>
    <definedName name="wrn.ALL." localSheetId="67" hidden="1">{#N/A,#N/A,TRUE,"RES";#N/A,#N/A,TRUE,"RES SHELL";#N/A,#N/A,TRUE,"RES HVAC";#N/A,#N/A,TRUE,"MOTORS";#N/A,#N/A,TRUE,"COM MISC";#N/A,#N/A,TRUE,"COM COOL";#N/A,#N/A,TRUE,"COM LIGHT";"print",#N/A,TRUE,"INT"}</definedName>
    <definedName name="wrn.ALL." localSheetId="78" hidden="1">{#N/A,#N/A,TRUE,"RES";#N/A,#N/A,TRUE,"RES SHELL";#N/A,#N/A,TRUE,"RES HVAC";#N/A,#N/A,TRUE,"MOTORS";#N/A,#N/A,TRUE,"COM MISC";#N/A,#N/A,TRUE,"COM COOL";#N/A,#N/A,TRUE,"COM LIGHT";"print",#N/A,TRUE,"INT"}</definedName>
    <definedName name="wrn.ALL." localSheetId="91" hidden="1">{#N/A,#N/A,TRUE,"RES";#N/A,#N/A,TRUE,"RES SHELL";#N/A,#N/A,TRUE,"RES HVAC";#N/A,#N/A,TRUE,"MOTORS";#N/A,#N/A,TRUE,"COM MISC";#N/A,#N/A,TRUE,"COM COOL";#N/A,#N/A,TRUE,"COM LIGHT";"print",#N/A,TRUE,"INT"}</definedName>
    <definedName name="wrn.ALL." localSheetId="68" hidden="1">{#N/A,#N/A,TRUE,"RES";#N/A,#N/A,TRUE,"RES SHELL";#N/A,#N/A,TRUE,"RES HVAC";#N/A,#N/A,TRUE,"MOTORS";#N/A,#N/A,TRUE,"COM MISC";#N/A,#N/A,TRUE,"COM COOL";#N/A,#N/A,TRUE,"COM LIGHT";"print",#N/A,TRUE,"INT"}</definedName>
    <definedName name="wrn.ALL." localSheetId="69" hidden="1">{#N/A,#N/A,TRUE,"RES";#N/A,#N/A,TRUE,"RES SHELL";#N/A,#N/A,TRUE,"RES HVAC";#N/A,#N/A,TRUE,"MOTORS";#N/A,#N/A,TRUE,"COM MISC";#N/A,#N/A,TRUE,"COM COOL";#N/A,#N/A,TRUE,"COM LIGHT";"print",#N/A,TRUE,"INT"}</definedName>
    <definedName name="wrn.ALL." localSheetId="30" hidden="1">{#N/A,#N/A,TRUE,"RES";#N/A,#N/A,TRUE,"RES SHELL";#N/A,#N/A,TRUE,"RES HVAC";#N/A,#N/A,TRUE,"MOTORS";#N/A,#N/A,TRUE,"COM MISC";#N/A,#N/A,TRUE,"COM COOL";#N/A,#N/A,TRUE,"COM LIGHT";"print",#N/A,TRUE,"INT"}</definedName>
    <definedName name="wrn.ALL." localSheetId="87" hidden="1">{#N/A,#N/A,TRUE,"RES";#N/A,#N/A,TRUE,"RES SHELL";#N/A,#N/A,TRUE,"RES HVAC";#N/A,#N/A,TRUE,"MOTORS";#N/A,#N/A,TRUE,"COM MISC";#N/A,#N/A,TRUE,"COM COOL";#N/A,#N/A,TRUE,"COM LIGHT";"print",#N/A,TRUE,"INT"}</definedName>
    <definedName name="wrn.ALL." localSheetId="88" hidden="1">{#N/A,#N/A,TRUE,"RES";#N/A,#N/A,TRUE,"RES SHELL";#N/A,#N/A,TRUE,"RES HVAC";#N/A,#N/A,TRUE,"MOTORS";#N/A,#N/A,TRUE,"COM MISC";#N/A,#N/A,TRUE,"COM COOL";#N/A,#N/A,TRUE,"COM LIGHT";"print",#N/A,TRUE,"INT"}</definedName>
    <definedName name="wrn.ALL." localSheetId="44" hidden="1">{#N/A,#N/A,TRUE,"RES";#N/A,#N/A,TRUE,"RES SHELL";#N/A,#N/A,TRUE,"RES HVAC";#N/A,#N/A,TRUE,"MOTORS";#N/A,#N/A,TRUE,"COM MISC";#N/A,#N/A,TRUE,"COM COOL";#N/A,#N/A,TRUE,"COM LIGHT";"print",#N/A,TRUE,"INT"}</definedName>
    <definedName name="wrn.ALL." localSheetId="83" hidden="1">{#N/A,#N/A,TRUE,"RES";#N/A,#N/A,TRUE,"RES SHELL";#N/A,#N/A,TRUE,"RES HVAC";#N/A,#N/A,TRUE,"MOTORS";#N/A,#N/A,TRUE,"COM MISC";#N/A,#N/A,TRUE,"COM COOL";#N/A,#N/A,TRUE,"COM LIGHT";"print",#N/A,TRUE,"INT"}</definedName>
    <definedName name="wrn.ALL." localSheetId="62" hidden="1">{#N/A,#N/A,TRUE,"RES";#N/A,#N/A,TRUE,"RES SHELL";#N/A,#N/A,TRUE,"RES HVAC";#N/A,#N/A,TRUE,"MOTORS";#N/A,#N/A,TRUE,"COM MISC";#N/A,#N/A,TRUE,"COM COOL";#N/A,#N/A,TRUE,"COM LIGHT";"print",#N/A,TRUE,"INT"}</definedName>
    <definedName name="wrn.ALL." localSheetId="45" hidden="1">{#N/A,#N/A,TRUE,"RES";#N/A,#N/A,TRUE,"RES SHELL";#N/A,#N/A,TRUE,"RES HVAC";#N/A,#N/A,TRUE,"MOTORS";#N/A,#N/A,TRUE,"COM MISC";#N/A,#N/A,TRUE,"COM COOL";#N/A,#N/A,TRUE,"COM LIGHT";"print",#N/A,TRUE,"INT"}</definedName>
    <definedName name="wrn.ALL." localSheetId="79" hidden="1">{#N/A,#N/A,TRUE,"RES";#N/A,#N/A,TRUE,"RES SHELL";#N/A,#N/A,TRUE,"RES HVAC";#N/A,#N/A,TRUE,"MOTORS";#N/A,#N/A,TRUE,"COM MISC";#N/A,#N/A,TRUE,"COM COOL";#N/A,#N/A,TRUE,"COM LIGHT";"print",#N/A,TRUE,"INT"}</definedName>
    <definedName name="wrn.ALL." localSheetId="52" hidden="1">{#N/A,#N/A,TRUE,"RES";#N/A,#N/A,TRUE,"RES SHELL";#N/A,#N/A,TRUE,"RES HVAC";#N/A,#N/A,TRUE,"MOTORS";#N/A,#N/A,TRUE,"COM MISC";#N/A,#N/A,TRUE,"COM COOL";#N/A,#N/A,TRUE,"COM LIGHT";"print",#N/A,TRUE,"INT"}</definedName>
    <definedName name="wrn.ALL." localSheetId="103" hidden="1">{#N/A,#N/A,TRUE,"RES";#N/A,#N/A,TRUE,"RES SHELL";#N/A,#N/A,TRUE,"RES HVAC";#N/A,#N/A,TRUE,"MOTORS";#N/A,#N/A,TRUE,"COM MISC";#N/A,#N/A,TRUE,"COM COOL";#N/A,#N/A,TRUE,"COM LIGHT";"print",#N/A,TRUE,"INT"}</definedName>
    <definedName name="wrn.ALL." localSheetId="70" hidden="1">{#N/A,#N/A,TRUE,"RES";#N/A,#N/A,TRUE,"RES SHELL";#N/A,#N/A,TRUE,"RES HVAC";#N/A,#N/A,TRUE,"MOTORS";#N/A,#N/A,TRUE,"COM MISC";#N/A,#N/A,TRUE,"COM COOL";#N/A,#N/A,TRUE,"COM LIGHT";"print",#N/A,TRUE,"INT"}</definedName>
    <definedName name="wrn.ALL." localSheetId="96" hidden="1">{#N/A,#N/A,TRUE,"RES";#N/A,#N/A,TRUE,"RES SHELL";#N/A,#N/A,TRUE,"RES HVAC";#N/A,#N/A,TRUE,"MOTORS";#N/A,#N/A,TRUE,"COM MISC";#N/A,#N/A,TRUE,"COM COOL";#N/A,#N/A,TRUE,"COM LIGHT";"print",#N/A,TRUE,"INT"}</definedName>
    <definedName name="wrn.ALL." localSheetId="71" hidden="1">{#N/A,#N/A,TRUE,"RES";#N/A,#N/A,TRUE,"RES SHELL";#N/A,#N/A,TRUE,"RES HVAC";#N/A,#N/A,TRUE,"MOTORS";#N/A,#N/A,TRUE,"COM MISC";#N/A,#N/A,TRUE,"COM COOL";#N/A,#N/A,TRUE,"COM LIGHT";"print",#N/A,TRUE,"INT"}</definedName>
    <definedName name="wrn.ALL." localSheetId="84" hidden="1">{#N/A,#N/A,TRUE,"RES";#N/A,#N/A,TRUE,"RES SHELL";#N/A,#N/A,TRUE,"RES HVAC";#N/A,#N/A,TRUE,"MOTORS";#N/A,#N/A,TRUE,"COM MISC";#N/A,#N/A,TRUE,"COM COOL";#N/A,#N/A,TRUE,"COM LIGHT";"print",#N/A,TRUE,"INT"}</definedName>
    <definedName name="wrn.ALL." localSheetId="46" hidden="1">{#N/A,#N/A,TRUE,"RES";#N/A,#N/A,TRUE,"RES SHELL";#N/A,#N/A,TRUE,"RES HVAC";#N/A,#N/A,TRUE,"MOTORS";#N/A,#N/A,TRUE,"COM MISC";#N/A,#N/A,TRUE,"COM COOL";#N/A,#N/A,TRUE,"COM LIGHT";"print",#N/A,TRUE,"INT"}</definedName>
    <definedName name="wrn.ALL." localSheetId="54" hidden="1">{#N/A,#N/A,TRUE,"RES";#N/A,#N/A,TRUE,"RES SHELL";#N/A,#N/A,TRUE,"RES HVAC";#N/A,#N/A,TRUE,"MOTORS";#N/A,#N/A,TRUE,"COM MISC";#N/A,#N/A,TRUE,"COM COOL";#N/A,#N/A,TRUE,"COM LIGHT";"print",#N/A,TRUE,"INT"}</definedName>
    <definedName name="wrn.ALL." localSheetId="85" hidden="1">{#N/A,#N/A,TRUE,"RES";#N/A,#N/A,TRUE,"RES SHELL";#N/A,#N/A,TRUE,"RES HVAC";#N/A,#N/A,TRUE,"MOTORS";#N/A,#N/A,TRUE,"COM MISC";#N/A,#N/A,TRUE,"COM COOL";#N/A,#N/A,TRUE,"COM LIGHT";"print",#N/A,TRUE,"INT"}</definedName>
    <definedName name="wrn.ALL." localSheetId="92" hidden="1">{#N/A,#N/A,TRUE,"RES";#N/A,#N/A,TRUE,"RES SHELL";#N/A,#N/A,TRUE,"RES HVAC";#N/A,#N/A,TRUE,"MOTORS";#N/A,#N/A,TRUE,"COM MISC";#N/A,#N/A,TRUE,"COM COOL";#N/A,#N/A,TRUE,"COM LIGHT";"print",#N/A,TRUE,"INT"}</definedName>
    <definedName name="wrn.ALL." localSheetId="95" hidden="1">{#N/A,#N/A,TRUE,"RES";#N/A,#N/A,TRUE,"RES SHELL";#N/A,#N/A,TRUE,"RES HVAC";#N/A,#N/A,TRUE,"MOTORS";#N/A,#N/A,TRUE,"COM MISC";#N/A,#N/A,TRUE,"COM COOL";#N/A,#N/A,TRUE,"COM LIGHT";"print",#N/A,TRUE,"INT"}</definedName>
    <definedName name="wrn.ALL." localSheetId="73" hidden="1">{#N/A,#N/A,TRUE,"RES";#N/A,#N/A,TRUE,"RES SHELL";#N/A,#N/A,TRUE,"RES HVAC";#N/A,#N/A,TRUE,"MOTORS";#N/A,#N/A,TRUE,"COM MISC";#N/A,#N/A,TRUE,"COM COOL";#N/A,#N/A,TRUE,"COM LIGHT";"print",#N/A,TRUE,"INT"}</definedName>
    <definedName name="wrn.ALL." localSheetId="39" hidden="1">{#N/A,#N/A,TRUE,"RES";#N/A,#N/A,TRUE,"RES SHELL";#N/A,#N/A,TRUE,"RES HVAC";#N/A,#N/A,TRUE,"MOTORS";#N/A,#N/A,TRUE,"COM MISC";#N/A,#N/A,TRUE,"COM COOL";#N/A,#N/A,TRUE,"COM LIGHT";"print",#N/A,TRUE,"INT"}</definedName>
    <definedName name="wrn.ALL." localSheetId="94" hidden="1">{#N/A,#N/A,TRUE,"RES";#N/A,#N/A,TRUE,"RES SHELL";#N/A,#N/A,TRUE,"RES HVAC";#N/A,#N/A,TRUE,"MOTORS";#N/A,#N/A,TRUE,"COM MISC";#N/A,#N/A,TRUE,"COM COOL";#N/A,#N/A,TRUE,"COM LIGHT";"print",#N/A,TRUE,"INT"}</definedName>
    <definedName name="wrn.ALL." localSheetId="55" hidden="1">{#N/A,#N/A,TRUE,"RES";#N/A,#N/A,TRUE,"RES SHELL";#N/A,#N/A,TRUE,"RES HVAC";#N/A,#N/A,TRUE,"MOTORS";#N/A,#N/A,TRUE,"COM MISC";#N/A,#N/A,TRUE,"COM COOL";#N/A,#N/A,TRUE,"COM LIGHT";"print",#N/A,TRUE,"INT"}</definedName>
    <definedName name="wrn.ALL." localSheetId="48" hidden="1">{#N/A,#N/A,TRUE,"RES";#N/A,#N/A,TRUE,"RES SHELL";#N/A,#N/A,TRUE,"RES HVAC";#N/A,#N/A,TRUE,"MOTORS";#N/A,#N/A,TRUE,"COM MISC";#N/A,#N/A,TRUE,"COM COOL";#N/A,#N/A,TRUE,"COM LIGHT";"print",#N/A,TRUE,"INT"}</definedName>
    <definedName name="wrn.ALL." localSheetId="80" hidden="1">{#N/A,#N/A,TRUE,"RES";#N/A,#N/A,TRUE,"RES SHELL";#N/A,#N/A,TRUE,"RES HVAC";#N/A,#N/A,TRUE,"MOTORS";#N/A,#N/A,TRUE,"COM MISC";#N/A,#N/A,TRUE,"COM COOL";#N/A,#N/A,TRUE,"COM LIGHT";"print",#N/A,TRUE,"INT"}</definedName>
    <definedName name="wrn.ALL." localSheetId="49" hidden="1">{#N/A,#N/A,TRUE,"RES";#N/A,#N/A,TRUE,"RES SHELL";#N/A,#N/A,TRUE,"RES HVAC";#N/A,#N/A,TRUE,"MOTORS";#N/A,#N/A,TRUE,"COM MISC";#N/A,#N/A,TRUE,"COM COOL";#N/A,#N/A,TRUE,"COM LIGHT";"print",#N/A,TRUE,"INT"}</definedName>
    <definedName name="wrn.ALL." localSheetId="47" hidden="1">{#N/A,#N/A,TRUE,"RES";#N/A,#N/A,TRUE,"RES SHELL";#N/A,#N/A,TRUE,"RES HVAC";#N/A,#N/A,TRUE,"MOTORS";#N/A,#N/A,TRUE,"COM MISC";#N/A,#N/A,TRUE,"COM COOL";#N/A,#N/A,TRUE,"COM LIGHT";"print",#N/A,TRUE,"INT"}</definedName>
    <definedName name="wrn.ALL." localSheetId="81" hidden="1">{#N/A,#N/A,TRUE,"RES";#N/A,#N/A,TRUE,"RES SHELL";#N/A,#N/A,TRUE,"RES HVAC";#N/A,#N/A,TRUE,"MOTORS";#N/A,#N/A,TRUE,"COM MISC";#N/A,#N/A,TRUE,"COM COOL";#N/A,#N/A,TRUE,"COM LIGHT";"print",#N/A,TRUE,"INT"}</definedName>
    <definedName name="wrn.ALL." localSheetId="75" hidden="1">{#N/A,#N/A,TRUE,"RES";#N/A,#N/A,TRUE,"RES SHELL";#N/A,#N/A,TRUE,"RES HVAC";#N/A,#N/A,TRUE,"MOTORS";#N/A,#N/A,TRUE,"COM MISC";#N/A,#N/A,TRUE,"COM COOL";#N/A,#N/A,TRUE,"COM LIGHT";"print",#N/A,TRUE,"INT"}</definedName>
    <definedName name="wrn.ALL." localSheetId="53" hidden="1">{#N/A,#N/A,TRUE,"RES";#N/A,#N/A,TRUE,"RES SHELL";#N/A,#N/A,TRUE,"RES HVAC";#N/A,#N/A,TRUE,"MOTORS";#N/A,#N/A,TRUE,"COM MISC";#N/A,#N/A,TRUE,"COM COOL";#N/A,#N/A,TRUE,"COM LIGHT";"print",#N/A,TRUE,"INT"}</definedName>
    <definedName name="wrn.ALL." localSheetId="86" hidden="1">{#N/A,#N/A,TRUE,"RES";#N/A,#N/A,TRUE,"RES SHELL";#N/A,#N/A,TRUE,"RES HVAC";#N/A,#N/A,TRUE,"MOTORS";#N/A,#N/A,TRUE,"COM MISC";#N/A,#N/A,TRUE,"COM COOL";#N/A,#N/A,TRUE,"COM LIGHT";"print",#N/A,TRUE,"INT"}</definedName>
    <definedName name="wrn.ALL." localSheetId="28" hidden="1">{#N/A,#N/A,TRUE,"RES";#N/A,#N/A,TRUE,"RES SHELL";#N/A,#N/A,TRUE,"RES HVAC";#N/A,#N/A,TRUE,"MOTORS";#N/A,#N/A,TRUE,"COM MISC";#N/A,#N/A,TRUE,"COM COOL";#N/A,#N/A,TRUE,"COM LIGHT";"print",#N/A,TRUE,"INT"}</definedName>
    <definedName name="wrn.ALL." localSheetId="6" hidden="1">{#N/A,#N/A,TRUE,"RES";#N/A,#N/A,TRUE,"RES SHELL";#N/A,#N/A,TRUE,"RES HVAC";#N/A,#N/A,TRUE,"MOTORS";#N/A,#N/A,TRUE,"COM MISC";#N/A,#N/A,TRUE,"COM COOL";#N/A,#N/A,TRUE,"COM LIGHT";"print",#N/A,TRUE,"INT"}</definedName>
    <definedName name="wrn.ALL." localSheetId="7" hidden="1">{#N/A,#N/A,TRUE,"RES";#N/A,#N/A,TRUE,"RES SHELL";#N/A,#N/A,TRUE,"RES HVAC";#N/A,#N/A,TRUE,"MOTORS";#N/A,#N/A,TRUE,"COM MISC";#N/A,#N/A,TRUE,"COM COOL";#N/A,#N/A,TRUE,"COM LIGHT";"print",#N/A,TRUE,"INT"}</definedName>
    <definedName name="wrn.ALL." localSheetId="12" hidden="1">{#N/A,#N/A,TRUE,"RES";#N/A,#N/A,TRUE,"RES SHELL";#N/A,#N/A,TRUE,"RES HVAC";#N/A,#N/A,TRUE,"MOTORS";#N/A,#N/A,TRUE,"COM MISC";#N/A,#N/A,TRUE,"COM COOL";#N/A,#N/A,TRUE,"COM LIGHT";"print",#N/A,TRUE,"INT"}</definedName>
    <definedName name="wrn.ALL." localSheetId="8" hidden="1">{#N/A,#N/A,TRUE,"RES";#N/A,#N/A,TRUE,"RES SHELL";#N/A,#N/A,TRUE,"RES HVAC";#N/A,#N/A,TRUE,"MOTORS";#N/A,#N/A,TRUE,"COM MISC";#N/A,#N/A,TRUE,"COM COOL";#N/A,#N/A,TRUE,"COM LIGHT";"print",#N/A,TRUE,"INT"}</definedName>
    <definedName name="wrn.ALL." localSheetId="2" hidden="1">{#N/A,#N/A,TRUE,"RES";#N/A,#N/A,TRUE,"RES SHELL";#N/A,#N/A,TRUE,"RES HVAC";#N/A,#N/A,TRUE,"MOTORS";#N/A,#N/A,TRUE,"COM MISC";#N/A,#N/A,TRUE,"COM COOL";#N/A,#N/A,TRUE,"COM LIGHT";"print",#N/A,TRUE,"INT"}</definedName>
    <definedName name="wrn.ALL." localSheetId="3" hidden="1">{#N/A,#N/A,TRUE,"RES";#N/A,#N/A,TRUE,"RES SHELL";#N/A,#N/A,TRUE,"RES HVAC";#N/A,#N/A,TRUE,"MOTORS";#N/A,#N/A,TRUE,"COM MISC";#N/A,#N/A,TRUE,"COM COOL";#N/A,#N/A,TRUE,"COM LIGHT";"print",#N/A,TRUE,"INT"}</definedName>
    <definedName name="wrn.ALL." localSheetId="15" hidden="1">{#N/A,#N/A,TRUE,"RES";#N/A,#N/A,TRUE,"RES SHELL";#N/A,#N/A,TRUE,"RES HVAC";#N/A,#N/A,TRUE,"MOTORS";#N/A,#N/A,TRUE,"COM MISC";#N/A,#N/A,TRUE,"COM COOL";#N/A,#N/A,TRUE,"COM LIGHT";"print",#N/A,TRUE,"INT"}</definedName>
    <definedName name="wrn.ALL." localSheetId="98" hidden="1">{#N/A,#N/A,TRUE,"RES";#N/A,#N/A,TRUE,"RES SHELL";#N/A,#N/A,TRUE,"RES HVAC";#N/A,#N/A,TRUE,"MOTORS";#N/A,#N/A,TRUE,"COM MISC";#N/A,#N/A,TRUE,"COM COOL";#N/A,#N/A,TRUE,"COM LIGHT";"print",#N/A,TRUE,"INT"}</definedName>
    <definedName name="wrn.ALL." localSheetId="102" hidden="1">{#N/A,#N/A,TRUE,"RES";#N/A,#N/A,TRUE,"RES SHELL";#N/A,#N/A,TRUE,"RES HVAC";#N/A,#N/A,TRUE,"MOTORS";#N/A,#N/A,TRUE,"COM MISC";#N/A,#N/A,TRUE,"COM COOL";#N/A,#N/A,TRUE,"COM LIGHT";"print",#N/A,TRUE,"INT"}</definedName>
    <definedName name="wrn.ALL." localSheetId="20" hidden="1">{#N/A,#N/A,TRUE,"RES";#N/A,#N/A,TRUE,"RES SHELL";#N/A,#N/A,TRUE,"RES HVAC";#N/A,#N/A,TRUE,"MOTORS";#N/A,#N/A,TRUE,"COM MISC";#N/A,#N/A,TRUE,"COM COOL";#N/A,#N/A,TRUE,"COM LIGHT";"print",#N/A,TRUE,"INT"}</definedName>
    <definedName name="wrn.ALL." localSheetId="100" hidden="1">{#N/A,#N/A,TRUE,"RES";#N/A,#N/A,TRUE,"RES SHELL";#N/A,#N/A,TRUE,"RES HVAC";#N/A,#N/A,TRUE,"MOTORS";#N/A,#N/A,TRUE,"COM MISC";#N/A,#N/A,TRUE,"COM COOL";#N/A,#N/A,TRUE,"COM LIGHT";"print",#N/A,TRUE,"INT"}</definedName>
    <definedName name="wrn.ALL." localSheetId="99" hidden="1">{#N/A,#N/A,TRUE,"RES";#N/A,#N/A,TRUE,"RES SHELL";#N/A,#N/A,TRUE,"RES HVAC";#N/A,#N/A,TRUE,"MOTORS";#N/A,#N/A,TRUE,"COM MISC";#N/A,#N/A,TRUE,"COM COOL";#N/A,#N/A,TRUE,"COM LIGHT";"print",#N/A,TRUE,"INT"}</definedName>
    <definedName name="wrn.ALL." localSheetId="9" hidden="1">{#N/A,#N/A,TRUE,"RES";#N/A,#N/A,TRUE,"RES SHELL";#N/A,#N/A,TRUE,"RES HVAC";#N/A,#N/A,TRUE,"MOTORS";#N/A,#N/A,TRUE,"COM MISC";#N/A,#N/A,TRUE,"COM COOL";#N/A,#N/A,TRUE,"COM LIGHT";"print",#N/A,TRUE,"INT"}</definedName>
    <definedName name="wrn.ALL." localSheetId="19" hidden="1">{#N/A,#N/A,TRUE,"RES";#N/A,#N/A,TRUE,"RES SHELL";#N/A,#N/A,TRUE,"RES HVAC";#N/A,#N/A,TRUE,"MOTORS";#N/A,#N/A,TRUE,"COM MISC";#N/A,#N/A,TRUE,"COM COOL";#N/A,#N/A,TRUE,"COM LIGHT";"print",#N/A,TRUE,"INT"}</definedName>
    <definedName name="wrn.ALL." localSheetId="21" hidden="1">{#N/A,#N/A,TRUE,"RES";#N/A,#N/A,TRUE,"RES SHELL";#N/A,#N/A,TRUE,"RES HVAC";#N/A,#N/A,TRUE,"MOTORS";#N/A,#N/A,TRUE,"COM MISC";#N/A,#N/A,TRUE,"COM COOL";#N/A,#N/A,TRUE,"COM LIGHT";"print",#N/A,TRUE,"INT"}</definedName>
    <definedName name="wrn.ALL." localSheetId="5" hidden="1">{#N/A,#N/A,TRUE,"RES";#N/A,#N/A,TRUE,"RES SHELL";#N/A,#N/A,TRUE,"RES HVAC";#N/A,#N/A,TRUE,"MOTORS";#N/A,#N/A,TRUE,"COM MISC";#N/A,#N/A,TRUE,"COM COOL";#N/A,#N/A,TRUE,"COM LIGHT";"print",#N/A,TRUE,"INT"}</definedName>
    <definedName name="wrn.ALL." localSheetId="97" hidden="1">{#N/A,#N/A,TRUE,"RES";#N/A,#N/A,TRUE,"RES SHELL";#N/A,#N/A,TRUE,"RES HVAC";#N/A,#N/A,TRUE,"MOTORS";#N/A,#N/A,TRUE,"COM MISC";#N/A,#N/A,TRUE,"COM COOL";#N/A,#N/A,TRUE,"COM LIGHT";"print",#N/A,TRUE,"INT"}</definedName>
    <definedName name="wrn.ALL." localSheetId="22" hidden="1">{#N/A,#N/A,TRUE,"RES";#N/A,#N/A,TRUE,"RES SHELL";#N/A,#N/A,TRUE,"RES HVAC";#N/A,#N/A,TRUE,"MOTORS";#N/A,#N/A,TRUE,"COM MISC";#N/A,#N/A,TRUE,"COM COOL";#N/A,#N/A,TRUE,"COM LIGHT";"print",#N/A,TRUE,"INT"}</definedName>
    <definedName name="wrn.ALL." localSheetId="13" hidden="1">{#N/A,#N/A,TRUE,"RES";#N/A,#N/A,TRUE,"RES SHELL";#N/A,#N/A,TRUE,"RES HVAC";#N/A,#N/A,TRUE,"MOTORS";#N/A,#N/A,TRUE,"COM MISC";#N/A,#N/A,TRUE,"COM COOL";#N/A,#N/A,TRUE,"COM LIGHT";"print",#N/A,TRUE,"INT"}</definedName>
    <definedName name="wrn.ALL." localSheetId="16" hidden="1">{#N/A,#N/A,TRUE,"RES";#N/A,#N/A,TRUE,"RES SHELL";#N/A,#N/A,TRUE,"RES HVAC";#N/A,#N/A,TRUE,"MOTORS";#N/A,#N/A,TRUE,"COM MISC";#N/A,#N/A,TRUE,"COM COOL";#N/A,#N/A,TRUE,"COM LIGHT";"print",#N/A,TRUE,"INT"}</definedName>
    <definedName name="wrn.ALL." localSheetId="4" hidden="1">{#N/A,#N/A,TRUE,"RES";#N/A,#N/A,TRUE,"RES SHELL";#N/A,#N/A,TRUE,"RES HVAC";#N/A,#N/A,TRUE,"MOTORS";#N/A,#N/A,TRUE,"COM MISC";#N/A,#N/A,TRUE,"COM COOL";#N/A,#N/A,TRUE,"COM LIGHT";"print",#N/A,TRUE,"INT"}</definedName>
    <definedName name="wrn.ALL." localSheetId="11" hidden="1">{#N/A,#N/A,TRUE,"RES";#N/A,#N/A,TRUE,"RES SHELL";#N/A,#N/A,TRUE,"RES HVAC";#N/A,#N/A,TRUE,"MOTORS";#N/A,#N/A,TRUE,"COM MISC";#N/A,#N/A,TRUE,"COM COOL";#N/A,#N/A,TRUE,"COM LIGHT";"print",#N/A,TRUE,"INT"}</definedName>
    <definedName name="wrn.ALL." localSheetId="23" hidden="1">{#N/A,#N/A,TRUE,"RES";#N/A,#N/A,TRUE,"RES SHELL";#N/A,#N/A,TRUE,"RES HVAC";#N/A,#N/A,TRUE,"MOTORS";#N/A,#N/A,TRUE,"COM MISC";#N/A,#N/A,TRUE,"COM COOL";#N/A,#N/A,TRUE,"COM LIGHT";"print",#N/A,TRUE,"INT"}</definedName>
    <definedName name="wrn.ALL." localSheetId="24" hidden="1">{#N/A,#N/A,TRUE,"RES";#N/A,#N/A,TRUE,"RES SHELL";#N/A,#N/A,TRUE,"RES HVAC";#N/A,#N/A,TRUE,"MOTORS";#N/A,#N/A,TRUE,"COM MISC";#N/A,#N/A,TRUE,"COM COOL";#N/A,#N/A,TRUE,"COM LIGHT";"print",#N/A,TRUE,"INT"}</definedName>
    <definedName name="wrn.ALL." localSheetId="104" hidden="1">{#N/A,#N/A,TRUE,"RES";#N/A,#N/A,TRUE,"RES SHELL";#N/A,#N/A,TRUE,"RES HVAC";#N/A,#N/A,TRUE,"MOTORS";#N/A,#N/A,TRUE,"COM MISC";#N/A,#N/A,TRUE,"COM COOL";#N/A,#N/A,TRUE,"COM LIGHT";"print",#N/A,TRUE,"INT"}</definedName>
    <definedName name="wrn.ALL." localSheetId="25" hidden="1">{#N/A,#N/A,TRUE,"RES";#N/A,#N/A,TRUE,"RES SHELL";#N/A,#N/A,TRUE,"RES HVAC";#N/A,#N/A,TRUE,"MOTORS";#N/A,#N/A,TRUE,"COM MISC";#N/A,#N/A,TRUE,"COM COOL";#N/A,#N/A,TRUE,"COM LIGHT";"print",#N/A,TRUE,"INT"}</definedName>
    <definedName name="wrn.ALL." localSheetId="26" hidden="1">{#N/A,#N/A,TRUE,"RES";#N/A,#N/A,TRUE,"RES SHELL";#N/A,#N/A,TRUE,"RES HVAC";#N/A,#N/A,TRUE,"MOTORS";#N/A,#N/A,TRUE,"COM MISC";#N/A,#N/A,TRUE,"COM COOL";#N/A,#N/A,TRUE,"COM LIGHT";"print",#N/A,TRUE,"INT"}</definedName>
    <definedName name="wrn.ALL." localSheetId="10" hidden="1">{#N/A,#N/A,TRUE,"RES";#N/A,#N/A,TRUE,"RES SHELL";#N/A,#N/A,TRUE,"RES HVAC";#N/A,#N/A,TRUE,"MOTORS";#N/A,#N/A,TRUE,"COM MISC";#N/A,#N/A,TRUE,"COM COOL";#N/A,#N/A,TRUE,"COM LIGHT";"print",#N/A,TRUE,"INT"}</definedName>
    <definedName name="wrn.ALL." localSheetId="101" hidden="1">{#N/A,#N/A,TRUE,"RES";#N/A,#N/A,TRUE,"RES SHELL";#N/A,#N/A,TRUE,"RES HVAC";#N/A,#N/A,TRUE,"MOTORS";#N/A,#N/A,TRUE,"COM MISC";#N/A,#N/A,TRUE,"COM COOL";#N/A,#N/A,TRUE,"COM LIGHT";"print",#N/A,TRUE,"INT"}</definedName>
    <definedName name="wrn.ALL." localSheetId="14" hidden="1">{#N/A,#N/A,TRUE,"RES";#N/A,#N/A,TRUE,"RES SHELL";#N/A,#N/A,TRUE,"RES HVAC";#N/A,#N/A,TRUE,"MOTORS";#N/A,#N/A,TRUE,"COM MISC";#N/A,#N/A,TRUE,"COM COOL";#N/A,#N/A,TRUE,"COM LIGHT";"print",#N/A,TRUE,"INT"}</definedName>
    <definedName name="wrn.ALL." localSheetId="17" hidden="1">{#N/A,#N/A,TRUE,"RES";#N/A,#N/A,TRUE,"RES SHELL";#N/A,#N/A,TRUE,"RES HVAC";#N/A,#N/A,TRUE,"MOTORS";#N/A,#N/A,TRUE,"COM MISC";#N/A,#N/A,TRUE,"COM COOL";#N/A,#N/A,TRUE,"COM LIGHT";"print",#N/A,TRUE,"INT"}</definedName>
    <definedName name="wrn.ALL." localSheetId="18" hidden="1">{#N/A,#N/A,TRUE,"RES";#N/A,#N/A,TRUE,"RES SHELL";#N/A,#N/A,TRUE,"RES HVAC";#N/A,#N/A,TRUE,"MOTORS";#N/A,#N/A,TRUE,"COM MISC";#N/A,#N/A,TRUE,"COM COOL";#N/A,#N/A,TRUE,"COM LIGHT";"print",#N/A,TRUE,"INT"}</definedName>
    <definedName name="wrn.ALL." localSheetId="27" hidden="1">{#N/A,#N/A,TRUE,"RES";#N/A,#N/A,TRUE,"RES SHELL";#N/A,#N/A,TRUE,"RES HVAC";#N/A,#N/A,TRUE,"MOTORS";#N/A,#N/A,TRUE,"COM MISC";#N/A,#N/A,TRUE,"COM COOL";#N/A,#N/A,TRUE,"COM LIGHT";"print",#N/A,TRUE,"INT"}</definedName>
    <definedName name="wrn.ALL." hidden="1">{#N/A,#N/A,TRUE,"RES";#N/A,#N/A,TRUE,"RES SHELL";#N/A,#N/A,TRUE,"RES HVAC";#N/A,#N/A,TRUE,"MOTORS";#N/A,#N/A,TRUE,"COM MISC";#N/A,#N/A,TRUE,"COM COOL";#N/A,#N/A,TRUE,"COM LIGHT";"print",#N/A,TRUE,"INT"}</definedName>
    <definedName name="wrn.new." localSheetId="5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7" hidden="1">{#N/A,#N/A,FALSE,"RES";#N/A,#N/A,FALSE,"RES SHELL_SF";#N/A,#N/A,FALSE,"RES SHELL_MF";#N/A,#N/A,FALSE,"RES HVAC_SF";#N/A,#N/A,FALSE,"RES HVAC_MF";#N/A,#N/A,FALSE,"COM WH";#N/A,#N/A,FALSE,"MOTORS";#N/A,#N/A,FALSE,"VENTILATION";#N/A,#N/A,FALSE,"COM MISC";#N/A,#N/A,FALSE,"COM COOL";#N/A,#N/A,FALSE,"COM COOL_HEAT";#N/A,#N/A,FALSE,"COM LIGHT";#N/A,#N/A,FALSE,"INT"}</definedName>
    <definedName name="wrn.new." hidden="1">{#N/A,#N/A,FALSE,"RES";#N/A,#N/A,FALSE,"RES SHELL_SF";#N/A,#N/A,FALSE,"RES SHELL_MF";#N/A,#N/A,FALSE,"RES HVAC_SF";#N/A,#N/A,FALSE,"RES HVAC_MF";#N/A,#N/A,FALSE,"COM WH";#N/A,#N/A,FALSE,"MOTORS";#N/A,#N/A,FALSE,"VENTILATION";#N/A,#N/A,FALSE,"COM MISC";#N/A,#N/A,FALSE,"COM COOL";#N/A,#N/A,FALSE,"COM COOL_HEAT";#N/A,#N/A,FALSE,"COM LIGHT";#N/A,#N/A,FALSE,"INT"}</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5" i="39" l="1"/>
  <c r="L135" i="39"/>
  <c r="K135" i="39"/>
  <c r="J135" i="39"/>
  <c r="I135" i="39"/>
  <c r="M134" i="39"/>
  <c r="L134" i="39"/>
  <c r="K134" i="39"/>
  <c r="J134" i="39"/>
  <c r="I134" i="39"/>
  <c r="L133" i="39"/>
  <c r="M132" i="39"/>
  <c r="L132" i="39"/>
  <c r="K132" i="39"/>
  <c r="J132" i="39"/>
  <c r="I132" i="39"/>
  <c r="M131" i="39"/>
  <c r="L131" i="39"/>
  <c r="K131" i="39"/>
  <c r="J131" i="39"/>
  <c r="I131" i="39"/>
  <c r="M130" i="39"/>
  <c r="L130" i="39"/>
  <c r="K130" i="39"/>
  <c r="J130" i="39"/>
  <c r="I130" i="39"/>
  <c r="M129" i="39"/>
  <c r="L129" i="39"/>
  <c r="K129" i="39"/>
  <c r="J129" i="39"/>
  <c r="I129" i="39"/>
  <c r="L128" i="39"/>
  <c r="M127" i="39"/>
  <c r="L127" i="39"/>
  <c r="K127" i="39"/>
  <c r="J127" i="39"/>
  <c r="I127" i="39"/>
  <c r="M126" i="39"/>
  <c r="L126" i="39"/>
  <c r="K126" i="39"/>
  <c r="J126" i="39"/>
  <c r="I126" i="39"/>
  <c r="L125" i="39"/>
  <c r="M124" i="39"/>
  <c r="L124" i="39"/>
  <c r="K124" i="39"/>
  <c r="J124" i="39"/>
  <c r="I124" i="39"/>
  <c r="M123" i="39"/>
  <c r="L123" i="39"/>
  <c r="K123" i="39"/>
  <c r="J123" i="39"/>
  <c r="I123" i="39"/>
  <c r="M122" i="39"/>
  <c r="L122" i="39"/>
  <c r="K122" i="39"/>
  <c r="J122" i="39"/>
  <c r="I122" i="39"/>
  <c r="M121" i="39"/>
  <c r="L121" i="39"/>
  <c r="K121" i="39"/>
  <c r="J121" i="39"/>
  <c r="I121" i="39"/>
  <c r="V103" i="39"/>
  <c r="U103" i="39"/>
  <c r="T103" i="39"/>
  <c r="S103" i="39"/>
  <c r="R103" i="39"/>
  <c r="Q103" i="39"/>
  <c r="P103" i="39"/>
  <c r="A103" i="39"/>
  <c r="V102" i="39"/>
  <c r="U102" i="39"/>
  <c r="T102" i="39"/>
  <c r="S102" i="39"/>
  <c r="R102" i="39"/>
  <c r="Q102" i="39"/>
  <c r="P102" i="39"/>
  <c r="A102" i="39"/>
  <c r="V101" i="39"/>
  <c r="U101" i="39"/>
  <c r="T101" i="39"/>
  <c r="S101" i="39"/>
  <c r="R101" i="39"/>
  <c r="Q101" i="39"/>
  <c r="P101" i="39"/>
  <c r="A101" i="39"/>
  <c r="V100" i="39"/>
  <c r="U100" i="39"/>
  <c r="T100" i="39"/>
  <c r="S100" i="39"/>
  <c r="R100" i="39"/>
  <c r="Q100" i="39"/>
  <c r="P100" i="39"/>
  <c r="A100" i="39"/>
  <c r="V99" i="39"/>
  <c r="U99" i="39"/>
  <c r="T99" i="39"/>
  <c r="S99" i="39"/>
  <c r="R99" i="39"/>
  <c r="Q99" i="39"/>
  <c r="P99" i="39"/>
  <c r="A99" i="39"/>
  <c r="V98" i="39"/>
  <c r="U98" i="39"/>
  <c r="T98" i="39"/>
  <c r="S98" i="39"/>
  <c r="R98" i="39"/>
  <c r="Q98" i="39"/>
  <c r="P98" i="39"/>
  <c r="A98" i="39"/>
  <c r="V97" i="39"/>
  <c r="U97" i="39"/>
  <c r="T97" i="39"/>
  <c r="S97" i="39"/>
  <c r="R97" i="39"/>
  <c r="Q97" i="39"/>
  <c r="P97" i="39"/>
  <c r="A97" i="39"/>
  <c r="V96" i="39"/>
  <c r="U96" i="39"/>
  <c r="T96" i="39"/>
  <c r="S96" i="39"/>
  <c r="R96" i="39"/>
  <c r="Q96" i="39"/>
  <c r="P96" i="39"/>
  <c r="A96" i="39"/>
  <c r="V95" i="39"/>
  <c r="U95" i="39"/>
  <c r="T95" i="39"/>
  <c r="S95" i="39"/>
  <c r="R95" i="39"/>
  <c r="Q95" i="39"/>
  <c r="P95" i="39"/>
  <c r="A95" i="39"/>
  <c r="V94" i="39"/>
  <c r="U94" i="39"/>
  <c r="T94" i="39"/>
  <c r="S94" i="39"/>
  <c r="R94" i="39"/>
  <c r="Q94" i="39"/>
  <c r="P94" i="39"/>
  <c r="A94" i="39"/>
  <c r="V93" i="39"/>
  <c r="U93" i="39"/>
  <c r="T93" i="39"/>
  <c r="S93" i="39"/>
  <c r="R93" i="39"/>
  <c r="Q93" i="39"/>
  <c r="P93" i="39"/>
  <c r="A93" i="39"/>
  <c r="V92" i="39"/>
  <c r="U92" i="39"/>
  <c r="T92" i="39"/>
  <c r="S92" i="39"/>
  <c r="R92" i="39"/>
  <c r="Q92" i="39"/>
  <c r="P92" i="39"/>
  <c r="A92" i="39"/>
  <c r="V91" i="39"/>
  <c r="U91" i="39"/>
  <c r="T91" i="39"/>
  <c r="S91" i="39"/>
  <c r="R91" i="39"/>
  <c r="Q91" i="39"/>
  <c r="P91" i="39"/>
  <c r="A91" i="39"/>
  <c r="V90" i="39"/>
  <c r="U90" i="39"/>
  <c r="T90" i="39"/>
  <c r="S90" i="39"/>
  <c r="R90" i="39"/>
  <c r="Q90" i="39"/>
  <c r="P90" i="39"/>
  <c r="A90" i="39"/>
  <c r="V89" i="39"/>
  <c r="U89" i="39"/>
  <c r="T89" i="39"/>
  <c r="S89" i="39"/>
  <c r="R89" i="39"/>
  <c r="Q89" i="39"/>
  <c r="P89" i="39"/>
  <c r="A89" i="39"/>
  <c r="V88" i="39"/>
  <c r="U88" i="39"/>
  <c r="T88" i="39"/>
  <c r="S88" i="39"/>
  <c r="R88" i="39"/>
  <c r="Q88" i="39"/>
  <c r="P88" i="39"/>
  <c r="A88" i="39"/>
  <c r="V87" i="39"/>
  <c r="U87" i="39"/>
  <c r="T87" i="39"/>
  <c r="S87" i="39"/>
  <c r="R87" i="39"/>
  <c r="Q87" i="39"/>
  <c r="P87" i="39"/>
  <c r="A87" i="39"/>
  <c r="V86" i="39"/>
  <c r="U86" i="39"/>
  <c r="T86" i="39"/>
  <c r="S86" i="39"/>
  <c r="R86" i="39"/>
  <c r="Q86" i="39"/>
  <c r="P86" i="39"/>
  <c r="A86" i="39"/>
  <c r="V85" i="39"/>
  <c r="U85" i="39"/>
  <c r="T85" i="39"/>
  <c r="S85" i="39"/>
  <c r="R85" i="39"/>
  <c r="Q85" i="39"/>
  <c r="P85" i="39"/>
  <c r="A85" i="39"/>
  <c r="V84" i="39"/>
  <c r="U84" i="39"/>
  <c r="T84" i="39"/>
  <c r="S84" i="39"/>
  <c r="R84" i="39"/>
  <c r="Q84" i="39"/>
  <c r="P84" i="39"/>
  <c r="A84" i="39"/>
  <c r="V83" i="39"/>
  <c r="U83" i="39"/>
  <c r="T83" i="39"/>
  <c r="S83" i="39"/>
  <c r="R83" i="39"/>
  <c r="Q83" i="39"/>
  <c r="P83" i="39"/>
  <c r="A83" i="39"/>
  <c r="V82" i="39"/>
  <c r="U82" i="39"/>
  <c r="T82" i="39"/>
  <c r="S82" i="39"/>
  <c r="R82" i="39"/>
  <c r="Q82" i="39"/>
  <c r="P82" i="39"/>
  <c r="L82" i="39"/>
  <c r="K82" i="39"/>
  <c r="J82" i="39"/>
  <c r="I82" i="39"/>
  <c r="H82" i="39"/>
  <c r="G82" i="39"/>
  <c r="F82" i="39"/>
  <c r="A82" i="39"/>
  <c r="V81" i="39"/>
  <c r="U81" i="39"/>
  <c r="T81" i="39"/>
  <c r="S81" i="39"/>
  <c r="R81" i="39"/>
  <c r="Q81" i="39"/>
  <c r="P81" i="39"/>
  <c r="A81" i="39"/>
  <c r="V80" i="39"/>
  <c r="U80" i="39"/>
  <c r="T80" i="39"/>
  <c r="S80" i="39"/>
  <c r="R80" i="39"/>
  <c r="Q80" i="39"/>
  <c r="P80" i="39"/>
  <c r="A80" i="39"/>
  <c r="V79" i="39"/>
  <c r="U79" i="39"/>
  <c r="T79" i="39"/>
  <c r="S79" i="39"/>
  <c r="R79" i="39"/>
  <c r="Q79" i="39"/>
  <c r="P79" i="39"/>
  <c r="A79" i="39"/>
  <c r="V78" i="39"/>
  <c r="U78" i="39"/>
  <c r="T78" i="39"/>
  <c r="S78" i="39"/>
  <c r="R78" i="39"/>
  <c r="Q78" i="39"/>
  <c r="P78" i="39"/>
  <c r="A78" i="39"/>
  <c r="V77" i="39"/>
  <c r="U77" i="39"/>
  <c r="T77" i="39"/>
  <c r="S77" i="39"/>
  <c r="R77" i="39"/>
  <c r="Q77" i="39"/>
  <c r="P77" i="39"/>
  <c r="A77" i="39"/>
  <c r="V76" i="39"/>
  <c r="U76" i="39"/>
  <c r="T76" i="39"/>
  <c r="S76" i="39"/>
  <c r="R76" i="39"/>
  <c r="Q76" i="39"/>
  <c r="P76" i="39"/>
  <c r="A76" i="39"/>
  <c r="V75" i="39"/>
  <c r="U75" i="39"/>
  <c r="T75" i="39"/>
  <c r="S75" i="39"/>
  <c r="R75" i="39"/>
  <c r="Q75" i="39"/>
  <c r="P75" i="39"/>
  <c r="A75" i="39"/>
  <c r="V74" i="39"/>
  <c r="U74" i="39"/>
  <c r="T74" i="39"/>
  <c r="S74" i="39"/>
  <c r="R74" i="39"/>
  <c r="Q74" i="39"/>
  <c r="P74" i="39"/>
  <c r="A74" i="39"/>
  <c r="V73" i="39"/>
  <c r="U73" i="39"/>
  <c r="T73" i="39"/>
  <c r="S73" i="39"/>
  <c r="R73" i="39"/>
  <c r="Q73" i="39"/>
  <c r="P73" i="39"/>
  <c r="A73" i="39"/>
  <c r="V72" i="39"/>
  <c r="U72" i="39"/>
  <c r="T72" i="39"/>
  <c r="S72" i="39"/>
  <c r="R72" i="39"/>
  <c r="Q72" i="39"/>
  <c r="P72" i="39"/>
  <c r="A72" i="39"/>
  <c r="V71" i="39"/>
  <c r="U71" i="39"/>
  <c r="T71" i="39"/>
  <c r="S71" i="39"/>
  <c r="R71" i="39"/>
  <c r="Q71" i="39"/>
  <c r="P71" i="39"/>
  <c r="L71" i="39"/>
  <c r="K71" i="39"/>
  <c r="J71" i="39"/>
  <c r="I71" i="39"/>
  <c r="H71" i="39"/>
  <c r="G71" i="39"/>
  <c r="F71" i="39"/>
  <c r="E71" i="39"/>
  <c r="D71" i="39"/>
  <c r="C71" i="39"/>
  <c r="A71" i="39"/>
  <c r="V70" i="39"/>
  <c r="U70" i="39"/>
  <c r="T70" i="39"/>
  <c r="S70" i="39"/>
  <c r="R70" i="39"/>
  <c r="Q70" i="39"/>
  <c r="P70" i="39"/>
  <c r="A70" i="39"/>
  <c r="V69" i="39"/>
  <c r="U69" i="39"/>
  <c r="T69" i="39"/>
  <c r="S69" i="39"/>
  <c r="R69" i="39"/>
  <c r="Q69" i="39"/>
  <c r="P69" i="39"/>
  <c r="L69" i="39"/>
  <c r="K69" i="39"/>
  <c r="J69" i="39"/>
  <c r="I69" i="39"/>
  <c r="H69" i="39"/>
  <c r="A69" i="39"/>
  <c r="V68" i="39"/>
  <c r="U68" i="39"/>
  <c r="T68" i="39"/>
  <c r="S68" i="39"/>
  <c r="R68" i="39"/>
  <c r="Q68" i="39"/>
  <c r="P68" i="39"/>
  <c r="A68" i="39"/>
  <c r="V67" i="39"/>
  <c r="U67" i="39"/>
  <c r="T67" i="39"/>
  <c r="S67" i="39"/>
  <c r="R67" i="39"/>
  <c r="Q67" i="39"/>
  <c r="P67" i="39"/>
  <c r="A67" i="39"/>
  <c r="V66" i="39"/>
  <c r="U66" i="39"/>
  <c r="T66" i="39"/>
  <c r="S66" i="39"/>
  <c r="R66" i="39"/>
  <c r="Q66" i="39"/>
  <c r="P66" i="39"/>
  <c r="A66" i="39"/>
  <c r="V65" i="39"/>
  <c r="U65" i="39"/>
  <c r="T65" i="39"/>
  <c r="S65" i="39"/>
  <c r="R65" i="39"/>
  <c r="Q65" i="39"/>
  <c r="P65" i="39"/>
  <c r="A65" i="39"/>
  <c r="V64" i="39"/>
  <c r="U64" i="39"/>
  <c r="T64" i="39"/>
  <c r="S64" i="39"/>
  <c r="R64" i="39"/>
  <c r="Q64" i="39"/>
  <c r="P64" i="39"/>
  <c r="A64" i="39"/>
  <c r="V63" i="39"/>
  <c r="U63" i="39"/>
  <c r="T63" i="39"/>
  <c r="S63" i="39"/>
  <c r="R63" i="39"/>
  <c r="Q63" i="39"/>
  <c r="P63" i="39"/>
  <c r="A63" i="39"/>
  <c r="V62" i="39"/>
  <c r="U62" i="39"/>
  <c r="T62" i="39"/>
  <c r="S62" i="39"/>
  <c r="R62" i="39"/>
  <c r="Q62" i="39"/>
  <c r="P62" i="39"/>
  <c r="A62" i="39"/>
  <c r="V61" i="39"/>
  <c r="U61" i="39"/>
  <c r="T61" i="39"/>
  <c r="S61" i="39"/>
  <c r="R61" i="39"/>
  <c r="Q61" i="39"/>
  <c r="P61" i="39"/>
  <c r="A61" i="39"/>
  <c r="V60" i="39"/>
  <c r="U60" i="39"/>
  <c r="T60" i="39"/>
  <c r="S60" i="39"/>
  <c r="R60" i="39"/>
  <c r="Q60" i="39"/>
  <c r="P60" i="39"/>
  <c r="A60" i="39"/>
  <c r="V59" i="39"/>
  <c r="U59" i="39"/>
  <c r="T59" i="39"/>
  <c r="S59" i="39"/>
  <c r="R59" i="39"/>
  <c r="Q59" i="39"/>
  <c r="P59" i="39"/>
  <c r="A59" i="39"/>
  <c r="V58" i="39"/>
  <c r="U58" i="39"/>
  <c r="T58" i="39"/>
  <c r="S58" i="39"/>
  <c r="R58" i="39"/>
  <c r="Q58" i="39"/>
  <c r="P58" i="39"/>
  <c r="C58" i="39"/>
  <c r="A58" i="39"/>
  <c r="V57" i="39"/>
  <c r="U57" i="39"/>
  <c r="T57" i="39"/>
  <c r="S57" i="39"/>
  <c r="R57" i="39"/>
  <c r="Q57" i="39"/>
  <c r="P57" i="39"/>
  <c r="C57" i="39"/>
  <c r="A57" i="39"/>
  <c r="V56" i="39"/>
  <c r="U56" i="39"/>
  <c r="T56" i="39"/>
  <c r="S56" i="39"/>
  <c r="R56" i="39"/>
  <c r="Q56" i="39"/>
  <c r="P56" i="39"/>
  <c r="A56" i="39"/>
  <c r="V55" i="39"/>
  <c r="U55" i="39"/>
  <c r="T55" i="39"/>
  <c r="S55" i="39"/>
  <c r="R55" i="39"/>
  <c r="Q55" i="39"/>
  <c r="P55" i="39"/>
  <c r="A55" i="39"/>
  <c r="V54" i="39"/>
  <c r="U54" i="39"/>
  <c r="T54" i="39"/>
  <c r="S54" i="39"/>
  <c r="R54" i="39"/>
  <c r="Q54" i="39"/>
  <c r="P54" i="39"/>
  <c r="A54" i="39"/>
  <c r="V53" i="39"/>
  <c r="U53" i="39"/>
  <c r="T53" i="39"/>
  <c r="S53" i="39"/>
  <c r="R53" i="39"/>
  <c r="Q53" i="39"/>
  <c r="P53" i="39"/>
  <c r="L53" i="39"/>
  <c r="K53" i="39"/>
  <c r="J53" i="39"/>
  <c r="I53" i="39"/>
  <c r="H53" i="39"/>
  <c r="G53" i="39"/>
  <c r="F53" i="39"/>
  <c r="E53" i="39"/>
  <c r="D53" i="39"/>
  <c r="C53" i="39"/>
  <c r="A53" i="39"/>
  <c r="V52" i="39"/>
  <c r="U52" i="39"/>
  <c r="T52" i="39"/>
  <c r="S52" i="39"/>
  <c r="R52" i="39"/>
  <c r="Q52" i="39"/>
  <c r="P52" i="39"/>
  <c r="L52" i="39"/>
  <c r="K52" i="39"/>
  <c r="J52" i="39"/>
  <c r="I52" i="39"/>
  <c r="H52" i="39"/>
  <c r="G52" i="39"/>
  <c r="F52" i="39"/>
  <c r="E52" i="39"/>
  <c r="D52" i="39"/>
  <c r="C52" i="39"/>
  <c r="A52" i="39"/>
  <c r="V51" i="39"/>
  <c r="U51" i="39"/>
  <c r="T51" i="39"/>
  <c r="S51" i="39"/>
  <c r="R51" i="39"/>
  <c r="Q51" i="39"/>
  <c r="P51" i="39"/>
  <c r="A51" i="39"/>
  <c r="V50" i="39"/>
  <c r="U50" i="39"/>
  <c r="T50" i="39"/>
  <c r="S50" i="39"/>
  <c r="R50" i="39"/>
  <c r="Q50" i="39"/>
  <c r="P50" i="39"/>
  <c r="A50" i="39"/>
  <c r="V49" i="39"/>
  <c r="U49" i="39"/>
  <c r="T49" i="39"/>
  <c r="S49" i="39"/>
  <c r="R49" i="39"/>
  <c r="Q49" i="39"/>
  <c r="P49" i="39"/>
  <c r="A49" i="39"/>
  <c r="V48" i="39"/>
  <c r="U48" i="39"/>
  <c r="T48" i="39"/>
  <c r="S48" i="39"/>
  <c r="R48" i="39"/>
  <c r="Q48" i="39"/>
  <c r="P48" i="39"/>
  <c r="A48" i="39"/>
  <c r="V47" i="39"/>
  <c r="U47" i="39"/>
  <c r="T47" i="39"/>
  <c r="S47" i="39"/>
  <c r="R47" i="39"/>
  <c r="Q47" i="39"/>
  <c r="P47" i="39"/>
  <c r="A47" i="39"/>
  <c r="V46" i="39"/>
  <c r="U46" i="39"/>
  <c r="T46" i="39"/>
  <c r="S46" i="39"/>
  <c r="R46" i="39"/>
  <c r="Q46" i="39"/>
  <c r="P46" i="39"/>
  <c r="A46" i="39"/>
  <c r="V45" i="39"/>
  <c r="U45" i="39"/>
  <c r="T45" i="39"/>
  <c r="S45" i="39"/>
  <c r="R45" i="39"/>
  <c r="Q45" i="39"/>
  <c r="P45" i="39"/>
  <c r="A45" i="39"/>
  <c r="V44" i="39"/>
  <c r="U44" i="39"/>
  <c r="T44" i="39"/>
  <c r="S44" i="39"/>
  <c r="R44" i="39"/>
  <c r="Q44" i="39"/>
  <c r="P44" i="39"/>
  <c r="A44" i="39"/>
  <c r="V43" i="39"/>
  <c r="U43" i="39"/>
  <c r="T43" i="39"/>
  <c r="S43" i="39"/>
  <c r="R43" i="39"/>
  <c r="Q43" i="39"/>
  <c r="P43" i="39"/>
  <c r="L43" i="39"/>
  <c r="K43" i="39"/>
  <c r="J43" i="39"/>
  <c r="I43" i="39"/>
  <c r="H43" i="39"/>
  <c r="G43" i="39"/>
  <c r="F43" i="39"/>
  <c r="E43" i="39"/>
  <c r="D43" i="39"/>
  <c r="C43" i="39"/>
  <c r="A43" i="39"/>
  <c r="V42" i="39"/>
  <c r="U42" i="39"/>
  <c r="T42" i="39"/>
  <c r="S42" i="39"/>
  <c r="R42" i="39"/>
  <c r="Q42" i="39"/>
  <c r="P42" i="39"/>
  <c r="L42" i="39"/>
  <c r="K42" i="39"/>
  <c r="J42" i="39"/>
  <c r="I42" i="39"/>
  <c r="H42" i="39"/>
  <c r="G42" i="39"/>
  <c r="F42" i="39"/>
  <c r="E42" i="39"/>
  <c r="D42" i="39"/>
  <c r="C42" i="39"/>
  <c r="A42" i="39"/>
  <c r="V41" i="39"/>
  <c r="U41" i="39"/>
  <c r="T41" i="39"/>
  <c r="S41" i="39"/>
  <c r="R41" i="39"/>
  <c r="Q41" i="39"/>
  <c r="P41" i="39"/>
  <c r="L41" i="39"/>
  <c r="K41" i="39"/>
  <c r="J41" i="39"/>
  <c r="I41" i="39"/>
  <c r="H41" i="39"/>
  <c r="G41" i="39"/>
  <c r="F41" i="39"/>
  <c r="E41" i="39"/>
  <c r="D41" i="39"/>
  <c r="C41" i="39"/>
  <c r="A41" i="39"/>
  <c r="V40" i="39"/>
  <c r="U40" i="39"/>
  <c r="T40" i="39"/>
  <c r="S40" i="39"/>
  <c r="R40" i="39"/>
  <c r="Q40" i="39"/>
  <c r="P40" i="39"/>
  <c r="A40" i="39"/>
  <c r="V39" i="39"/>
  <c r="U39" i="39"/>
  <c r="T39" i="39"/>
  <c r="S39" i="39"/>
  <c r="R39" i="39"/>
  <c r="Q39" i="39"/>
  <c r="P39" i="39"/>
  <c r="L39" i="39"/>
  <c r="K39" i="39"/>
  <c r="J39" i="39"/>
  <c r="I39" i="39"/>
  <c r="H39" i="39"/>
  <c r="G39" i="39"/>
  <c r="F39" i="39"/>
  <c r="E39" i="39"/>
  <c r="D39" i="39"/>
  <c r="C39" i="39"/>
  <c r="A39" i="39"/>
  <c r="V38" i="39"/>
  <c r="U38" i="39"/>
  <c r="T38" i="39"/>
  <c r="S38" i="39"/>
  <c r="R38" i="39"/>
  <c r="Q38" i="39"/>
  <c r="P38" i="39"/>
  <c r="A38" i="39"/>
  <c r="V37" i="39"/>
  <c r="U37" i="39"/>
  <c r="T37" i="39"/>
  <c r="S37" i="39"/>
  <c r="R37" i="39"/>
  <c r="Q37" i="39"/>
  <c r="P37" i="39"/>
  <c r="L37" i="39"/>
  <c r="K37" i="39"/>
  <c r="J37" i="39"/>
  <c r="I37" i="39"/>
  <c r="H37" i="39"/>
  <c r="G37" i="39"/>
  <c r="F37" i="39"/>
  <c r="E37" i="39"/>
  <c r="D37" i="39"/>
  <c r="C37" i="39"/>
  <c r="A37" i="39"/>
  <c r="V36" i="39"/>
  <c r="U36" i="39"/>
  <c r="T36" i="39"/>
  <c r="S36" i="39"/>
  <c r="R36" i="39"/>
  <c r="Q36" i="39"/>
  <c r="P36" i="39"/>
  <c r="G36" i="39"/>
  <c r="F36" i="39"/>
  <c r="E36" i="39"/>
  <c r="D36" i="39"/>
  <c r="C36" i="39"/>
  <c r="A36" i="39"/>
  <c r="V35" i="39"/>
  <c r="U35" i="39"/>
  <c r="T35" i="39"/>
  <c r="S35" i="39"/>
  <c r="R35" i="39"/>
  <c r="Q35" i="39"/>
  <c r="P35" i="39"/>
  <c r="G35" i="39"/>
  <c r="F35" i="39"/>
  <c r="A35" i="39"/>
  <c r="V34" i="39"/>
  <c r="U34" i="39"/>
  <c r="T34" i="39"/>
  <c r="S34" i="39"/>
  <c r="R34" i="39"/>
  <c r="Q34" i="39"/>
  <c r="P34" i="39"/>
  <c r="L34" i="39"/>
  <c r="K34" i="39"/>
  <c r="J34" i="39"/>
  <c r="I34" i="39"/>
  <c r="H34" i="39"/>
  <c r="G34" i="39"/>
  <c r="F34" i="39"/>
  <c r="E34" i="39"/>
  <c r="D34" i="39"/>
  <c r="C34" i="39"/>
  <c r="A34" i="39"/>
  <c r="V33" i="39"/>
  <c r="U33" i="39"/>
  <c r="T33" i="39"/>
  <c r="S33" i="39"/>
  <c r="R33" i="39"/>
  <c r="Q33" i="39"/>
  <c r="P33" i="39"/>
  <c r="L33" i="39"/>
  <c r="K33" i="39"/>
  <c r="J33" i="39"/>
  <c r="I33" i="39"/>
  <c r="H33" i="39"/>
  <c r="G33" i="39"/>
  <c r="F33" i="39"/>
  <c r="T32" i="39"/>
  <c r="S32" i="39"/>
  <c r="V31" i="39"/>
  <c r="U31" i="39"/>
  <c r="T31" i="39"/>
  <c r="S31" i="39"/>
  <c r="R31" i="39"/>
  <c r="Q31" i="39"/>
  <c r="P31" i="39"/>
  <c r="O31" i="39"/>
  <c r="N31" i="39"/>
  <c r="M31" i="39"/>
  <c r="J20" i="39"/>
  <c r="I20" i="39"/>
  <c r="H20" i="39"/>
  <c r="G20" i="39"/>
  <c r="J19" i="39"/>
  <c r="I19" i="39"/>
  <c r="H19" i="39"/>
  <c r="G19" i="39"/>
  <c r="J18" i="39"/>
  <c r="I18" i="39"/>
  <c r="H18" i="39"/>
  <c r="G18" i="39"/>
  <c r="J17" i="39"/>
  <c r="I17" i="39"/>
  <c r="H17" i="39"/>
  <c r="G17" i="39"/>
  <c r="J16" i="39"/>
  <c r="I16" i="39"/>
  <c r="H16" i="39"/>
  <c r="G16" i="39"/>
  <c r="J15" i="39"/>
  <c r="I15" i="39"/>
  <c r="H15" i="39"/>
  <c r="G15" i="39"/>
  <c r="J14" i="39"/>
  <c r="I14" i="39"/>
  <c r="H14" i="39"/>
  <c r="G14" i="39"/>
  <c r="J13" i="39"/>
  <c r="H13" i="39"/>
  <c r="G13" i="39"/>
  <c r="J12" i="39"/>
  <c r="H12" i="39"/>
  <c r="G12" i="39"/>
  <c r="J11" i="39"/>
  <c r="H11" i="39"/>
  <c r="G11" i="39"/>
  <c r="B7" i="39"/>
  <c r="F190" i="36"/>
  <c r="K189" i="36"/>
  <c r="J189" i="36"/>
  <c r="G189" i="36"/>
  <c r="F189" i="36"/>
  <c r="E189" i="36"/>
  <c r="D189" i="36"/>
  <c r="C189" i="36"/>
  <c r="K188" i="36"/>
  <c r="J188" i="36"/>
  <c r="G188" i="36"/>
  <c r="F188" i="36"/>
  <c r="E188" i="36"/>
  <c r="D188" i="36"/>
  <c r="C188" i="36"/>
  <c r="K187" i="36"/>
  <c r="J187" i="36"/>
  <c r="G187" i="36"/>
  <c r="F187" i="36"/>
  <c r="E187" i="36"/>
  <c r="D187" i="36"/>
  <c r="C187" i="36"/>
  <c r="K186" i="36"/>
  <c r="J186" i="36"/>
  <c r="G186" i="36"/>
  <c r="F186" i="36"/>
  <c r="E186" i="36"/>
  <c r="D186" i="36"/>
  <c r="C186" i="36"/>
  <c r="K185" i="36"/>
  <c r="J185" i="36"/>
  <c r="G185" i="36"/>
  <c r="F185" i="36"/>
  <c r="E185" i="36"/>
  <c r="D185" i="36"/>
  <c r="C185" i="36"/>
  <c r="K184" i="36"/>
  <c r="J184" i="36"/>
  <c r="G184" i="36"/>
  <c r="F184" i="36"/>
  <c r="E184" i="36"/>
  <c r="D184" i="36"/>
  <c r="C184" i="36"/>
  <c r="K183" i="36"/>
  <c r="J183" i="36"/>
  <c r="G183" i="36"/>
  <c r="F183" i="36"/>
  <c r="E183" i="36"/>
  <c r="D183" i="36"/>
  <c r="C183" i="36"/>
  <c r="K182" i="36"/>
  <c r="J182" i="36"/>
  <c r="G182" i="36"/>
  <c r="F182" i="36"/>
  <c r="E182" i="36"/>
  <c r="D182" i="36"/>
  <c r="C182" i="36"/>
  <c r="K181" i="36"/>
  <c r="J181" i="36"/>
  <c r="G181" i="36"/>
  <c r="F181" i="36"/>
  <c r="E181" i="36"/>
  <c r="D181" i="36"/>
  <c r="C181" i="36"/>
  <c r="K180" i="36"/>
  <c r="J180" i="36"/>
  <c r="G180" i="36"/>
  <c r="F180" i="36"/>
  <c r="E180" i="36"/>
  <c r="D180" i="36"/>
  <c r="C180" i="36"/>
  <c r="K179" i="36"/>
  <c r="J179" i="36"/>
  <c r="G179" i="36"/>
  <c r="F179" i="36"/>
  <c r="E179" i="36"/>
  <c r="D179" i="36"/>
  <c r="C179" i="36"/>
  <c r="K178" i="36"/>
  <c r="J178" i="36"/>
  <c r="G178" i="36"/>
  <c r="F178" i="36"/>
  <c r="E178" i="36"/>
  <c r="D178" i="36"/>
  <c r="C178" i="36"/>
  <c r="K177" i="36"/>
  <c r="J177" i="36"/>
  <c r="G177" i="36"/>
  <c r="F177" i="36"/>
  <c r="E177" i="36"/>
  <c r="D177" i="36"/>
  <c r="C177" i="36"/>
  <c r="K176" i="36"/>
  <c r="J176" i="36"/>
  <c r="G176" i="36"/>
  <c r="F176" i="36"/>
  <c r="E176" i="36"/>
  <c r="D176" i="36"/>
  <c r="C176" i="36"/>
  <c r="K175" i="36"/>
  <c r="J175" i="36"/>
  <c r="G175" i="36"/>
  <c r="F175" i="36"/>
  <c r="E175" i="36"/>
  <c r="D175" i="36"/>
  <c r="C175" i="36"/>
  <c r="K174" i="36"/>
  <c r="J174" i="36"/>
  <c r="G174" i="36"/>
  <c r="F174" i="36"/>
  <c r="E174" i="36"/>
  <c r="D174" i="36"/>
  <c r="C174" i="36"/>
  <c r="K173" i="36"/>
  <c r="J173" i="36"/>
  <c r="G173" i="36"/>
  <c r="F173" i="36"/>
  <c r="E173" i="36"/>
  <c r="D173" i="36"/>
  <c r="C173" i="36"/>
  <c r="K172" i="36"/>
  <c r="J172" i="36"/>
  <c r="G172" i="36"/>
  <c r="F172" i="36"/>
  <c r="E172" i="36"/>
  <c r="D172" i="36"/>
  <c r="C172" i="36"/>
  <c r="K171" i="36"/>
  <c r="J171" i="36"/>
  <c r="G171" i="36"/>
  <c r="F171" i="36"/>
  <c r="E171" i="36"/>
  <c r="D171" i="36"/>
  <c r="C171" i="36"/>
  <c r="C141" i="36"/>
  <c r="E139" i="36"/>
  <c r="V103" i="36"/>
  <c r="U103" i="36"/>
  <c r="T103" i="36"/>
  <c r="S103" i="36"/>
  <c r="R103" i="36"/>
  <c r="Q103" i="36"/>
  <c r="P103" i="36"/>
  <c r="O103" i="36"/>
  <c r="N103" i="36"/>
  <c r="A103" i="36"/>
  <c r="V102" i="36"/>
  <c r="U102" i="36"/>
  <c r="T102" i="36"/>
  <c r="S102" i="36"/>
  <c r="R102" i="36"/>
  <c r="Q102" i="36"/>
  <c r="P102" i="36"/>
  <c r="O102" i="36"/>
  <c r="N102" i="36"/>
  <c r="A102" i="36"/>
  <c r="V101" i="36"/>
  <c r="U101" i="36"/>
  <c r="T101" i="36"/>
  <c r="S101" i="36"/>
  <c r="R101" i="36"/>
  <c r="Q101" i="36"/>
  <c r="P101" i="36"/>
  <c r="O101" i="36"/>
  <c r="N101" i="36"/>
  <c r="A101" i="36"/>
  <c r="V100" i="36"/>
  <c r="U100" i="36"/>
  <c r="T100" i="36"/>
  <c r="S100" i="36"/>
  <c r="R100" i="36"/>
  <c r="Q100" i="36"/>
  <c r="P100" i="36"/>
  <c r="O100" i="36"/>
  <c r="N100" i="36"/>
  <c r="A100" i="36"/>
  <c r="V99" i="36"/>
  <c r="U99" i="36"/>
  <c r="T99" i="36"/>
  <c r="S99" i="36"/>
  <c r="R99" i="36"/>
  <c r="Q99" i="36"/>
  <c r="P99" i="36"/>
  <c r="O99" i="36"/>
  <c r="N99" i="36"/>
  <c r="A99" i="36"/>
  <c r="V98" i="36"/>
  <c r="U98" i="36"/>
  <c r="T98" i="36"/>
  <c r="S98" i="36"/>
  <c r="R98" i="36"/>
  <c r="Q98" i="36"/>
  <c r="P98" i="36"/>
  <c r="O98" i="36"/>
  <c r="N98" i="36"/>
  <c r="A98" i="36"/>
  <c r="V97" i="36"/>
  <c r="U97" i="36"/>
  <c r="T97" i="36"/>
  <c r="S97" i="36"/>
  <c r="R97" i="36"/>
  <c r="Q97" i="36"/>
  <c r="P97" i="36"/>
  <c r="O97" i="36"/>
  <c r="N97" i="36"/>
  <c r="A97" i="36"/>
  <c r="V96" i="36"/>
  <c r="U96" i="36"/>
  <c r="T96" i="36"/>
  <c r="S96" i="36"/>
  <c r="R96" i="36"/>
  <c r="Q96" i="36"/>
  <c r="P96" i="36"/>
  <c r="O96" i="36"/>
  <c r="N96" i="36"/>
  <c r="A96" i="36"/>
  <c r="V95" i="36"/>
  <c r="U95" i="36"/>
  <c r="T95" i="36"/>
  <c r="S95" i="36"/>
  <c r="R95" i="36"/>
  <c r="Q95" i="36"/>
  <c r="P95" i="36"/>
  <c r="O95" i="36"/>
  <c r="N95" i="36"/>
  <c r="A95" i="36"/>
  <c r="V94" i="36"/>
  <c r="U94" i="36"/>
  <c r="T94" i="36"/>
  <c r="S94" i="36"/>
  <c r="R94" i="36"/>
  <c r="Q94" i="36"/>
  <c r="P94" i="36"/>
  <c r="O94" i="36"/>
  <c r="N94" i="36"/>
  <c r="A94" i="36"/>
  <c r="V93" i="36"/>
  <c r="U93" i="36"/>
  <c r="T93" i="36"/>
  <c r="S93" i="36"/>
  <c r="R93" i="36"/>
  <c r="Q93" i="36"/>
  <c r="P93" i="36"/>
  <c r="O93" i="36"/>
  <c r="N93" i="36"/>
  <c r="A93" i="36"/>
  <c r="V92" i="36"/>
  <c r="U92" i="36"/>
  <c r="T92" i="36"/>
  <c r="S92" i="36"/>
  <c r="R92" i="36"/>
  <c r="Q92" i="36"/>
  <c r="P92" i="36"/>
  <c r="O92" i="36"/>
  <c r="N92" i="36"/>
  <c r="A92" i="36"/>
  <c r="V91" i="36"/>
  <c r="U91" i="36"/>
  <c r="T91" i="36"/>
  <c r="S91" i="36"/>
  <c r="R91" i="36"/>
  <c r="Q91" i="36"/>
  <c r="P91" i="36"/>
  <c r="O91" i="36"/>
  <c r="N91" i="36"/>
  <c r="A91" i="36"/>
  <c r="V90" i="36"/>
  <c r="U90" i="36"/>
  <c r="T90" i="36"/>
  <c r="S90" i="36"/>
  <c r="R90" i="36"/>
  <c r="Q90" i="36"/>
  <c r="P90" i="36"/>
  <c r="O90" i="36"/>
  <c r="N90" i="36"/>
  <c r="A90" i="36"/>
  <c r="V89" i="36"/>
  <c r="U89" i="36"/>
  <c r="T89" i="36"/>
  <c r="S89" i="36"/>
  <c r="R89" i="36"/>
  <c r="Q89" i="36"/>
  <c r="P89" i="36"/>
  <c r="O89" i="36"/>
  <c r="N89" i="36"/>
  <c r="A89" i="36"/>
  <c r="V88" i="36"/>
  <c r="U88" i="36"/>
  <c r="T88" i="36"/>
  <c r="S88" i="36"/>
  <c r="R88" i="36"/>
  <c r="Q88" i="36"/>
  <c r="P88" i="36"/>
  <c r="O88" i="36"/>
  <c r="N88" i="36"/>
  <c r="A88" i="36"/>
  <c r="V87" i="36"/>
  <c r="U87" i="36"/>
  <c r="T87" i="36"/>
  <c r="S87" i="36"/>
  <c r="R87" i="36"/>
  <c r="Q87" i="36"/>
  <c r="P87" i="36"/>
  <c r="O87" i="36"/>
  <c r="N87" i="36"/>
  <c r="A87" i="36"/>
  <c r="V86" i="36"/>
  <c r="U86" i="36"/>
  <c r="T86" i="36"/>
  <c r="S86" i="36"/>
  <c r="R86" i="36"/>
  <c r="Q86" i="36"/>
  <c r="P86" i="36"/>
  <c r="O86" i="36"/>
  <c r="N86" i="36"/>
  <c r="A86" i="36"/>
  <c r="V85" i="36"/>
  <c r="U85" i="36"/>
  <c r="T85" i="36"/>
  <c r="S85" i="36"/>
  <c r="R85" i="36"/>
  <c r="Q85" i="36"/>
  <c r="P85" i="36"/>
  <c r="O85" i="36"/>
  <c r="N85" i="36"/>
  <c r="A85" i="36"/>
  <c r="V84" i="36"/>
  <c r="U84" i="36"/>
  <c r="T84" i="36"/>
  <c r="S84" i="36"/>
  <c r="R84" i="36"/>
  <c r="Q84" i="36"/>
  <c r="P84" i="36"/>
  <c r="O84" i="36"/>
  <c r="N84" i="36"/>
  <c r="A84" i="36"/>
  <c r="V83" i="36"/>
  <c r="U83" i="36"/>
  <c r="T83" i="36"/>
  <c r="S83" i="36"/>
  <c r="R83" i="36"/>
  <c r="Q83" i="36"/>
  <c r="P83" i="36"/>
  <c r="O83" i="36"/>
  <c r="N83" i="36"/>
  <c r="A83" i="36"/>
  <c r="V82" i="36"/>
  <c r="U82" i="36"/>
  <c r="T82" i="36"/>
  <c r="S82" i="36"/>
  <c r="R82" i="36"/>
  <c r="Q82" i="36"/>
  <c r="P82" i="36"/>
  <c r="O82" i="36"/>
  <c r="N82" i="36"/>
  <c r="L82" i="36"/>
  <c r="K82" i="36"/>
  <c r="J82" i="36"/>
  <c r="I82" i="36"/>
  <c r="H82" i="36"/>
  <c r="G82" i="36"/>
  <c r="F82" i="36"/>
  <c r="E82" i="36"/>
  <c r="D82" i="36"/>
  <c r="C82" i="36"/>
  <c r="A82" i="36"/>
  <c r="V81" i="36"/>
  <c r="U81" i="36"/>
  <c r="T81" i="36"/>
  <c r="S81" i="36"/>
  <c r="R81" i="36"/>
  <c r="Q81" i="36"/>
  <c r="P81" i="36"/>
  <c r="O81" i="36"/>
  <c r="N81" i="36"/>
  <c r="A81" i="36"/>
  <c r="V80" i="36"/>
  <c r="U80" i="36"/>
  <c r="T80" i="36"/>
  <c r="S80" i="36"/>
  <c r="R80" i="36"/>
  <c r="Q80" i="36"/>
  <c r="P80" i="36"/>
  <c r="O80" i="36"/>
  <c r="N80" i="36"/>
  <c r="A80" i="36"/>
  <c r="V79" i="36"/>
  <c r="U79" i="36"/>
  <c r="T79" i="36"/>
  <c r="S79" i="36"/>
  <c r="R79" i="36"/>
  <c r="Q79" i="36"/>
  <c r="P79" i="36"/>
  <c r="O79" i="36"/>
  <c r="N79" i="36"/>
  <c r="A79" i="36"/>
  <c r="V78" i="36"/>
  <c r="U78" i="36"/>
  <c r="T78" i="36"/>
  <c r="S78" i="36"/>
  <c r="R78" i="36"/>
  <c r="Q78" i="36"/>
  <c r="P78" i="36"/>
  <c r="O78" i="36"/>
  <c r="N78" i="36"/>
  <c r="A78" i="36"/>
  <c r="V77" i="36"/>
  <c r="U77" i="36"/>
  <c r="T77" i="36"/>
  <c r="S77" i="36"/>
  <c r="R77" i="36"/>
  <c r="Q77" i="36"/>
  <c r="P77" i="36"/>
  <c r="O77" i="36"/>
  <c r="N77" i="36"/>
  <c r="A77" i="36"/>
  <c r="V76" i="36"/>
  <c r="U76" i="36"/>
  <c r="T76" i="36"/>
  <c r="S76" i="36"/>
  <c r="R76" i="36"/>
  <c r="Q76" i="36"/>
  <c r="P76" i="36"/>
  <c r="O76" i="36"/>
  <c r="N76" i="36"/>
  <c r="A76" i="36"/>
  <c r="V75" i="36"/>
  <c r="U75" i="36"/>
  <c r="T75" i="36"/>
  <c r="S75" i="36"/>
  <c r="R75" i="36"/>
  <c r="Q75" i="36"/>
  <c r="P75" i="36"/>
  <c r="O75" i="36"/>
  <c r="N75" i="36"/>
  <c r="A75" i="36"/>
  <c r="V74" i="36"/>
  <c r="U74" i="36"/>
  <c r="T74" i="36"/>
  <c r="S74" i="36"/>
  <c r="R74" i="36"/>
  <c r="Q74" i="36"/>
  <c r="P74" i="36"/>
  <c r="O74" i="36"/>
  <c r="N74" i="36"/>
  <c r="A74" i="36"/>
  <c r="V73" i="36"/>
  <c r="U73" i="36"/>
  <c r="T73" i="36"/>
  <c r="S73" i="36"/>
  <c r="R73" i="36"/>
  <c r="Q73" i="36"/>
  <c r="P73" i="36"/>
  <c r="O73" i="36"/>
  <c r="N73" i="36"/>
  <c r="A73" i="36"/>
  <c r="V72" i="36"/>
  <c r="U72" i="36"/>
  <c r="T72" i="36"/>
  <c r="S72" i="36"/>
  <c r="R72" i="36"/>
  <c r="Q72" i="36"/>
  <c r="P72" i="36"/>
  <c r="O72" i="36"/>
  <c r="N72" i="36"/>
  <c r="A72" i="36"/>
  <c r="V71" i="36"/>
  <c r="U71" i="36"/>
  <c r="T71" i="36"/>
  <c r="S71" i="36"/>
  <c r="R71" i="36"/>
  <c r="Q71" i="36"/>
  <c r="P71" i="36"/>
  <c r="O71" i="36"/>
  <c r="N71" i="36"/>
  <c r="L71" i="36"/>
  <c r="K71" i="36"/>
  <c r="J71" i="36"/>
  <c r="I71" i="36"/>
  <c r="H71" i="36"/>
  <c r="G71" i="36"/>
  <c r="F71" i="36"/>
  <c r="E71" i="36"/>
  <c r="D71" i="36"/>
  <c r="C71" i="36"/>
  <c r="A71" i="36"/>
  <c r="V70" i="36"/>
  <c r="U70" i="36"/>
  <c r="T70" i="36"/>
  <c r="S70" i="36"/>
  <c r="R70" i="36"/>
  <c r="Q70" i="36"/>
  <c r="P70" i="36"/>
  <c r="O70" i="36"/>
  <c r="N70" i="36"/>
  <c r="A70" i="36"/>
  <c r="V69" i="36"/>
  <c r="U69" i="36"/>
  <c r="T69" i="36"/>
  <c r="S69" i="36"/>
  <c r="R69" i="36"/>
  <c r="Q69" i="36"/>
  <c r="P69" i="36"/>
  <c r="L69" i="36"/>
  <c r="K69" i="36"/>
  <c r="J69" i="36"/>
  <c r="I69" i="36"/>
  <c r="H69" i="36"/>
  <c r="A69" i="36"/>
  <c r="V68" i="36"/>
  <c r="U68" i="36"/>
  <c r="T68" i="36"/>
  <c r="S68" i="36"/>
  <c r="R68" i="36"/>
  <c r="Q68" i="36"/>
  <c r="P68" i="36"/>
  <c r="O68" i="36"/>
  <c r="N68" i="36"/>
  <c r="A68" i="36"/>
  <c r="V67" i="36"/>
  <c r="U67" i="36"/>
  <c r="T67" i="36"/>
  <c r="S67" i="36"/>
  <c r="R67" i="36"/>
  <c r="Q67" i="36"/>
  <c r="P67" i="36"/>
  <c r="O67" i="36"/>
  <c r="N67" i="36"/>
  <c r="A67" i="36"/>
  <c r="V66" i="36"/>
  <c r="U66" i="36"/>
  <c r="T66" i="36"/>
  <c r="S66" i="36"/>
  <c r="R66" i="36"/>
  <c r="Q66" i="36"/>
  <c r="P66" i="36"/>
  <c r="O66" i="36"/>
  <c r="N66" i="36"/>
  <c r="A66" i="36"/>
  <c r="V65" i="36"/>
  <c r="U65" i="36"/>
  <c r="T65" i="36"/>
  <c r="S65" i="36"/>
  <c r="R65" i="36"/>
  <c r="Q65" i="36"/>
  <c r="P65" i="36"/>
  <c r="A65" i="36"/>
  <c r="V64" i="36"/>
  <c r="U64" i="36"/>
  <c r="T64" i="36"/>
  <c r="S64" i="36"/>
  <c r="R64" i="36"/>
  <c r="Q64" i="36"/>
  <c r="P64" i="36"/>
  <c r="O64" i="36"/>
  <c r="N64" i="36"/>
  <c r="A64" i="36"/>
  <c r="V63" i="36"/>
  <c r="U63" i="36"/>
  <c r="T63" i="36"/>
  <c r="S63" i="36"/>
  <c r="R63" i="36"/>
  <c r="Q63" i="36"/>
  <c r="P63" i="36"/>
  <c r="O63" i="36"/>
  <c r="N63" i="36"/>
  <c r="A63" i="36"/>
  <c r="V62" i="36"/>
  <c r="U62" i="36"/>
  <c r="T62" i="36"/>
  <c r="S62" i="36"/>
  <c r="R62" i="36"/>
  <c r="Q62" i="36"/>
  <c r="P62" i="36"/>
  <c r="O62" i="36"/>
  <c r="N62" i="36"/>
  <c r="A62" i="36"/>
  <c r="V61" i="36"/>
  <c r="U61" i="36"/>
  <c r="T61" i="36"/>
  <c r="S61" i="36"/>
  <c r="R61" i="36"/>
  <c r="Q61" i="36"/>
  <c r="P61" i="36"/>
  <c r="O61" i="36"/>
  <c r="N61" i="36"/>
  <c r="A61" i="36"/>
  <c r="V60" i="36"/>
  <c r="U60" i="36"/>
  <c r="T60" i="36"/>
  <c r="S60" i="36"/>
  <c r="R60" i="36"/>
  <c r="Q60" i="36"/>
  <c r="P60" i="36"/>
  <c r="O60" i="36"/>
  <c r="N60" i="36"/>
  <c r="A60" i="36"/>
  <c r="V59" i="36"/>
  <c r="U59" i="36"/>
  <c r="T59" i="36"/>
  <c r="S59" i="36"/>
  <c r="R59" i="36"/>
  <c r="Q59" i="36"/>
  <c r="P59" i="36"/>
  <c r="O59" i="36"/>
  <c r="N59" i="36"/>
  <c r="A59" i="36"/>
  <c r="V58" i="36"/>
  <c r="U58" i="36"/>
  <c r="T58" i="36"/>
  <c r="S58" i="36"/>
  <c r="R58" i="36"/>
  <c r="Q58" i="36"/>
  <c r="P58" i="36"/>
  <c r="O58" i="36"/>
  <c r="N58" i="36"/>
  <c r="C58" i="36"/>
  <c r="A58" i="36"/>
  <c r="V57" i="36"/>
  <c r="U57" i="36"/>
  <c r="T57" i="36"/>
  <c r="S57" i="36"/>
  <c r="R57" i="36"/>
  <c r="Q57" i="36"/>
  <c r="P57" i="36"/>
  <c r="O57" i="36"/>
  <c r="N57" i="36"/>
  <c r="C57" i="36"/>
  <c r="A57" i="36"/>
  <c r="V56" i="36"/>
  <c r="U56" i="36"/>
  <c r="T56" i="36"/>
  <c r="S56" i="36"/>
  <c r="R56" i="36"/>
  <c r="Q56" i="36"/>
  <c r="P56" i="36"/>
  <c r="O56" i="36"/>
  <c r="N56" i="36"/>
  <c r="A56" i="36"/>
  <c r="V55" i="36"/>
  <c r="U55" i="36"/>
  <c r="T55" i="36"/>
  <c r="S55" i="36"/>
  <c r="R55" i="36"/>
  <c r="Q55" i="36"/>
  <c r="P55" i="36"/>
  <c r="O55" i="36"/>
  <c r="N55" i="36"/>
  <c r="A55" i="36"/>
  <c r="V54" i="36"/>
  <c r="U54" i="36"/>
  <c r="T54" i="36"/>
  <c r="S54" i="36"/>
  <c r="R54" i="36"/>
  <c r="Q54" i="36"/>
  <c r="P54" i="36"/>
  <c r="O54" i="36"/>
  <c r="N54" i="36"/>
  <c r="A54" i="36"/>
  <c r="V53" i="36"/>
  <c r="U53" i="36"/>
  <c r="T53" i="36"/>
  <c r="S53" i="36"/>
  <c r="R53" i="36"/>
  <c r="Q53" i="36"/>
  <c r="P53" i="36"/>
  <c r="O53" i="36"/>
  <c r="N53" i="36"/>
  <c r="L53" i="36"/>
  <c r="K53" i="36"/>
  <c r="J53" i="36"/>
  <c r="I53" i="36"/>
  <c r="H53" i="36"/>
  <c r="G53" i="36"/>
  <c r="F53" i="36"/>
  <c r="E53" i="36"/>
  <c r="D53" i="36"/>
  <c r="C53" i="36"/>
  <c r="A53" i="36"/>
  <c r="V52" i="36"/>
  <c r="U52" i="36"/>
  <c r="T52" i="36"/>
  <c r="S52" i="36"/>
  <c r="R52" i="36"/>
  <c r="Q52" i="36"/>
  <c r="P52" i="36"/>
  <c r="O52" i="36"/>
  <c r="N52" i="36"/>
  <c r="L52" i="36"/>
  <c r="K52" i="36"/>
  <c r="J52" i="36"/>
  <c r="I52" i="36"/>
  <c r="H52" i="36"/>
  <c r="G52" i="36"/>
  <c r="F52" i="36"/>
  <c r="E52" i="36"/>
  <c r="D52" i="36"/>
  <c r="C52" i="36"/>
  <c r="A52" i="36"/>
  <c r="V51" i="36"/>
  <c r="U51" i="36"/>
  <c r="T51" i="36"/>
  <c r="S51" i="36"/>
  <c r="R51" i="36"/>
  <c r="Q51" i="36"/>
  <c r="P51" i="36"/>
  <c r="O51" i="36"/>
  <c r="N51" i="36"/>
  <c r="A51" i="36"/>
  <c r="V50" i="36"/>
  <c r="U50" i="36"/>
  <c r="T50" i="36"/>
  <c r="S50" i="36"/>
  <c r="R50" i="36"/>
  <c r="Q50" i="36"/>
  <c r="P50" i="36"/>
  <c r="O50" i="36"/>
  <c r="N50" i="36"/>
  <c r="A50" i="36"/>
  <c r="V49" i="36"/>
  <c r="U49" i="36"/>
  <c r="T49" i="36"/>
  <c r="S49" i="36"/>
  <c r="R49" i="36"/>
  <c r="Q49" i="36"/>
  <c r="P49" i="36"/>
  <c r="O49" i="36"/>
  <c r="N49" i="36"/>
  <c r="A49" i="36"/>
  <c r="V48" i="36"/>
  <c r="U48" i="36"/>
  <c r="T48" i="36"/>
  <c r="S48" i="36"/>
  <c r="R48" i="36"/>
  <c r="Q48" i="36"/>
  <c r="P48" i="36"/>
  <c r="O48" i="36"/>
  <c r="N48" i="36"/>
  <c r="A48" i="36"/>
  <c r="V47" i="36"/>
  <c r="U47" i="36"/>
  <c r="T47" i="36"/>
  <c r="S47" i="36"/>
  <c r="R47" i="36"/>
  <c r="Q47" i="36"/>
  <c r="P47" i="36"/>
  <c r="O47" i="36"/>
  <c r="N47" i="36"/>
  <c r="A47" i="36"/>
  <c r="V46" i="36"/>
  <c r="U46" i="36"/>
  <c r="T46" i="36"/>
  <c r="S46" i="36"/>
  <c r="R46" i="36"/>
  <c r="Q46" i="36"/>
  <c r="P46" i="36"/>
  <c r="O46" i="36"/>
  <c r="N46" i="36"/>
  <c r="A46" i="36"/>
  <c r="V45" i="36"/>
  <c r="U45" i="36"/>
  <c r="T45" i="36"/>
  <c r="S45" i="36"/>
  <c r="R45" i="36"/>
  <c r="Q45" i="36"/>
  <c r="P45" i="36"/>
  <c r="O45" i="36"/>
  <c r="N45" i="36"/>
  <c r="A45" i="36"/>
  <c r="V44" i="36"/>
  <c r="U44" i="36"/>
  <c r="T44" i="36"/>
  <c r="S44" i="36"/>
  <c r="R44" i="36"/>
  <c r="Q44" i="36"/>
  <c r="P44" i="36"/>
  <c r="O44" i="36"/>
  <c r="N44" i="36"/>
  <c r="A44" i="36"/>
  <c r="V43" i="36"/>
  <c r="U43" i="36"/>
  <c r="T43" i="36"/>
  <c r="S43" i="36"/>
  <c r="R43" i="36"/>
  <c r="Q43" i="36"/>
  <c r="P43" i="36"/>
  <c r="O43" i="36"/>
  <c r="N43" i="36"/>
  <c r="L43" i="36"/>
  <c r="K43" i="36"/>
  <c r="J43" i="36"/>
  <c r="I43" i="36"/>
  <c r="H43" i="36"/>
  <c r="G43" i="36"/>
  <c r="F43" i="36"/>
  <c r="C43" i="36"/>
  <c r="A43" i="36"/>
  <c r="V42" i="36"/>
  <c r="U42" i="36"/>
  <c r="T42" i="36"/>
  <c r="S42" i="36"/>
  <c r="R42" i="36"/>
  <c r="Q42" i="36"/>
  <c r="P42" i="36"/>
  <c r="O42" i="36"/>
  <c r="N42" i="36"/>
  <c r="L42" i="36"/>
  <c r="K42" i="36"/>
  <c r="J42" i="36"/>
  <c r="I42" i="36"/>
  <c r="H42" i="36"/>
  <c r="G42" i="36"/>
  <c r="F42" i="36"/>
  <c r="C42" i="36"/>
  <c r="A42" i="36"/>
  <c r="V41" i="36"/>
  <c r="U41" i="36"/>
  <c r="T41" i="36"/>
  <c r="S41" i="36"/>
  <c r="R41" i="36"/>
  <c r="Q41" i="36"/>
  <c r="P41" i="36"/>
  <c r="O41" i="36"/>
  <c r="N41" i="36"/>
  <c r="L41" i="36"/>
  <c r="K41" i="36"/>
  <c r="J41" i="36"/>
  <c r="I41" i="36"/>
  <c r="H41" i="36"/>
  <c r="G41" i="36"/>
  <c r="F41" i="36"/>
  <c r="C41" i="36"/>
  <c r="A41" i="36"/>
  <c r="V40" i="36"/>
  <c r="U40" i="36"/>
  <c r="T40" i="36"/>
  <c r="S40" i="36"/>
  <c r="R40" i="36"/>
  <c r="Q40" i="36"/>
  <c r="P40" i="36"/>
  <c r="O40" i="36"/>
  <c r="N40" i="36"/>
  <c r="A40" i="36"/>
  <c r="V39" i="36"/>
  <c r="U39" i="36"/>
  <c r="T39" i="36"/>
  <c r="S39" i="36"/>
  <c r="R39" i="36"/>
  <c r="Q39" i="36"/>
  <c r="P39" i="36"/>
  <c r="O39" i="36"/>
  <c r="N39" i="36"/>
  <c r="L39" i="36"/>
  <c r="K39" i="36"/>
  <c r="J39" i="36"/>
  <c r="I39" i="36"/>
  <c r="H39" i="36"/>
  <c r="G39" i="36"/>
  <c r="F39" i="36"/>
  <c r="C39" i="36"/>
  <c r="A39" i="36"/>
  <c r="V38" i="36"/>
  <c r="U38" i="36"/>
  <c r="T38" i="36"/>
  <c r="S38" i="36"/>
  <c r="R38" i="36"/>
  <c r="Q38" i="36"/>
  <c r="P38" i="36"/>
  <c r="O38" i="36"/>
  <c r="N38" i="36"/>
  <c r="A38" i="36"/>
  <c r="V37" i="36"/>
  <c r="U37" i="36"/>
  <c r="T37" i="36"/>
  <c r="S37" i="36"/>
  <c r="R37" i="36"/>
  <c r="Q37" i="36"/>
  <c r="P37" i="36"/>
  <c r="O37" i="36"/>
  <c r="N37" i="36"/>
  <c r="L37" i="36"/>
  <c r="K37" i="36"/>
  <c r="J37" i="36"/>
  <c r="I37" i="36"/>
  <c r="H37" i="36"/>
  <c r="G37" i="36"/>
  <c r="F37" i="36"/>
  <c r="C37" i="36"/>
  <c r="A37" i="36"/>
  <c r="V36" i="36"/>
  <c r="U36" i="36"/>
  <c r="T36" i="36"/>
  <c r="S36" i="36"/>
  <c r="R36" i="36"/>
  <c r="Q36" i="36"/>
  <c r="P36" i="36"/>
  <c r="O36" i="36"/>
  <c r="N36" i="36"/>
  <c r="E36" i="36"/>
  <c r="D36" i="36"/>
  <c r="C36" i="36"/>
  <c r="A36" i="36"/>
  <c r="V35" i="36"/>
  <c r="U35" i="36"/>
  <c r="T35" i="36"/>
  <c r="S35" i="36"/>
  <c r="R35" i="36"/>
  <c r="Q35" i="36"/>
  <c r="P35" i="36"/>
  <c r="O35" i="36"/>
  <c r="N35" i="36"/>
  <c r="E35" i="36"/>
  <c r="D35" i="36"/>
  <c r="A35" i="36"/>
  <c r="V34" i="36"/>
  <c r="U34" i="36"/>
  <c r="T34" i="36"/>
  <c r="S34" i="36"/>
  <c r="R34" i="36"/>
  <c r="Q34" i="36"/>
  <c r="P34" i="36"/>
  <c r="O34" i="36"/>
  <c r="N34" i="36"/>
  <c r="L34" i="36"/>
  <c r="K34" i="36"/>
  <c r="J34" i="36"/>
  <c r="I34" i="36"/>
  <c r="H34" i="36"/>
  <c r="G34" i="36"/>
  <c r="F34" i="36"/>
  <c r="E34" i="36"/>
  <c r="D34" i="36"/>
  <c r="C34" i="36"/>
  <c r="A34" i="36"/>
  <c r="V33" i="36"/>
  <c r="U33" i="36"/>
  <c r="T33" i="36"/>
  <c r="S33" i="36"/>
  <c r="R33" i="36"/>
  <c r="Q33" i="36"/>
  <c r="P33" i="36"/>
  <c r="O33" i="36"/>
  <c r="N33" i="36"/>
  <c r="L33" i="36"/>
  <c r="K33" i="36"/>
  <c r="J33" i="36"/>
  <c r="I33" i="36"/>
  <c r="H33" i="36"/>
  <c r="G33" i="36"/>
  <c r="F33" i="36"/>
  <c r="E33" i="36"/>
  <c r="D33" i="36"/>
  <c r="T32" i="36"/>
  <c r="S32" i="36"/>
  <c r="V31" i="36"/>
  <c r="U31" i="36"/>
  <c r="T31" i="36"/>
  <c r="S31" i="36"/>
  <c r="R31" i="36"/>
  <c r="Q31" i="36"/>
  <c r="P31" i="36"/>
  <c r="O31" i="36"/>
  <c r="N31" i="36"/>
  <c r="M31" i="36"/>
  <c r="J20" i="36"/>
  <c r="I20" i="36"/>
  <c r="H20" i="36"/>
  <c r="G20" i="36"/>
  <c r="J19" i="36"/>
  <c r="I19" i="36"/>
  <c r="H19" i="36"/>
  <c r="G19" i="36"/>
  <c r="J18" i="36"/>
  <c r="I18" i="36"/>
  <c r="H18" i="36"/>
  <c r="G18" i="36"/>
  <c r="J17" i="36"/>
  <c r="I17" i="36"/>
  <c r="H17" i="36"/>
  <c r="G17" i="36"/>
  <c r="J16" i="36"/>
  <c r="I16" i="36"/>
  <c r="H16" i="36"/>
  <c r="G16" i="36"/>
  <c r="J15" i="36"/>
  <c r="I15" i="36"/>
  <c r="H15" i="36"/>
  <c r="G15" i="36"/>
  <c r="J14" i="36"/>
  <c r="I14" i="36"/>
  <c r="H14" i="36"/>
  <c r="G14" i="36"/>
  <c r="J13" i="36"/>
  <c r="I13" i="36"/>
  <c r="H13" i="36"/>
  <c r="G13" i="36"/>
  <c r="J12" i="36"/>
  <c r="I12" i="36"/>
  <c r="H12" i="36"/>
  <c r="G12" i="36"/>
  <c r="J11" i="36"/>
  <c r="H11" i="36"/>
  <c r="G11" i="36"/>
  <c r="E7" i="36"/>
  <c r="B7" i="36"/>
  <c r="I11" i="36" s="1"/>
  <c r="C33" i="36" s="1"/>
  <c r="I133" i="37"/>
  <c r="H133" i="37"/>
  <c r="G133" i="37"/>
  <c r="F133" i="37"/>
  <c r="E133" i="37"/>
  <c r="J132" i="37"/>
  <c r="I132" i="37"/>
  <c r="H132" i="37"/>
  <c r="G132" i="37"/>
  <c r="F132" i="37"/>
  <c r="E132" i="37"/>
  <c r="D132" i="37"/>
  <c r="C132" i="37"/>
  <c r="J131" i="37"/>
  <c r="I131" i="37"/>
  <c r="H131" i="37"/>
  <c r="G131" i="37"/>
  <c r="F131" i="37"/>
  <c r="E131" i="37"/>
  <c r="D131" i="37"/>
  <c r="C131" i="37"/>
  <c r="J130" i="37"/>
  <c r="I130" i="37"/>
  <c r="H130" i="37"/>
  <c r="G130" i="37"/>
  <c r="F130" i="37"/>
  <c r="E130" i="37"/>
  <c r="D130" i="37"/>
  <c r="C130" i="37"/>
  <c r="J129" i="37"/>
  <c r="I129" i="37"/>
  <c r="H129" i="37"/>
  <c r="G129" i="37"/>
  <c r="F129" i="37"/>
  <c r="E129" i="37"/>
  <c r="D129" i="37"/>
  <c r="C129" i="37"/>
  <c r="V103" i="37"/>
  <c r="U103" i="37"/>
  <c r="T103" i="37"/>
  <c r="S103" i="37"/>
  <c r="R103" i="37"/>
  <c r="Q103" i="37"/>
  <c r="P103" i="37"/>
  <c r="O103" i="37"/>
  <c r="N103" i="37"/>
  <c r="A103" i="37"/>
  <c r="V102" i="37"/>
  <c r="U102" i="37"/>
  <c r="T102" i="37"/>
  <c r="S102" i="37"/>
  <c r="R102" i="37"/>
  <c r="Q102" i="37"/>
  <c r="P102" i="37"/>
  <c r="O102" i="37"/>
  <c r="N102" i="37"/>
  <c r="A102" i="37"/>
  <c r="V101" i="37"/>
  <c r="U101" i="37"/>
  <c r="T101" i="37"/>
  <c r="S101" i="37"/>
  <c r="R101" i="37"/>
  <c r="Q101" i="37"/>
  <c r="P101" i="37"/>
  <c r="O101" i="37"/>
  <c r="N101" i="37"/>
  <c r="A101" i="37"/>
  <c r="V100" i="37"/>
  <c r="U100" i="37"/>
  <c r="T100" i="37"/>
  <c r="S100" i="37"/>
  <c r="R100" i="37"/>
  <c r="Q100" i="37"/>
  <c r="P100" i="37"/>
  <c r="O100" i="37"/>
  <c r="N100" i="37"/>
  <c r="A100" i="37"/>
  <c r="V99" i="37"/>
  <c r="U99" i="37"/>
  <c r="T99" i="37"/>
  <c r="S99" i="37"/>
  <c r="R99" i="37"/>
  <c r="Q99" i="37"/>
  <c r="P99" i="37"/>
  <c r="O99" i="37"/>
  <c r="N99" i="37"/>
  <c r="A99" i="37"/>
  <c r="V98" i="37"/>
  <c r="U98" i="37"/>
  <c r="T98" i="37"/>
  <c r="S98" i="37"/>
  <c r="R98" i="37"/>
  <c r="Q98" i="37"/>
  <c r="P98" i="37"/>
  <c r="O98" i="37"/>
  <c r="N98" i="37"/>
  <c r="A98" i="37"/>
  <c r="V97" i="37"/>
  <c r="U97" i="37"/>
  <c r="T97" i="37"/>
  <c r="S97" i="37"/>
  <c r="R97" i="37"/>
  <c r="Q97" i="37"/>
  <c r="P97" i="37"/>
  <c r="O97" i="37"/>
  <c r="N97" i="37"/>
  <c r="A97" i="37"/>
  <c r="V96" i="37"/>
  <c r="U96" i="37"/>
  <c r="T96" i="37"/>
  <c r="S96" i="37"/>
  <c r="R96" i="37"/>
  <c r="Q96" i="37"/>
  <c r="P96" i="37"/>
  <c r="O96" i="37"/>
  <c r="N96" i="37"/>
  <c r="A96" i="37"/>
  <c r="V95" i="37"/>
  <c r="U95" i="37"/>
  <c r="T95" i="37"/>
  <c r="S95" i="37"/>
  <c r="R95" i="37"/>
  <c r="Q95" i="37"/>
  <c r="P95" i="37"/>
  <c r="O95" i="37"/>
  <c r="N95" i="37"/>
  <c r="A95" i="37"/>
  <c r="V94" i="37"/>
  <c r="U94" i="37"/>
  <c r="T94" i="37"/>
  <c r="S94" i="37"/>
  <c r="R94" i="37"/>
  <c r="Q94" i="37"/>
  <c r="P94" i="37"/>
  <c r="O94" i="37"/>
  <c r="N94" i="37"/>
  <c r="A94" i="37"/>
  <c r="V93" i="37"/>
  <c r="U93" i="37"/>
  <c r="T93" i="37"/>
  <c r="S93" i="37"/>
  <c r="R93" i="37"/>
  <c r="Q93" i="37"/>
  <c r="P93" i="37"/>
  <c r="O93" i="37"/>
  <c r="N93" i="37"/>
  <c r="A93" i="37"/>
  <c r="V92" i="37"/>
  <c r="U92" i="37"/>
  <c r="T92" i="37"/>
  <c r="S92" i="37"/>
  <c r="R92" i="37"/>
  <c r="Q92" i="37"/>
  <c r="P92" i="37"/>
  <c r="O92" i="37"/>
  <c r="N92" i="37"/>
  <c r="A92" i="37"/>
  <c r="V91" i="37"/>
  <c r="U91" i="37"/>
  <c r="T91" i="37"/>
  <c r="S91" i="37"/>
  <c r="R91" i="37"/>
  <c r="Q91" i="37"/>
  <c r="P91" i="37"/>
  <c r="O91" i="37"/>
  <c r="N91" i="37"/>
  <c r="A91" i="37"/>
  <c r="V90" i="37"/>
  <c r="U90" i="37"/>
  <c r="T90" i="37"/>
  <c r="S90" i="37"/>
  <c r="R90" i="37"/>
  <c r="Q90" i="37"/>
  <c r="P90" i="37"/>
  <c r="O90" i="37"/>
  <c r="N90" i="37"/>
  <c r="A90" i="37"/>
  <c r="V89" i="37"/>
  <c r="U89" i="37"/>
  <c r="T89" i="37"/>
  <c r="S89" i="37"/>
  <c r="R89" i="37"/>
  <c r="Q89" i="37"/>
  <c r="P89" i="37"/>
  <c r="O89" i="37"/>
  <c r="N89" i="37"/>
  <c r="A89" i="37"/>
  <c r="V88" i="37"/>
  <c r="U88" i="37"/>
  <c r="T88" i="37"/>
  <c r="S88" i="37"/>
  <c r="R88" i="37"/>
  <c r="Q88" i="37"/>
  <c r="P88" i="37"/>
  <c r="O88" i="37"/>
  <c r="N88" i="37"/>
  <c r="A88" i="37"/>
  <c r="V87" i="37"/>
  <c r="U87" i="37"/>
  <c r="T87" i="37"/>
  <c r="S87" i="37"/>
  <c r="R87" i="37"/>
  <c r="Q87" i="37"/>
  <c r="P87" i="37"/>
  <c r="O87" i="37"/>
  <c r="N87" i="37"/>
  <c r="A87" i="37"/>
  <c r="V86" i="37"/>
  <c r="U86" i="37"/>
  <c r="T86" i="37"/>
  <c r="S86" i="37"/>
  <c r="R86" i="37"/>
  <c r="Q86" i="37"/>
  <c r="P86" i="37"/>
  <c r="O86" i="37"/>
  <c r="N86" i="37"/>
  <c r="A86" i="37"/>
  <c r="V85" i="37"/>
  <c r="U85" i="37"/>
  <c r="T85" i="37"/>
  <c r="S85" i="37"/>
  <c r="R85" i="37"/>
  <c r="Q85" i="37"/>
  <c r="P85" i="37"/>
  <c r="O85" i="37"/>
  <c r="N85" i="37"/>
  <c r="A85" i="37"/>
  <c r="V84" i="37"/>
  <c r="U84" i="37"/>
  <c r="T84" i="37"/>
  <c r="S84" i="37"/>
  <c r="R84" i="37"/>
  <c r="Q84" i="37"/>
  <c r="P84" i="37"/>
  <c r="O84" i="37"/>
  <c r="N84" i="37"/>
  <c r="A84" i="37"/>
  <c r="V83" i="37"/>
  <c r="U83" i="37"/>
  <c r="T83" i="37"/>
  <c r="S83" i="37"/>
  <c r="R83" i="37"/>
  <c r="Q83" i="37"/>
  <c r="P83" i="37"/>
  <c r="O83" i="37"/>
  <c r="N83" i="37"/>
  <c r="A83" i="37"/>
  <c r="V82" i="37"/>
  <c r="U82" i="37"/>
  <c r="T82" i="37"/>
  <c r="S82" i="37"/>
  <c r="R82" i="37"/>
  <c r="Q82" i="37"/>
  <c r="P82" i="37"/>
  <c r="O82" i="37"/>
  <c r="N82" i="37"/>
  <c r="L82" i="37"/>
  <c r="K82" i="37"/>
  <c r="J82" i="37"/>
  <c r="I82" i="37"/>
  <c r="H82" i="37"/>
  <c r="G82" i="37"/>
  <c r="F82" i="37"/>
  <c r="A82" i="37"/>
  <c r="V81" i="37"/>
  <c r="U81" i="37"/>
  <c r="T81" i="37"/>
  <c r="S81" i="37"/>
  <c r="R81" i="37"/>
  <c r="Q81" i="37"/>
  <c r="P81" i="37"/>
  <c r="O81" i="37"/>
  <c r="N81" i="37"/>
  <c r="A81" i="37"/>
  <c r="V80" i="37"/>
  <c r="U80" i="37"/>
  <c r="T80" i="37"/>
  <c r="S80" i="37"/>
  <c r="R80" i="37"/>
  <c r="Q80" i="37"/>
  <c r="P80" i="37"/>
  <c r="O80" i="37"/>
  <c r="N80" i="37"/>
  <c r="A80" i="37"/>
  <c r="V79" i="37"/>
  <c r="U79" i="37"/>
  <c r="T79" i="37"/>
  <c r="S79" i="37"/>
  <c r="R79" i="37"/>
  <c r="Q79" i="37"/>
  <c r="P79" i="37"/>
  <c r="O79" i="37"/>
  <c r="N79" i="37"/>
  <c r="A79" i="37"/>
  <c r="V78" i="37"/>
  <c r="U78" i="37"/>
  <c r="T78" i="37"/>
  <c r="S78" i="37"/>
  <c r="R78" i="37"/>
  <c r="Q78" i="37"/>
  <c r="P78" i="37"/>
  <c r="O78" i="37"/>
  <c r="N78" i="37"/>
  <c r="A78" i="37"/>
  <c r="V77" i="37"/>
  <c r="U77" i="37"/>
  <c r="T77" i="37"/>
  <c r="S77" i="37"/>
  <c r="R77" i="37"/>
  <c r="Q77" i="37"/>
  <c r="P77" i="37"/>
  <c r="O77" i="37"/>
  <c r="N77" i="37"/>
  <c r="A77" i="37"/>
  <c r="V76" i="37"/>
  <c r="U76" i="37"/>
  <c r="T76" i="37"/>
  <c r="S76" i="37"/>
  <c r="R76" i="37"/>
  <c r="Q76" i="37"/>
  <c r="P76" i="37"/>
  <c r="O76" i="37"/>
  <c r="N76" i="37"/>
  <c r="A76" i="37"/>
  <c r="V75" i="37"/>
  <c r="U75" i="37"/>
  <c r="T75" i="37"/>
  <c r="S75" i="37"/>
  <c r="R75" i="37"/>
  <c r="Q75" i="37"/>
  <c r="P75" i="37"/>
  <c r="O75" i="37"/>
  <c r="N75" i="37"/>
  <c r="A75" i="37"/>
  <c r="V74" i="37"/>
  <c r="U74" i="37"/>
  <c r="T74" i="37"/>
  <c r="S74" i="37"/>
  <c r="R74" i="37"/>
  <c r="Q74" i="37"/>
  <c r="P74" i="37"/>
  <c r="O74" i="37"/>
  <c r="N74" i="37"/>
  <c r="A74" i="37"/>
  <c r="V73" i="37"/>
  <c r="U73" i="37"/>
  <c r="T73" i="37"/>
  <c r="S73" i="37"/>
  <c r="R73" i="37"/>
  <c r="Q73" i="37"/>
  <c r="P73" i="37"/>
  <c r="O73" i="37"/>
  <c r="N73" i="37"/>
  <c r="A73" i="37"/>
  <c r="V72" i="37"/>
  <c r="U72" i="37"/>
  <c r="T72" i="37"/>
  <c r="S72" i="37"/>
  <c r="R72" i="37"/>
  <c r="Q72" i="37"/>
  <c r="P72" i="37"/>
  <c r="O72" i="37"/>
  <c r="N72" i="37"/>
  <c r="A72" i="37"/>
  <c r="V71" i="37"/>
  <c r="U71" i="37"/>
  <c r="T71" i="37"/>
  <c r="S71" i="37"/>
  <c r="R71" i="37"/>
  <c r="Q71" i="37"/>
  <c r="P71" i="37"/>
  <c r="O71" i="37"/>
  <c r="N71" i="37"/>
  <c r="L71" i="37"/>
  <c r="K71" i="37"/>
  <c r="J71" i="37"/>
  <c r="I71" i="37"/>
  <c r="H71" i="37"/>
  <c r="G71" i="37"/>
  <c r="F71" i="37"/>
  <c r="E71" i="37"/>
  <c r="D71" i="37"/>
  <c r="C71" i="37"/>
  <c r="A71" i="37"/>
  <c r="V70" i="37"/>
  <c r="U70" i="37"/>
  <c r="T70" i="37"/>
  <c r="S70" i="37"/>
  <c r="R70" i="37"/>
  <c r="Q70" i="37"/>
  <c r="P70" i="37"/>
  <c r="O70" i="37"/>
  <c r="N70" i="37"/>
  <c r="A70" i="37"/>
  <c r="V69" i="37"/>
  <c r="U69" i="37"/>
  <c r="T69" i="37"/>
  <c r="S69" i="37"/>
  <c r="R69" i="37"/>
  <c r="Q69" i="37"/>
  <c r="P69" i="37"/>
  <c r="L69" i="37"/>
  <c r="K69" i="37"/>
  <c r="J69" i="37"/>
  <c r="I69" i="37"/>
  <c r="H69" i="37"/>
  <c r="C69" i="37"/>
  <c r="A69" i="37"/>
  <c r="V68" i="37"/>
  <c r="U68" i="37"/>
  <c r="T68" i="37"/>
  <c r="S68" i="37"/>
  <c r="R68" i="37"/>
  <c r="Q68" i="37"/>
  <c r="P68" i="37"/>
  <c r="O68" i="37"/>
  <c r="N68" i="37"/>
  <c r="C68" i="37"/>
  <c r="A68" i="37"/>
  <c r="V67" i="37"/>
  <c r="U67" i="37"/>
  <c r="T67" i="37"/>
  <c r="S67" i="37"/>
  <c r="R67" i="37"/>
  <c r="Q67" i="37"/>
  <c r="P67" i="37"/>
  <c r="O67" i="37"/>
  <c r="N67" i="37"/>
  <c r="A67" i="37"/>
  <c r="V66" i="37"/>
  <c r="U66" i="37"/>
  <c r="T66" i="37"/>
  <c r="S66" i="37"/>
  <c r="R66" i="37"/>
  <c r="Q66" i="37"/>
  <c r="P66" i="37"/>
  <c r="O66" i="37"/>
  <c r="N66" i="37"/>
  <c r="A66" i="37"/>
  <c r="V65" i="37"/>
  <c r="U65" i="37"/>
  <c r="T65" i="37"/>
  <c r="S65" i="37"/>
  <c r="R65" i="37"/>
  <c r="Q65" i="37"/>
  <c r="P65" i="37"/>
  <c r="C65" i="37"/>
  <c r="A65" i="37"/>
  <c r="V64" i="37"/>
  <c r="U64" i="37"/>
  <c r="T64" i="37"/>
  <c r="S64" i="37"/>
  <c r="R64" i="37"/>
  <c r="Q64" i="37"/>
  <c r="P64" i="37"/>
  <c r="O64" i="37"/>
  <c r="N64" i="37"/>
  <c r="C64" i="37"/>
  <c r="A64" i="37"/>
  <c r="V63" i="37"/>
  <c r="U63" i="37"/>
  <c r="T63" i="37"/>
  <c r="S63" i="37"/>
  <c r="R63" i="37"/>
  <c r="Q63" i="37"/>
  <c r="P63" i="37"/>
  <c r="O63" i="37"/>
  <c r="N63" i="37"/>
  <c r="A63" i="37"/>
  <c r="V62" i="37"/>
  <c r="U62" i="37"/>
  <c r="T62" i="37"/>
  <c r="S62" i="37"/>
  <c r="R62" i="37"/>
  <c r="Q62" i="37"/>
  <c r="P62" i="37"/>
  <c r="O62" i="37"/>
  <c r="N62" i="37"/>
  <c r="A62" i="37"/>
  <c r="V61" i="37"/>
  <c r="U61" i="37"/>
  <c r="T61" i="37"/>
  <c r="S61" i="37"/>
  <c r="R61" i="37"/>
  <c r="Q61" i="37"/>
  <c r="P61" i="37"/>
  <c r="O61" i="37"/>
  <c r="N61" i="37"/>
  <c r="A61" i="37"/>
  <c r="V60" i="37"/>
  <c r="U60" i="37"/>
  <c r="T60" i="37"/>
  <c r="S60" i="37"/>
  <c r="R60" i="37"/>
  <c r="Q60" i="37"/>
  <c r="P60" i="37"/>
  <c r="O60" i="37"/>
  <c r="N60" i="37"/>
  <c r="A60" i="37"/>
  <c r="V59" i="37"/>
  <c r="U59" i="37"/>
  <c r="T59" i="37"/>
  <c r="S59" i="37"/>
  <c r="R59" i="37"/>
  <c r="Q59" i="37"/>
  <c r="P59" i="37"/>
  <c r="O59" i="37"/>
  <c r="N59" i="37"/>
  <c r="A59" i="37"/>
  <c r="V58" i="37"/>
  <c r="U58" i="37"/>
  <c r="T58" i="37"/>
  <c r="S58" i="37"/>
  <c r="R58" i="37"/>
  <c r="Q58" i="37"/>
  <c r="P58" i="37"/>
  <c r="O58" i="37"/>
  <c r="N58" i="37"/>
  <c r="C58" i="37"/>
  <c r="A58" i="37"/>
  <c r="V57" i="37"/>
  <c r="U57" i="37"/>
  <c r="T57" i="37"/>
  <c r="S57" i="37"/>
  <c r="R57" i="37"/>
  <c r="Q57" i="37"/>
  <c r="P57" i="37"/>
  <c r="O57" i="37"/>
  <c r="N57" i="37"/>
  <c r="C57" i="37"/>
  <c r="A57" i="37"/>
  <c r="V56" i="37"/>
  <c r="U56" i="37"/>
  <c r="T56" i="37"/>
  <c r="S56" i="37"/>
  <c r="R56" i="37"/>
  <c r="Q56" i="37"/>
  <c r="P56" i="37"/>
  <c r="O56" i="37"/>
  <c r="N56" i="37"/>
  <c r="A56" i="37"/>
  <c r="V55" i="37"/>
  <c r="U55" i="37"/>
  <c r="T55" i="37"/>
  <c r="S55" i="37"/>
  <c r="R55" i="37"/>
  <c r="Q55" i="37"/>
  <c r="P55" i="37"/>
  <c r="O55" i="37"/>
  <c r="N55" i="37"/>
  <c r="A55" i="37"/>
  <c r="V54" i="37"/>
  <c r="U54" i="37"/>
  <c r="T54" i="37"/>
  <c r="S54" i="37"/>
  <c r="R54" i="37"/>
  <c r="Q54" i="37"/>
  <c r="P54" i="37"/>
  <c r="O54" i="37"/>
  <c r="N54" i="37"/>
  <c r="A54" i="37"/>
  <c r="V53" i="37"/>
  <c r="U53" i="37"/>
  <c r="T53" i="37"/>
  <c r="S53" i="37"/>
  <c r="R53" i="37"/>
  <c r="Q53" i="37"/>
  <c r="P53" i="37"/>
  <c r="O53" i="37"/>
  <c r="N53" i="37"/>
  <c r="L53" i="37"/>
  <c r="K53" i="37"/>
  <c r="J53" i="37"/>
  <c r="I53" i="37"/>
  <c r="H53" i="37"/>
  <c r="G53" i="37"/>
  <c r="F53" i="37"/>
  <c r="E53" i="37"/>
  <c r="D53" i="37"/>
  <c r="C53" i="37"/>
  <c r="A53" i="37"/>
  <c r="V52" i="37"/>
  <c r="U52" i="37"/>
  <c r="T52" i="37"/>
  <c r="S52" i="37"/>
  <c r="R52" i="37"/>
  <c r="Q52" i="37"/>
  <c r="P52" i="37"/>
  <c r="O52" i="37"/>
  <c r="N52" i="37"/>
  <c r="L52" i="37"/>
  <c r="K52" i="37"/>
  <c r="J52" i="37"/>
  <c r="I52" i="37"/>
  <c r="H52" i="37"/>
  <c r="G52" i="37"/>
  <c r="F52" i="37"/>
  <c r="E52" i="37"/>
  <c r="D52" i="37"/>
  <c r="C52" i="37"/>
  <c r="A52" i="37"/>
  <c r="V51" i="37"/>
  <c r="U51" i="37"/>
  <c r="T51" i="37"/>
  <c r="S51" i="37"/>
  <c r="R51" i="37"/>
  <c r="Q51" i="37"/>
  <c r="P51" i="37"/>
  <c r="O51" i="37"/>
  <c r="N51" i="37"/>
  <c r="A51" i="37"/>
  <c r="V50" i="37"/>
  <c r="U50" i="37"/>
  <c r="T50" i="37"/>
  <c r="S50" i="37"/>
  <c r="R50" i="37"/>
  <c r="Q50" i="37"/>
  <c r="P50" i="37"/>
  <c r="O50" i="37"/>
  <c r="N50" i="37"/>
  <c r="A50" i="37"/>
  <c r="V49" i="37"/>
  <c r="U49" i="37"/>
  <c r="T49" i="37"/>
  <c r="S49" i="37"/>
  <c r="R49" i="37"/>
  <c r="Q49" i="37"/>
  <c r="P49" i="37"/>
  <c r="O49" i="37"/>
  <c r="N49" i="37"/>
  <c r="A49" i="37"/>
  <c r="V48" i="37"/>
  <c r="U48" i="37"/>
  <c r="T48" i="37"/>
  <c r="S48" i="37"/>
  <c r="R48" i="37"/>
  <c r="Q48" i="37"/>
  <c r="P48" i="37"/>
  <c r="O48" i="37"/>
  <c r="N48" i="37"/>
  <c r="A48" i="37"/>
  <c r="V47" i="37"/>
  <c r="U47" i="37"/>
  <c r="T47" i="37"/>
  <c r="S47" i="37"/>
  <c r="R47" i="37"/>
  <c r="Q47" i="37"/>
  <c r="P47" i="37"/>
  <c r="O47" i="37"/>
  <c r="N47" i="37"/>
  <c r="A47" i="37"/>
  <c r="V46" i="37"/>
  <c r="U46" i="37"/>
  <c r="T46" i="37"/>
  <c r="S46" i="37"/>
  <c r="R46" i="37"/>
  <c r="Q46" i="37"/>
  <c r="P46" i="37"/>
  <c r="O46" i="37"/>
  <c r="N46" i="37"/>
  <c r="A46" i="37"/>
  <c r="V45" i="37"/>
  <c r="U45" i="37"/>
  <c r="T45" i="37"/>
  <c r="S45" i="37"/>
  <c r="R45" i="37"/>
  <c r="Q45" i="37"/>
  <c r="P45" i="37"/>
  <c r="O45" i="37"/>
  <c r="N45" i="37"/>
  <c r="A45" i="37"/>
  <c r="V44" i="37"/>
  <c r="U44" i="37"/>
  <c r="T44" i="37"/>
  <c r="S44" i="37"/>
  <c r="R44" i="37"/>
  <c r="Q44" i="37"/>
  <c r="P44" i="37"/>
  <c r="O44" i="37"/>
  <c r="N44" i="37"/>
  <c r="A44" i="37"/>
  <c r="V43" i="37"/>
  <c r="U43" i="37"/>
  <c r="T43" i="37"/>
  <c r="S43" i="37"/>
  <c r="R43" i="37"/>
  <c r="Q43" i="37"/>
  <c r="P43" i="37"/>
  <c r="O43" i="37"/>
  <c r="N43" i="37"/>
  <c r="L43" i="37"/>
  <c r="K43" i="37"/>
  <c r="J43" i="37"/>
  <c r="I43" i="37"/>
  <c r="H43" i="37"/>
  <c r="G43" i="37"/>
  <c r="F43" i="37"/>
  <c r="C43" i="37"/>
  <c r="A43" i="37"/>
  <c r="V42" i="37"/>
  <c r="U42" i="37"/>
  <c r="T42" i="37"/>
  <c r="S42" i="37"/>
  <c r="R42" i="37"/>
  <c r="Q42" i="37"/>
  <c r="P42" i="37"/>
  <c r="O42" i="37"/>
  <c r="N42" i="37"/>
  <c r="L42" i="37"/>
  <c r="K42" i="37"/>
  <c r="J42" i="37"/>
  <c r="I42" i="37"/>
  <c r="H42" i="37"/>
  <c r="G42" i="37"/>
  <c r="F42" i="37"/>
  <c r="C42" i="37"/>
  <c r="A42" i="37"/>
  <c r="V41" i="37"/>
  <c r="U41" i="37"/>
  <c r="T41" i="37"/>
  <c r="S41" i="37"/>
  <c r="R41" i="37"/>
  <c r="Q41" i="37"/>
  <c r="P41" i="37"/>
  <c r="O41" i="37"/>
  <c r="N41" i="37"/>
  <c r="L41" i="37"/>
  <c r="K41" i="37"/>
  <c r="J41" i="37"/>
  <c r="I41" i="37"/>
  <c r="H41" i="37"/>
  <c r="G41" i="37"/>
  <c r="F41" i="37"/>
  <c r="C41" i="37"/>
  <c r="A41" i="37"/>
  <c r="V40" i="37"/>
  <c r="U40" i="37"/>
  <c r="T40" i="37"/>
  <c r="S40" i="37"/>
  <c r="R40" i="37"/>
  <c r="Q40" i="37"/>
  <c r="P40" i="37"/>
  <c r="O40" i="37"/>
  <c r="N40" i="37"/>
  <c r="A40" i="37"/>
  <c r="V39" i="37"/>
  <c r="U39" i="37"/>
  <c r="T39" i="37"/>
  <c r="S39" i="37"/>
  <c r="R39" i="37"/>
  <c r="Q39" i="37"/>
  <c r="P39" i="37"/>
  <c r="O39" i="37"/>
  <c r="N39" i="37"/>
  <c r="L39" i="37"/>
  <c r="K39" i="37"/>
  <c r="J39" i="37"/>
  <c r="I39" i="37"/>
  <c r="H39" i="37"/>
  <c r="G39" i="37"/>
  <c r="F39" i="37"/>
  <c r="C39" i="37"/>
  <c r="A39" i="37"/>
  <c r="V38" i="37"/>
  <c r="U38" i="37"/>
  <c r="T38" i="37"/>
  <c r="S38" i="37"/>
  <c r="R38" i="37"/>
  <c r="Q38" i="37"/>
  <c r="P38" i="37"/>
  <c r="O38" i="37"/>
  <c r="N38" i="37"/>
  <c r="A38" i="37"/>
  <c r="V37" i="37"/>
  <c r="U37" i="37"/>
  <c r="T37" i="37"/>
  <c r="S37" i="37"/>
  <c r="R37" i="37"/>
  <c r="Q37" i="37"/>
  <c r="P37" i="37"/>
  <c r="O37" i="37"/>
  <c r="N37" i="37"/>
  <c r="L37" i="37"/>
  <c r="K37" i="37"/>
  <c r="J37" i="37"/>
  <c r="I37" i="37"/>
  <c r="H37" i="37"/>
  <c r="G37" i="37"/>
  <c r="F37" i="37"/>
  <c r="E37" i="37"/>
  <c r="D37" i="37"/>
  <c r="C37" i="37"/>
  <c r="A37" i="37"/>
  <c r="V36" i="37"/>
  <c r="U36" i="37"/>
  <c r="T36" i="37"/>
  <c r="S36" i="37"/>
  <c r="R36" i="37"/>
  <c r="Q36" i="37"/>
  <c r="P36" i="37"/>
  <c r="O36" i="37"/>
  <c r="N36" i="37"/>
  <c r="G36" i="37"/>
  <c r="F36" i="37"/>
  <c r="E36" i="37"/>
  <c r="D36" i="37"/>
  <c r="C36" i="37"/>
  <c r="A36" i="37"/>
  <c r="V35" i="37"/>
  <c r="U35" i="37"/>
  <c r="T35" i="37"/>
  <c r="S35" i="37"/>
  <c r="R35" i="37"/>
  <c r="Q35" i="37"/>
  <c r="P35" i="37"/>
  <c r="O35" i="37"/>
  <c r="N35" i="37"/>
  <c r="G35" i="37"/>
  <c r="F35" i="37"/>
  <c r="E35" i="37"/>
  <c r="D35" i="37"/>
  <c r="A35" i="37"/>
  <c r="V34" i="37"/>
  <c r="U34" i="37"/>
  <c r="T34" i="37"/>
  <c r="S34" i="37"/>
  <c r="R34" i="37"/>
  <c r="Q34" i="37"/>
  <c r="P34" i="37"/>
  <c r="O34" i="37"/>
  <c r="N34" i="37"/>
  <c r="L34" i="37"/>
  <c r="K34" i="37"/>
  <c r="J34" i="37"/>
  <c r="I34" i="37"/>
  <c r="H34" i="37"/>
  <c r="G34" i="37"/>
  <c r="F34" i="37"/>
  <c r="E34" i="37"/>
  <c r="D34" i="37"/>
  <c r="C34" i="37"/>
  <c r="A34" i="37"/>
  <c r="V33" i="37"/>
  <c r="U33" i="37"/>
  <c r="T33" i="37"/>
  <c r="S33" i="37"/>
  <c r="R33" i="37"/>
  <c r="Q33" i="37"/>
  <c r="P33" i="37"/>
  <c r="O33" i="37"/>
  <c r="N33" i="37"/>
  <c r="L33" i="37"/>
  <c r="K33" i="37"/>
  <c r="J33" i="37"/>
  <c r="I33" i="37"/>
  <c r="H33" i="37"/>
  <c r="G33" i="37"/>
  <c r="F33" i="37"/>
  <c r="E33" i="37"/>
  <c r="D33" i="37"/>
  <c r="T32" i="37"/>
  <c r="S32" i="37"/>
  <c r="V31" i="37"/>
  <c r="U31" i="37"/>
  <c r="T31" i="37"/>
  <c r="S31" i="37"/>
  <c r="R31" i="37"/>
  <c r="Q31" i="37"/>
  <c r="P31" i="37"/>
  <c r="O31" i="37"/>
  <c r="N31" i="37"/>
  <c r="M31" i="37"/>
  <c r="J20" i="37"/>
  <c r="I20" i="37"/>
  <c r="H20" i="37"/>
  <c r="G20" i="37"/>
  <c r="J19" i="37"/>
  <c r="I19" i="37"/>
  <c r="H19" i="37"/>
  <c r="G19" i="37"/>
  <c r="J18" i="37"/>
  <c r="I18" i="37"/>
  <c r="H18" i="37"/>
  <c r="G18" i="37"/>
  <c r="J17" i="37"/>
  <c r="I17" i="37"/>
  <c r="H17" i="37"/>
  <c r="G17" i="37"/>
  <c r="J16" i="37"/>
  <c r="I16" i="37"/>
  <c r="H16" i="37"/>
  <c r="G16" i="37"/>
  <c r="J15" i="37"/>
  <c r="I15" i="37"/>
  <c r="H15" i="37"/>
  <c r="G15" i="37"/>
  <c r="J14" i="37"/>
  <c r="I14" i="37"/>
  <c r="H14" i="37"/>
  <c r="G14" i="37"/>
  <c r="J13" i="37"/>
  <c r="I13" i="37"/>
  <c r="H13" i="37"/>
  <c r="G13" i="37"/>
  <c r="J12" i="37"/>
  <c r="I12" i="37"/>
  <c r="H12" i="37"/>
  <c r="G12" i="37"/>
  <c r="J11" i="37"/>
  <c r="H11" i="37"/>
  <c r="G11" i="37"/>
  <c r="E7" i="37"/>
  <c r="B7" i="37"/>
  <c r="I11" i="37" s="1"/>
  <c r="C33" i="37" s="1"/>
  <c r="L170" i="38"/>
  <c r="K170" i="38"/>
  <c r="J170" i="38"/>
  <c r="I170" i="38"/>
  <c r="H170" i="38"/>
  <c r="M169" i="38"/>
  <c r="L169" i="38"/>
  <c r="J169" i="38"/>
  <c r="I169" i="38"/>
  <c r="H169" i="38"/>
  <c r="G169" i="38"/>
  <c r="M168" i="38"/>
  <c r="L168" i="38"/>
  <c r="J168" i="38"/>
  <c r="I168" i="38"/>
  <c r="H168" i="38"/>
  <c r="G168" i="38"/>
  <c r="M167" i="38"/>
  <c r="L167" i="38"/>
  <c r="J167" i="38"/>
  <c r="I167" i="38"/>
  <c r="H167" i="38"/>
  <c r="G167" i="38"/>
  <c r="M166" i="38"/>
  <c r="L166" i="38"/>
  <c r="J166" i="38"/>
  <c r="I166" i="38"/>
  <c r="H166" i="38"/>
  <c r="G166" i="38"/>
  <c r="M165" i="38"/>
  <c r="L165" i="38"/>
  <c r="J165" i="38"/>
  <c r="I165" i="38"/>
  <c r="H165" i="38"/>
  <c r="G165" i="38"/>
  <c r="M164" i="38"/>
  <c r="L164" i="38"/>
  <c r="J164" i="38"/>
  <c r="I164" i="38"/>
  <c r="H164" i="38"/>
  <c r="G164" i="38"/>
  <c r="M163" i="38"/>
  <c r="L163" i="38"/>
  <c r="J163" i="38"/>
  <c r="I163" i="38"/>
  <c r="H163" i="38"/>
  <c r="G163" i="38"/>
  <c r="M162" i="38"/>
  <c r="L162" i="38"/>
  <c r="J162" i="38"/>
  <c r="I162" i="38"/>
  <c r="H162" i="38"/>
  <c r="G162" i="38"/>
  <c r="M161" i="38"/>
  <c r="L161" i="38"/>
  <c r="J161" i="38"/>
  <c r="I161" i="38"/>
  <c r="H161" i="38"/>
  <c r="G161" i="38"/>
  <c r="M160" i="38"/>
  <c r="L160" i="38"/>
  <c r="J160" i="38"/>
  <c r="I160" i="38"/>
  <c r="H160" i="38"/>
  <c r="G160" i="38"/>
  <c r="M159" i="38"/>
  <c r="L159" i="38"/>
  <c r="J159" i="38"/>
  <c r="I159" i="38"/>
  <c r="H159" i="38"/>
  <c r="G159" i="38"/>
  <c r="M158" i="38"/>
  <c r="L158" i="38"/>
  <c r="J158" i="38"/>
  <c r="I158" i="38"/>
  <c r="H158" i="38"/>
  <c r="G158" i="38"/>
  <c r="M157" i="38"/>
  <c r="L157" i="38"/>
  <c r="J157" i="38"/>
  <c r="I157" i="38"/>
  <c r="H157" i="38"/>
  <c r="G157" i="38"/>
  <c r="M156" i="38"/>
  <c r="L156" i="38"/>
  <c r="J156" i="38"/>
  <c r="I156" i="38"/>
  <c r="H156" i="38"/>
  <c r="G156" i="38"/>
  <c r="M155" i="38"/>
  <c r="L155" i="38"/>
  <c r="J155" i="38"/>
  <c r="I155" i="38"/>
  <c r="H155" i="38"/>
  <c r="G155" i="38"/>
  <c r="M154" i="38"/>
  <c r="L154" i="38"/>
  <c r="J154" i="38"/>
  <c r="I154" i="38"/>
  <c r="H154" i="38"/>
  <c r="G154" i="38"/>
  <c r="M153" i="38"/>
  <c r="L153" i="38"/>
  <c r="J153" i="38"/>
  <c r="I153" i="38"/>
  <c r="H153" i="38"/>
  <c r="G153" i="38"/>
  <c r="M152" i="38"/>
  <c r="L152" i="38"/>
  <c r="J152" i="38"/>
  <c r="I152" i="38"/>
  <c r="H152" i="38"/>
  <c r="G152" i="38"/>
  <c r="M151" i="38"/>
  <c r="L151" i="38"/>
  <c r="J151" i="38"/>
  <c r="I151" i="38"/>
  <c r="H151" i="38"/>
  <c r="G151" i="38"/>
  <c r="M150" i="38"/>
  <c r="L150" i="38"/>
  <c r="J150" i="38"/>
  <c r="I150" i="38"/>
  <c r="H150" i="38"/>
  <c r="G150" i="38"/>
  <c r="M149" i="38"/>
  <c r="L149" i="38"/>
  <c r="J149" i="38"/>
  <c r="I149" i="38"/>
  <c r="H149" i="38"/>
  <c r="G149" i="38"/>
  <c r="M148" i="38"/>
  <c r="L148" i="38"/>
  <c r="J148" i="38"/>
  <c r="I148" i="38"/>
  <c r="H148" i="38"/>
  <c r="G148" i="38"/>
  <c r="M147" i="38"/>
  <c r="L147" i="38"/>
  <c r="J147" i="38"/>
  <c r="I147" i="38"/>
  <c r="H147" i="38"/>
  <c r="G147" i="38"/>
  <c r="M146" i="38"/>
  <c r="L146" i="38"/>
  <c r="J146" i="38"/>
  <c r="I146" i="38"/>
  <c r="H146" i="38"/>
  <c r="G146" i="38"/>
  <c r="M145" i="38"/>
  <c r="L145" i="38"/>
  <c r="J145" i="38"/>
  <c r="I145" i="38"/>
  <c r="H145" i="38"/>
  <c r="G145" i="38"/>
  <c r="M144" i="38"/>
  <c r="L144" i="38"/>
  <c r="J144" i="38"/>
  <c r="I144" i="38"/>
  <c r="H144" i="38"/>
  <c r="G144" i="38"/>
  <c r="M143" i="38"/>
  <c r="L143" i="38"/>
  <c r="J143" i="38"/>
  <c r="I143" i="38"/>
  <c r="H143" i="38"/>
  <c r="G143" i="38"/>
  <c r="M142" i="38"/>
  <c r="L142" i="38"/>
  <c r="J142" i="38"/>
  <c r="I142" i="38"/>
  <c r="H142" i="38"/>
  <c r="G142" i="38"/>
  <c r="M141" i="38"/>
  <c r="L141" i="38"/>
  <c r="J141" i="38"/>
  <c r="I141" i="38"/>
  <c r="H141" i="38"/>
  <c r="G141" i="38"/>
  <c r="M140" i="38"/>
  <c r="L140" i="38"/>
  <c r="J140" i="38"/>
  <c r="I140" i="38"/>
  <c r="H140" i="38"/>
  <c r="G140" i="38"/>
  <c r="M139" i="38"/>
  <c r="L139" i="38"/>
  <c r="J139" i="38"/>
  <c r="I139" i="38"/>
  <c r="H139" i="38"/>
  <c r="G139" i="38"/>
  <c r="M138" i="38"/>
  <c r="L138" i="38"/>
  <c r="J138" i="38"/>
  <c r="I138" i="38"/>
  <c r="H138" i="38"/>
  <c r="G138" i="38"/>
  <c r="M137" i="38"/>
  <c r="L137" i="38"/>
  <c r="J137" i="38"/>
  <c r="I137" i="38"/>
  <c r="H137" i="38"/>
  <c r="G137" i="38"/>
  <c r="M136" i="38"/>
  <c r="L136" i="38"/>
  <c r="J136" i="38"/>
  <c r="I136" i="38"/>
  <c r="H136" i="38"/>
  <c r="G136" i="38"/>
  <c r="M135" i="38"/>
  <c r="L135" i="38"/>
  <c r="J135" i="38"/>
  <c r="I135" i="38"/>
  <c r="H135" i="38"/>
  <c r="G135" i="38"/>
  <c r="M134" i="38"/>
  <c r="L134" i="38"/>
  <c r="J134" i="38"/>
  <c r="I134" i="38"/>
  <c r="H134" i="38"/>
  <c r="G134" i="38"/>
  <c r="M133" i="38"/>
  <c r="L133" i="38"/>
  <c r="J133" i="38"/>
  <c r="I133" i="38"/>
  <c r="H133" i="38"/>
  <c r="G133" i="38"/>
  <c r="M132" i="38"/>
  <c r="L132" i="38"/>
  <c r="J132" i="38"/>
  <c r="I132" i="38"/>
  <c r="H132" i="38"/>
  <c r="G132" i="38"/>
  <c r="M131" i="38"/>
  <c r="L131" i="38"/>
  <c r="J131" i="38"/>
  <c r="I131" i="38"/>
  <c r="H131" i="38"/>
  <c r="G131" i="38"/>
  <c r="M130" i="38"/>
  <c r="L130" i="38"/>
  <c r="J130" i="38"/>
  <c r="I130" i="38"/>
  <c r="H130" i="38"/>
  <c r="G130" i="38"/>
  <c r="M129" i="38"/>
  <c r="L129" i="38"/>
  <c r="J129" i="38"/>
  <c r="I129" i="38"/>
  <c r="H129" i="38"/>
  <c r="G129" i="38"/>
  <c r="M128" i="38"/>
  <c r="L128" i="38"/>
  <c r="J128" i="38"/>
  <c r="I128" i="38"/>
  <c r="H128" i="38"/>
  <c r="G128" i="38"/>
  <c r="M127" i="38"/>
  <c r="L127" i="38"/>
  <c r="J127" i="38"/>
  <c r="I127" i="38"/>
  <c r="H127" i="38"/>
  <c r="G127" i="38"/>
  <c r="M126" i="38"/>
  <c r="L126" i="38"/>
  <c r="J126" i="38"/>
  <c r="I126" i="38"/>
  <c r="H126" i="38"/>
  <c r="G126" i="38"/>
  <c r="M125" i="38"/>
  <c r="L125" i="38"/>
  <c r="J125" i="38"/>
  <c r="I125" i="38"/>
  <c r="H125" i="38"/>
  <c r="G125" i="38"/>
  <c r="M124" i="38"/>
  <c r="L124" i="38"/>
  <c r="J124" i="38"/>
  <c r="I124" i="38"/>
  <c r="H124" i="38"/>
  <c r="G124" i="38"/>
  <c r="M123" i="38"/>
  <c r="L123" i="38"/>
  <c r="J123" i="38"/>
  <c r="I123" i="38"/>
  <c r="H123" i="38"/>
  <c r="G123" i="38"/>
  <c r="M122" i="38"/>
  <c r="L122" i="38"/>
  <c r="J122" i="38"/>
  <c r="I122" i="38"/>
  <c r="H122" i="38"/>
  <c r="G122" i="38"/>
  <c r="M121" i="38"/>
  <c r="L121" i="38"/>
  <c r="J121" i="38"/>
  <c r="I121" i="38"/>
  <c r="H121" i="38"/>
  <c r="G121" i="38"/>
  <c r="V103" i="38"/>
  <c r="U103" i="38"/>
  <c r="T103" i="38"/>
  <c r="S103" i="38"/>
  <c r="R103" i="38"/>
  <c r="Q103" i="38"/>
  <c r="P103" i="38"/>
  <c r="O103" i="38"/>
  <c r="N103" i="38"/>
  <c r="A103" i="38"/>
  <c r="V102" i="38"/>
  <c r="U102" i="38"/>
  <c r="T102" i="38"/>
  <c r="S102" i="38"/>
  <c r="R102" i="38"/>
  <c r="Q102" i="38"/>
  <c r="P102" i="38"/>
  <c r="O102" i="38"/>
  <c r="N102" i="38"/>
  <c r="A102" i="38"/>
  <c r="V101" i="38"/>
  <c r="U101" i="38"/>
  <c r="T101" i="38"/>
  <c r="S101" i="38"/>
  <c r="R101" i="38"/>
  <c r="Q101" i="38"/>
  <c r="P101" i="38"/>
  <c r="O101" i="38"/>
  <c r="N101" i="38"/>
  <c r="A101" i="38"/>
  <c r="V100" i="38"/>
  <c r="U100" i="38"/>
  <c r="T100" i="38"/>
  <c r="S100" i="38"/>
  <c r="R100" i="38"/>
  <c r="Q100" i="38"/>
  <c r="P100" i="38"/>
  <c r="O100" i="38"/>
  <c r="N100" i="38"/>
  <c r="A100" i="38"/>
  <c r="V99" i="38"/>
  <c r="U99" i="38"/>
  <c r="T99" i="38"/>
  <c r="S99" i="38"/>
  <c r="R99" i="38"/>
  <c r="Q99" i="38"/>
  <c r="P99" i="38"/>
  <c r="O99" i="38"/>
  <c r="N99" i="38"/>
  <c r="A99" i="38"/>
  <c r="V98" i="38"/>
  <c r="U98" i="38"/>
  <c r="T98" i="38"/>
  <c r="S98" i="38"/>
  <c r="R98" i="38"/>
  <c r="Q98" i="38"/>
  <c r="P98" i="38"/>
  <c r="O98" i="38"/>
  <c r="N98" i="38"/>
  <c r="A98" i="38"/>
  <c r="V97" i="38"/>
  <c r="U97" i="38"/>
  <c r="T97" i="38"/>
  <c r="S97" i="38"/>
  <c r="R97" i="38"/>
  <c r="Q97" i="38"/>
  <c r="P97" i="38"/>
  <c r="O97" i="38"/>
  <c r="N97" i="38"/>
  <c r="A97" i="38"/>
  <c r="V96" i="38"/>
  <c r="U96" i="38"/>
  <c r="T96" i="38"/>
  <c r="S96" i="38"/>
  <c r="R96" i="38"/>
  <c r="Q96" i="38"/>
  <c r="P96" i="38"/>
  <c r="O96" i="38"/>
  <c r="N96" i="38"/>
  <c r="A96" i="38"/>
  <c r="V95" i="38"/>
  <c r="U95" i="38"/>
  <c r="T95" i="38"/>
  <c r="S95" i="38"/>
  <c r="R95" i="38"/>
  <c r="Q95" i="38"/>
  <c r="P95" i="38"/>
  <c r="O95" i="38"/>
  <c r="N95" i="38"/>
  <c r="A95" i="38"/>
  <c r="V94" i="38"/>
  <c r="U94" i="38"/>
  <c r="T94" i="38"/>
  <c r="S94" i="38"/>
  <c r="R94" i="38"/>
  <c r="Q94" i="38"/>
  <c r="P94" i="38"/>
  <c r="O94" i="38"/>
  <c r="N94" i="38"/>
  <c r="A94" i="38"/>
  <c r="V93" i="38"/>
  <c r="U93" i="38"/>
  <c r="T93" i="38"/>
  <c r="S93" i="38"/>
  <c r="R93" i="38"/>
  <c r="Q93" i="38"/>
  <c r="P93" i="38"/>
  <c r="O93" i="38"/>
  <c r="N93" i="38"/>
  <c r="A93" i="38"/>
  <c r="V92" i="38"/>
  <c r="U92" i="38"/>
  <c r="T92" i="38"/>
  <c r="S92" i="38"/>
  <c r="R92" i="38"/>
  <c r="Q92" i="38"/>
  <c r="P92" i="38"/>
  <c r="O92" i="38"/>
  <c r="N92" i="38"/>
  <c r="A92" i="38"/>
  <c r="V91" i="38"/>
  <c r="U91" i="38"/>
  <c r="T91" i="38"/>
  <c r="S91" i="38"/>
  <c r="R91" i="38"/>
  <c r="Q91" i="38"/>
  <c r="P91" i="38"/>
  <c r="O91" i="38"/>
  <c r="N91" i="38"/>
  <c r="A91" i="38"/>
  <c r="V90" i="38"/>
  <c r="U90" i="38"/>
  <c r="T90" i="38"/>
  <c r="S90" i="38"/>
  <c r="R90" i="38"/>
  <c r="Q90" i="38"/>
  <c r="P90" i="38"/>
  <c r="O90" i="38"/>
  <c r="N90" i="38"/>
  <c r="A90" i="38"/>
  <c r="V89" i="38"/>
  <c r="U89" i="38"/>
  <c r="T89" i="38"/>
  <c r="S89" i="38"/>
  <c r="R89" i="38"/>
  <c r="Q89" i="38"/>
  <c r="P89" i="38"/>
  <c r="O89" i="38"/>
  <c r="N89" i="38"/>
  <c r="A89" i="38"/>
  <c r="V88" i="38"/>
  <c r="U88" i="38"/>
  <c r="T88" i="38"/>
  <c r="S88" i="38"/>
  <c r="R88" i="38"/>
  <c r="Q88" i="38"/>
  <c r="P88" i="38"/>
  <c r="O88" i="38"/>
  <c r="N88" i="38"/>
  <c r="A88" i="38"/>
  <c r="V87" i="38"/>
  <c r="U87" i="38"/>
  <c r="T87" i="38"/>
  <c r="S87" i="38"/>
  <c r="R87" i="38"/>
  <c r="Q87" i="38"/>
  <c r="P87" i="38"/>
  <c r="O87" i="38"/>
  <c r="N87" i="38"/>
  <c r="A87" i="38"/>
  <c r="V86" i="38"/>
  <c r="U86" i="38"/>
  <c r="T86" i="38"/>
  <c r="S86" i="38"/>
  <c r="R86" i="38"/>
  <c r="Q86" i="38"/>
  <c r="P86" i="38"/>
  <c r="O86" i="38"/>
  <c r="N86" i="38"/>
  <c r="A86" i="38"/>
  <c r="V85" i="38"/>
  <c r="U85" i="38"/>
  <c r="T85" i="38"/>
  <c r="S85" i="38"/>
  <c r="R85" i="38"/>
  <c r="Q85" i="38"/>
  <c r="P85" i="38"/>
  <c r="O85" i="38"/>
  <c r="N85" i="38"/>
  <c r="A85" i="38"/>
  <c r="V84" i="38"/>
  <c r="U84" i="38"/>
  <c r="T84" i="38"/>
  <c r="S84" i="38"/>
  <c r="R84" i="38"/>
  <c r="Q84" i="38"/>
  <c r="P84" i="38"/>
  <c r="O84" i="38"/>
  <c r="N84" i="38"/>
  <c r="A84" i="38"/>
  <c r="V83" i="38"/>
  <c r="U83" i="38"/>
  <c r="T83" i="38"/>
  <c r="S83" i="38"/>
  <c r="R83" i="38"/>
  <c r="Q83" i="38"/>
  <c r="P83" i="38"/>
  <c r="O83" i="38"/>
  <c r="N83" i="38"/>
  <c r="A83" i="38"/>
  <c r="V82" i="38"/>
  <c r="U82" i="38"/>
  <c r="T82" i="38"/>
  <c r="S82" i="38"/>
  <c r="R82" i="38"/>
  <c r="Q82" i="38"/>
  <c r="P82" i="38"/>
  <c r="O82" i="38"/>
  <c r="N82" i="38"/>
  <c r="L82" i="38"/>
  <c r="K82" i="38"/>
  <c r="J82" i="38"/>
  <c r="I82" i="38"/>
  <c r="H82" i="38"/>
  <c r="G82" i="38"/>
  <c r="F82" i="38"/>
  <c r="A82" i="38"/>
  <c r="V81" i="38"/>
  <c r="U81" i="38"/>
  <c r="T81" i="38"/>
  <c r="S81" i="38"/>
  <c r="R81" i="38"/>
  <c r="Q81" i="38"/>
  <c r="P81" i="38"/>
  <c r="O81" i="38"/>
  <c r="N81" i="38"/>
  <c r="A81" i="38"/>
  <c r="V80" i="38"/>
  <c r="U80" i="38"/>
  <c r="T80" i="38"/>
  <c r="S80" i="38"/>
  <c r="R80" i="38"/>
  <c r="Q80" i="38"/>
  <c r="P80" i="38"/>
  <c r="O80" i="38"/>
  <c r="N80" i="38"/>
  <c r="A80" i="38"/>
  <c r="V79" i="38"/>
  <c r="U79" i="38"/>
  <c r="T79" i="38"/>
  <c r="S79" i="38"/>
  <c r="R79" i="38"/>
  <c r="Q79" i="38"/>
  <c r="P79" i="38"/>
  <c r="O79" i="38"/>
  <c r="N79" i="38"/>
  <c r="A79" i="38"/>
  <c r="V78" i="38"/>
  <c r="U78" i="38"/>
  <c r="T78" i="38"/>
  <c r="S78" i="38"/>
  <c r="R78" i="38"/>
  <c r="Q78" i="38"/>
  <c r="P78" i="38"/>
  <c r="O78" i="38"/>
  <c r="N78" i="38"/>
  <c r="A78" i="38"/>
  <c r="V77" i="38"/>
  <c r="U77" i="38"/>
  <c r="T77" i="38"/>
  <c r="S77" i="38"/>
  <c r="R77" i="38"/>
  <c r="Q77" i="38"/>
  <c r="P77" i="38"/>
  <c r="O77" i="38"/>
  <c r="N77" i="38"/>
  <c r="A77" i="38"/>
  <c r="V76" i="38"/>
  <c r="U76" i="38"/>
  <c r="T76" i="38"/>
  <c r="S76" i="38"/>
  <c r="R76" i="38"/>
  <c r="Q76" i="38"/>
  <c r="P76" i="38"/>
  <c r="O76" i="38"/>
  <c r="N76" i="38"/>
  <c r="A76" i="38"/>
  <c r="V75" i="38"/>
  <c r="U75" i="38"/>
  <c r="T75" i="38"/>
  <c r="S75" i="38"/>
  <c r="R75" i="38"/>
  <c r="Q75" i="38"/>
  <c r="P75" i="38"/>
  <c r="O75" i="38"/>
  <c r="N75" i="38"/>
  <c r="A75" i="38"/>
  <c r="V74" i="38"/>
  <c r="U74" i="38"/>
  <c r="T74" i="38"/>
  <c r="S74" i="38"/>
  <c r="R74" i="38"/>
  <c r="Q74" i="38"/>
  <c r="P74" i="38"/>
  <c r="O74" i="38"/>
  <c r="N74" i="38"/>
  <c r="A74" i="38"/>
  <c r="V73" i="38"/>
  <c r="U73" i="38"/>
  <c r="T73" i="38"/>
  <c r="S73" i="38"/>
  <c r="R73" i="38"/>
  <c r="Q73" i="38"/>
  <c r="P73" i="38"/>
  <c r="O73" i="38"/>
  <c r="N73" i="38"/>
  <c r="A73" i="38"/>
  <c r="V72" i="38"/>
  <c r="U72" i="38"/>
  <c r="T72" i="38"/>
  <c r="S72" i="38"/>
  <c r="R72" i="38"/>
  <c r="Q72" i="38"/>
  <c r="P72" i="38"/>
  <c r="O72" i="38"/>
  <c r="N72" i="38"/>
  <c r="A72" i="38"/>
  <c r="V71" i="38"/>
  <c r="U71" i="38"/>
  <c r="T71" i="38"/>
  <c r="S71" i="38"/>
  <c r="R71" i="38"/>
  <c r="Q71" i="38"/>
  <c r="P71" i="38"/>
  <c r="O71" i="38"/>
  <c r="N71" i="38"/>
  <c r="L71" i="38"/>
  <c r="K71" i="38"/>
  <c r="J71" i="38"/>
  <c r="I71" i="38"/>
  <c r="H71" i="38"/>
  <c r="G71" i="38"/>
  <c r="F71" i="38"/>
  <c r="E71" i="38"/>
  <c r="D71" i="38"/>
  <c r="C71" i="38"/>
  <c r="A71" i="38"/>
  <c r="V70" i="38"/>
  <c r="U70" i="38"/>
  <c r="T70" i="38"/>
  <c r="S70" i="38"/>
  <c r="R70" i="38"/>
  <c r="Q70" i="38"/>
  <c r="P70" i="38"/>
  <c r="O70" i="38"/>
  <c r="N70" i="38"/>
  <c r="A70" i="38"/>
  <c r="V69" i="38"/>
  <c r="U69" i="38"/>
  <c r="T69" i="38"/>
  <c r="S69" i="38"/>
  <c r="R69" i="38"/>
  <c r="Q69" i="38"/>
  <c r="P69" i="38"/>
  <c r="L69" i="38"/>
  <c r="K69" i="38"/>
  <c r="J69" i="38"/>
  <c r="I69" i="38"/>
  <c r="H69" i="38"/>
  <c r="C69" i="38"/>
  <c r="A69" i="38"/>
  <c r="V68" i="38"/>
  <c r="U68" i="38"/>
  <c r="T68" i="38"/>
  <c r="S68" i="38"/>
  <c r="R68" i="38"/>
  <c r="Q68" i="38"/>
  <c r="P68" i="38"/>
  <c r="O68" i="38"/>
  <c r="N68" i="38"/>
  <c r="C68" i="38"/>
  <c r="A68" i="38"/>
  <c r="V67" i="38"/>
  <c r="U67" i="38"/>
  <c r="T67" i="38"/>
  <c r="S67" i="38"/>
  <c r="R67" i="38"/>
  <c r="Q67" i="38"/>
  <c r="P67" i="38"/>
  <c r="O67" i="38"/>
  <c r="N67" i="38"/>
  <c r="A67" i="38"/>
  <c r="V66" i="38"/>
  <c r="U66" i="38"/>
  <c r="T66" i="38"/>
  <c r="S66" i="38"/>
  <c r="R66" i="38"/>
  <c r="Q66" i="38"/>
  <c r="P66" i="38"/>
  <c r="O66" i="38"/>
  <c r="N66" i="38"/>
  <c r="A66" i="38"/>
  <c r="V65" i="38"/>
  <c r="U65" i="38"/>
  <c r="T65" i="38"/>
  <c r="S65" i="38"/>
  <c r="R65" i="38"/>
  <c r="Q65" i="38"/>
  <c r="P65" i="38"/>
  <c r="C65" i="38"/>
  <c r="A65" i="38"/>
  <c r="V64" i="38"/>
  <c r="U64" i="38"/>
  <c r="T64" i="38"/>
  <c r="S64" i="38"/>
  <c r="R64" i="38"/>
  <c r="Q64" i="38"/>
  <c r="P64" i="38"/>
  <c r="O64" i="38"/>
  <c r="N64" i="38"/>
  <c r="C64" i="38"/>
  <c r="A64" i="38"/>
  <c r="V63" i="38"/>
  <c r="U63" i="38"/>
  <c r="T63" i="38"/>
  <c r="S63" i="38"/>
  <c r="R63" i="38"/>
  <c r="Q63" i="38"/>
  <c r="P63" i="38"/>
  <c r="O63" i="38"/>
  <c r="N63" i="38"/>
  <c r="A63" i="38"/>
  <c r="V62" i="38"/>
  <c r="U62" i="38"/>
  <c r="T62" i="38"/>
  <c r="S62" i="38"/>
  <c r="R62" i="38"/>
  <c r="Q62" i="38"/>
  <c r="P62" i="38"/>
  <c r="O62" i="38"/>
  <c r="N62" i="38"/>
  <c r="A62" i="38"/>
  <c r="V61" i="38"/>
  <c r="U61" i="38"/>
  <c r="T61" i="38"/>
  <c r="S61" i="38"/>
  <c r="R61" i="38"/>
  <c r="Q61" i="38"/>
  <c r="P61" i="38"/>
  <c r="O61" i="38"/>
  <c r="N61" i="38"/>
  <c r="A61" i="38"/>
  <c r="V60" i="38"/>
  <c r="U60" i="38"/>
  <c r="T60" i="38"/>
  <c r="S60" i="38"/>
  <c r="R60" i="38"/>
  <c r="Q60" i="38"/>
  <c r="P60" i="38"/>
  <c r="O60" i="38"/>
  <c r="N60" i="38"/>
  <c r="A60" i="38"/>
  <c r="V59" i="38"/>
  <c r="U59" i="38"/>
  <c r="T59" i="38"/>
  <c r="S59" i="38"/>
  <c r="R59" i="38"/>
  <c r="Q59" i="38"/>
  <c r="P59" i="38"/>
  <c r="O59" i="38"/>
  <c r="N59" i="38"/>
  <c r="A59" i="38"/>
  <c r="V58" i="38"/>
  <c r="U58" i="38"/>
  <c r="T58" i="38"/>
  <c r="S58" i="38"/>
  <c r="R58" i="38"/>
  <c r="Q58" i="38"/>
  <c r="P58" i="38"/>
  <c r="O58" i="38"/>
  <c r="N58" i="38"/>
  <c r="C58" i="38"/>
  <c r="A58" i="38"/>
  <c r="V57" i="38"/>
  <c r="U57" i="38"/>
  <c r="T57" i="38"/>
  <c r="S57" i="38"/>
  <c r="R57" i="38"/>
  <c r="Q57" i="38"/>
  <c r="P57" i="38"/>
  <c r="O57" i="38"/>
  <c r="N57" i="38"/>
  <c r="C57" i="38"/>
  <c r="A57" i="38"/>
  <c r="V56" i="38"/>
  <c r="U56" i="38"/>
  <c r="T56" i="38"/>
  <c r="S56" i="38"/>
  <c r="R56" i="38"/>
  <c r="Q56" i="38"/>
  <c r="P56" i="38"/>
  <c r="O56" i="38"/>
  <c r="N56" i="38"/>
  <c r="A56" i="38"/>
  <c r="V55" i="38"/>
  <c r="U55" i="38"/>
  <c r="T55" i="38"/>
  <c r="S55" i="38"/>
  <c r="R55" i="38"/>
  <c r="Q55" i="38"/>
  <c r="P55" i="38"/>
  <c r="O55" i="38"/>
  <c r="N55" i="38"/>
  <c r="A55" i="38"/>
  <c r="V54" i="38"/>
  <c r="U54" i="38"/>
  <c r="T54" i="38"/>
  <c r="S54" i="38"/>
  <c r="R54" i="38"/>
  <c r="Q54" i="38"/>
  <c r="P54" i="38"/>
  <c r="O54" i="38"/>
  <c r="N54" i="38"/>
  <c r="A54" i="38"/>
  <c r="V53" i="38"/>
  <c r="U53" i="38"/>
  <c r="T53" i="38"/>
  <c r="S53" i="38"/>
  <c r="R53" i="38"/>
  <c r="Q53" i="38"/>
  <c r="P53" i="38"/>
  <c r="O53" i="38"/>
  <c r="N53" i="38"/>
  <c r="L53" i="38"/>
  <c r="K53" i="38"/>
  <c r="J53" i="38"/>
  <c r="I53" i="38"/>
  <c r="H53" i="38"/>
  <c r="G53" i="38"/>
  <c r="F53" i="38"/>
  <c r="E53" i="38"/>
  <c r="D53" i="38"/>
  <c r="C53" i="38"/>
  <c r="A53" i="38"/>
  <c r="V52" i="38"/>
  <c r="U52" i="38"/>
  <c r="T52" i="38"/>
  <c r="S52" i="38"/>
  <c r="R52" i="38"/>
  <c r="Q52" i="38"/>
  <c r="P52" i="38"/>
  <c r="O52" i="38"/>
  <c r="N52" i="38"/>
  <c r="L52" i="38"/>
  <c r="K52" i="38"/>
  <c r="J52" i="38"/>
  <c r="I52" i="38"/>
  <c r="H52" i="38"/>
  <c r="G52" i="38"/>
  <c r="F52" i="38"/>
  <c r="E52" i="38"/>
  <c r="D52" i="38"/>
  <c r="C52" i="38"/>
  <c r="A52" i="38"/>
  <c r="V51" i="38"/>
  <c r="U51" i="38"/>
  <c r="T51" i="38"/>
  <c r="S51" i="38"/>
  <c r="R51" i="38"/>
  <c r="Q51" i="38"/>
  <c r="P51" i="38"/>
  <c r="O51" i="38"/>
  <c r="N51" i="38"/>
  <c r="A51" i="38"/>
  <c r="V50" i="38"/>
  <c r="U50" i="38"/>
  <c r="T50" i="38"/>
  <c r="S50" i="38"/>
  <c r="R50" i="38"/>
  <c r="Q50" i="38"/>
  <c r="P50" i="38"/>
  <c r="O50" i="38"/>
  <c r="N50" i="38"/>
  <c r="A50" i="38"/>
  <c r="V49" i="38"/>
  <c r="U49" i="38"/>
  <c r="T49" i="38"/>
  <c r="S49" i="38"/>
  <c r="R49" i="38"/>
  <c r="Q49" i="38"/>
  <c r="P49" i="38"/>
  <c r="O49" i="38"/>
  <c r="N49" i="38"/>
  <c r="A49" i="38"/>
  <c r="V48" i="38"/>
  <c r="U48" i="38"/>
  <c r="T48" i="38"/>
  <c r="S48" i="38"/>
  <c r="R48" i="38"/>
  <c r="Q48" i="38"/>
  <c r="P48" i="38"/>
  <c r="O48" i="38"/>
  <c r="N48" i="38"/>
  <c r="A48" i="38"/>
  <c r="V47" i="38"/>
  <c r="U47" i="38"/>
  <c r="T47" i="38"/>
  <c r="S47" i="38"/>
  <c r="R47" i="38"/>
  <c r="Q47" i="38"/>
  <c r="P47" i="38"/>
  <c r="O47" i="38"/>
  <c r="N47" i="38"/>
  <c r="A47" i="38"/>
  <c r="V46" i="38"/>
  <c r="U46" i="38"/>
  <c r="T46" i="38"/>
  <c r="S46" i="38"/>
  <c r="R46" i="38"/>
  <c r="Q46" i="38"/>
  <c r="P46" i="38"/>
  <c r="O46" i="38"/>
  <c r="N46" i="38"/>
  <c r="A46" i="38"/>
  <c r="V45" i="38"/>
  <c r="U45" i="38"/>
  <c r="T45" i="38"/>
  <c r="S45" i="38"/>
  <c r="R45" i="38"/>
  <c r="Q45" i="38"/>
  <c r="P45" i="38"/>
  <c r="O45" i="38"/>
  <c r="N45" i="38"/>
  <c r="A45" i="38"/>
  <c r="V44" i="38"/>
  <c r="U44" i="38"/>
  <c r="T44" i="38"/>
  <c r="S44" i="38"/>
  <c r="R44" i="38"/>
  <c r="Q44" i="38"/>
  <c r="P44" i="38"/>
  <c r="O44" i="38"/>
  <c r="N44" i="38"/>
  <c r="A44" i="38"/>
  <c r="V43" i="38"/>
  <c r="U43" i="38"/>
  <c r="T43" i="38"/>
  <c r="S43" i="38"/>
  <c r="R43" i="38"/>
  <c r="Q43" i="38"/>
  <c r="P43" i="38"/>
  <c r="O43" i="38"/>
  <c r="N43" i="38"/>
  <c r="L43" i="38"/>
  <c r="K43" i="38"/>
  <c r="J43" i="38"/>
  <c r="I43" i="38"/>
  <c r="H43" i="38"/>
  <c r="G43" i="38"/>
  <c r="F43" i="38"/>
  <c r="E43" i="38"/>
  <c r="D43" i="38"/>
  <c r="C43" i="38"/>
  <c r="A43" i="38"/>
  <c r="V42" i="38"/>
  <c r="U42" i="38"/>
  <c r="T42" i="38"/>
  <c r="S42" i="38"/>
  <c r="R42" i="38"/>
  <c r="Q42" i="38"/>
  <c r="P42" i="38"/>
  <c r="O42" i="38"/>
  <c r="N42" i="38"/>
  <c r="L42" i="38"/>
  <c r="K42" i="38"/>
  <c r="J42" i="38"/>
  <c r="I42" i="38"/>
  <c r="H42" i="38"/>
  <c r="G42" i="38"/>
  <c r="F42" i="38"/>
  <c r="E42" i="38"/>
  <c r="D42" i="38"/>
  <c r="C42" i="38"/>
  <c r="A42" i="38"/>
  <c r="V41" i="38"/>
  <c r="U41" i="38"/>
  <c r="T41" i="38"/>
  <c r="S41" i="38"/>
  <c r="R41" i="38"/>
  <c r="Q41" i="38"/>
  <c r="P41" i="38"/>
  <c r="O41" i="38"/>
  <c r="N41" i="38"/>
  <c r="L41" i="38"/>
  <c r="K41" i="38"/>
  <c r="J41" i="38"/>
  <c r="I41" i="38"/>
  <c r="H41" i="38"/>
  <c r="G41" i="38"/>
  <c r="F41" i="38"/>
  <c r="E41" i="38"/>
  <c r="D41" i="38"/>
  <c r="C41" i="38"/>
  <c r="A41" i="38"/>
  <c r="V40" i="38"/>
  <c r="U40" i="38"/>
  <c r="T40" i="38"/>
  <c r="S40" i="38"/>
  <c r="R40" i="38"/>
  <c r="Q40" i="38"/>
  <c r="P40" i="38"/>
  <c r="O40" i="38"/>
  <c r="N40" i="38"/>
  <c r="A40" i="38"/>
  <c r="V39" i="38"/>
  <c r="U39" i="38"/>
  <c r="T39" i="38"/>
  <c r="S39" i="38"/>
  <c r="R39" i="38"/>
  <c r="Q39" i="38"/>
  <c r="P39" i="38"/>
  <c r="O39" i="38"/>
  <c r="N39" i="38"/>
  <c r="L39" i="38"/>
  <c r="K39" i="38"/>
  <c r="J39" i="38"/>
  <c r="I39" i="38"/>
  <c r="H39" i="38"/>
  <c r="G39" i="38"/>
  <c r="F39" i="38"/>
  <c r="E39" i="38"/>
  <c r="D39" i="38"/>
  <c r="C39" i="38"/>
  <c r="A39" i="38"/>
  <c r="V38" i="38"/>
  <c r="U38" i="38"/>
  <c r="T38" i="38"/>
  <c r="S38" i="38"/>
  <c r="R38" i="38"/>
  <c r="Q38" i="38"/>
  <c r="P38" i="38"/>
  <c r="O38" i="38"/>
  <c r="N38" i="38"/>
  <c r="A38" i="38"/>
  <c r="V37" i="38"/>
  <c r="U37" i="38"/>
  <c r="T37" i="38"/>
  <c r="S37" i="38"/>
  <c r="R37" i="38"/>
  <c r="Q37" i="38"/>
  <c r="P37" i="38"/>
  <c r="O37" i="38"/>
  <c r="N37" i="38"/>
  <c r="L37" i="38"/>
  <c r="K37" i="38"/>
  <c r="J37" i="38"/>
  <c r="I37" i="38"/>
  <c r="H37" i="38"/>
  <c r="G37" i="38"/>
  <c r="F37" i="38"/>
  <c r="E37" i="38"/>
  <c r="D37" i="38"/>
  <c r="C37" i="38"/>
  <c r="A37" i="38"/>
  <c r="V36" i="38"/>
  <c r="U36" i="38"/>
  <c r="T36" i="38"/>
  <c r="S36" i="38"/>
  <c r="R36" i="38"/>
  <c r="Q36" i="38"/>
  <c r="P36" i="38"/>
  <c r="O36" i="38"/>
  <c r="N36" i="38"/>
  <c r="G36" i="38"/>
  <c r="F36" i="38"/>
  <c r="E36" i="38"/>
  <c r="D36" i="38"/>
  <c r="C36" i="38"/>
  <c r="A36" i="38"/>
  <c r="V35" i="38"/>
  <c r="U35" i="38"/>
  <c r="T35" i="38"/>
  <c r="S35" i="38"/>
  <c r="R35" i="38"/>
  <c r="Q35" i="38"/>
  <c r="P35" i="38"/>
  <c r="O35" i="38"/>
  <c r="N35" i="38"/>
  <c r="G35" i="38"/>
  <c r="F35" i="38"/>
  <c r="E35" i="38"/>
  <c r="D35" i="38"/>
  <c r="A35" i="38"/>
  <c r="V34" i="38"/>
  <c r="U34" i="38"/>
  <c r="T34" i="38"/>
  <c r="S34" i="38"/>
  <c r="R34" i="38"/>
  <c r="Q34" i="38"/>
  <c r="P34" i="38"/>
  <c r="O34" i="38"/>
  <c r="N34" i="38"/>
  <c r="L34" i="38"/>
  <c r="K34" i="38"/>
  <c r="J34" i="38"/>
  <c r="I34" i="38"/>
  <c r="H34" i="38"/>
  <c r="G34" i="38"/>
  <c r="F34" i="38"/>
  <c r="E34" i="38"/>
  <c r="D34" i="38"/>
  <c r="C34" i="38"/>
  <c r="A34" i="38"/>
  <c r="V33" i="38"/>
  <c r="U33" i="38"/>
  <c r="T33" i="38"/>
  <c r="S33" i="38"/>
  <c r="R33" i="38"/>
  <c r="Q33" i="38"/>
  <c r="P33" i="38"/>
  <c r="O33" i="38"/>
  <c r="N33" i="38"/>
  <c r="L33" i="38"/>
  <c r="K33" i="38"/>
  <c r="J33" i="38"/>
  <c r="I33" i="38"/>
  <c r="H33" i="38"/>
  <c r="G33" i="38"/>
  <c r="F33" i="38"/>
  <c r="E33" i="38"/>
  <c r="D33" i="38"/>
  <c r="T32" i="38"/>
  <c r="S32" i="38"/>
  <c r="V31" i="38"/>
  <c r="U31" i="38"/>
  <c r="T31" i="38"/>
  <c r="S31" i="38"/>
  <c r="R31" i="38"/>
  <c r="Q31" i="38"/>
  <c r="P31" i="38"/>
  <c r="O31" i="38"/>
  <c r="N31" i="38"/>
  <c r="M31" i="38"/>
  <c r="J20" i="38"/>
  <c r="I20" i="38"/>
  <c r="H20" i="38"/>
  <c r="G20" i="38"/>
  <c r="J19" i="38"/>
  <c r="I19" i="38"/>
  <c r="H19" i="38"/>
  <c r="G19" i="38"/>
  <c r="J18" i="38"/>
  <c r="I18" i="38"/>
  <c r="H18" i="38"/>
  <c r="G18" i="38"/>
  <c r="J17" i="38"/>
  <c r="I17" i="38"/>
  <c r="H17" i="38"/>
  <c r="G17" i="38"/>
  <c r="J16" i="38"/>
  <c r="I16" i="38"/>
  <c r="H16" i="38"/>
  <c r="G16" i="38"/>
  <c r="J15" i="38"/>
  <c r="I15" i="38"/>
  <c r="H15" i="38"/>
  <c r="G15" i="38"/>
  <c r="J14" i="38"/>
  <c r="I14" i="38"/>
  <c r="H14" i="38"/>
  <c r="G14" i="38"/>
  <c r="J13" i="38"/>
  <c r="I13" i="38"/>
  <c r="H13" i="38"/>
  <c r="G13" i="38"/>
  <c r="J12" i="38"/>
  <c r="I12" i="38"/>
  <c r="H12" i="38"/>
  <c r="G12" i="38"/>
  <c r="J11" i="38"/>
  <c r="H11" i="38"/>
  <c r="G11" i="38"/>
  <c r="E7" i="38"/>
  <c r="B7" i="38"/>
  <c r="I11" i="38" s="1"/>
  <c r="C33" i="38" s="1"/>
  <c r="M33" i="38" s="1"/>
  <c r="M102" i="38" s="1"/>
  <c r="I131" i="33"/>
  <c r="H131" i="33"/>
  <c r="G131" i="33"/>
  <c r="F131" i="33"/>
  <c r="E131" i="33"/>
  <c r="J130" i="33"/>
  <c r="I130" i="33"/>
  <c r="G130" i="33"/>
  <c r="F130" i="33"/>
  <c r="E130" i="33"/>
  <c r="D130" i="33"/>
  <c r="C130" i="33"/>
  <c r="J129" i="33"/>
  <c r="I129" i="33"/>
  <c r="G129" i="33"/>
  <c r="F129" i="33"/>
  <c r="E129" i="33"/>
  <c r="D129" i="33"/>
  <c r="C129" i="33"/>
  <c r="J128" i="33"/>
  <c r="I128" i="33"/>
  <c r="G128" i="33"/>
  <c r="F128" i="33"/>
  <c r="E128" i="33"/>
  <c r="D128" i="33"/>
  <c r="C128" i="33"/>
  <c r="J127" i="33"/>
  <c r="I127" i="33"/>
  <c r="G127" i="33"/>
  <c r="F127" i="33"/>
  <c r="E127" i="33"/>
  <c r="D127" i="33"/>
  <c r="C127" i="33"/>
  <c r="V103" i="33"/>
  <c r="U103" i="33"/>
  <c r="T103" i="33"/>
  <c r="S103" i="33"/>
  <c r="R103" i="33"/>
  <c r="Q103" i="33"/>
  <c r="P103" i="33"/>
  <c r="O103" i="33"/>
  <c r="N103" i="33"/>
  <c r="A103" i="33"/>
  <c r="V102" i="33"/>
  <c r="U102" i="33"/>
  <c r="T102" i="33"/>
  <c r="S102" i="33"/>
  <c r="R102" i="33"/>
  <c r="Q102" i="33"/>
  <c r="P102" i="33"/>
  <c r="O102" i="33"/>
  <c r="N102" i="33"/>
  <c r="A102" i="33"/>
  <c r="V101" i="33"/>
  <c r="U101" i="33"/>
  <c r="T101" i="33"/>
  <c r="S101" i="33"/>
  <c r="R101" i="33"/>
  <c r="Q101" i="33"/>
  <c r="P101" i="33"/>
  <c r="O101" i="33"/>
  <c r="N101" i="33"/>
  <c r="A101" i="33"/>
  <c r="V100" i="33"/>
  <c r="U100" i="33"/>
  <c r="T100" i="33"/>
  <c r="S100" i="33"/>
  <c r="R100" i="33"/>
  <c r="Q100" i="33"/>
  <c r="P100" i="33"/>
  <c r="O100" i="33"/>
  <c r="N100" i="33"/>
  <c r="A100" i="33"/>
  <c r="V99" i="33"/>
  <c r="U99" i="33"/>
  <c r="T99" i="33"/>
  <c r="S99" i="33"/>
  <c r="R99" i="33"/>
  <c r="Q99" i="33"/>
  <c r="P99" i="33"/>
  <c r="O99" i="33"/>
  <c r="N99" i="33"/>
  <c r="A99" i="33"/>
  <c r="V98" i="33"/>
  <c r="U98" i="33"/>
  <c r="T98" i="33"/>
  <c r="S98" i="33"/>
  <c r="R98" i="33"/>
  <c r="Q98" i="33"/>
  <c r="P98" i="33"/>
  <c r="O98" i="33"/>
  <c r="N98" i="33"/>
  <c r="A98" i="33"/>
  <c r="V97" i="33"/>
  <c r="U97" i="33"/>
  <c r="T97" i="33"/>
  <c r="S97" i="33"/>
  <c r="R97" i="33"/>
  <c r="Q97" i="33"/>
  <c r="P97" i="33"/>
  <c r="O97" i="33"/>
  <c r="N97" i="33"/>
  <c r="A97" i="33"/>
  <c r="V96" i="33"/>
  <c r="U96" i="33"/>
  <c r="T96" i="33"/>
  <c r="S96" i="33"/>
  <c r="R96" i="33"/>
  <c r="Q96" i="33"/>
  <c r="P96" i="33"/>
  <c r="O96" i="33"/>
  <c r="N96" i="33"/>
  <c r="A96" i="33"/>
  <c r="V95" i="33"/>
  <c r="U95" i="33"/>
  <c r="T95" i="33"/>
  <c r="S95" i="33"/>
  <c r="R95" i="33"/>
  <c r="Q95" i="33"/>
  <c r="P95" i="33"/>
  <c r="O95" i="33"/>
  <c r="N95" i="33"/>
  <c r="A95" i="33"/>
  <c r="V94" i="33"/>
  <c r="U94" i="33"/>
  <c r="T94" i="33"/>
  <c r="S94" i="33"/>
  <c r="R94" i="33"/>
  <c r="Q94" i="33"/>
  <c r="P94" i="33"/>
  <c r="O94" i="33"/>
  <c r="N94" i="33"/>
  <c r="A94" i="33"/>
  <c r="V93" i="33"/>
  <c r="U93" i="33"/>
  <c r="T93" i="33"/>
  <c r="S93" i="33"/>
  <c r="R93" i="33"/>
  <c r="Q93" i="33"/>
  <c r="P93" i="33"/>
  <c r="O93" i="33"/>
  <c r="N93" i="33"/>
  <c r="A93" i="33"/>
  <c r="V92" i="33"/>
  <c r="U92" i="33"/>
  <c r="T92" i="33"/>
  <c r="S92" i="33"/>
  <c r="R92" i="33"/>
  <c r="Q92" i="33"/>
  <c r="P92" i="33"/>
  <c r="O92" i="33"/>
  <c r="N92" i="33"/>
  <c r="A92" i="33"/>
  <c r="V91" i="33"/>
  <c r="U91" i="33"/>
  <c r="T91" i="33"/>
  <c r="S91" i="33"/>
  <c r="R91" i="33"/>
  <c r="Q91" i="33"/>
  <c r="P91" i="33"/>
  <c r="O91" i="33"/>
  <c r="N91" i="33"/>
  <c r="A91" i="33"/>
  <c r="V90" i="33"/>
  <c r="U90" i="33"/>
  <c r="T90" i="33"/>
  <c r="S90" i="33"/>
  <c r="R90" i="33"/>
  <c r="Q90" i="33"/>
  <c r="P90" i="33"/>
  <c r="O90" i="33"/>
  <c r="N90" i="33"/>
  <c r="A90" i="33"/>
  <c r="V89" i="33"/>
  <c r="U89" i="33"/>
  <c r="T89" i="33"/>
  <c r="S89" i="33"/>
  <c r="R89" i="33"/>
  <c r="Q89" i="33"/>
  <c r="P89" i="33"/>
  <c r="O89" i="33"/>
  <c r="N89" i="33"/>
  <c r="A89" i="33"/>
  <c r="V88" i="33"/>
  <c r="U88" i="33"/>
  <c r="T88" i="33"/>
  <c r="S88" i="33"/>
  <c r="R88" i="33"/>
  <c r="Q88" i="33"/>
  <c r="P88" i="33"/>
  <c r="O88" i="33"/>
  <c r="N88" i="33"/>
  <c r="A88" i="33"/>
  <c r="V87" i="33"/>
  <c r="U87" i="33"/>
  <c r="T87" i="33"/>
  <c r="S87" i="33"/>
  <c r="R87" i="33"/>
  <c r="Q87" i="33"/>
  <c r="P87" i="33"/>
  <c r="O87" i="33"/>
  <c r="N87" i="33"/>
  <c r="A87" i="33"/>
  <c r="V86" i="33"/>
  <c r="U86" i="33"/>
  <c r="T86" i="33"/>
  <c r="S86" i="33"/>
  <c r="R86" i="33"/>
  <c r="Q86" i="33"/>
  <c r="P86" i="33"/>
  <c r="O86" i="33"/>
  <c r="N86" i="33"/>
  <c r="A86" i="33"/>
  <c r="V85" i="33"/>
  <c r="U85" i="33"/>
  <c r="T85" i="33"/>
  <c r="S85" i="33"/>
  <c r="R85" i="33"/>
  <c r="Q85" i="33"/>
  <c r="P85" i="33"/>
  <c r="O85" i="33"/>
  <c r="N85" i="33"/>
  <c r="A85" i="33"/>
  <c r="V84" i="33"/>
  <c r="U84" i="33"/>
  <c r="T84" i="33"/>
  <c r="S84" i="33"/>
  <c r="R84" i="33"/>
  <c r="Q84" i="33"/>
  <c r="P84" i="33"/>
  <c r="O84" i="33"/>
  <c r="N84" i="33"/>
  <c r="A84" i="33"/>
  <c r="V83" i="33"/>
  <c r="U83" i="33"/>
  <c r="T83" i="33"/>
  <c r="S83" i="33"/>
  <c r="R83" i="33"/>
  <c r="Q83" i="33"/>
  <c r="P83" i="33"/>
  <c r="O83" i="33"/>
  <c r="N83" i="33"/>
  <c r="A83" i="33"/>
  <c r="V82" i="33"/>
  <c r="U82" i="33"/>
  <c r="T82" i="33"/>
  <c r="S82" i="33"/>
  <c r="R82" i="33"/>
  <c r="Q82" i="33"/>
  <c r="P82" i="33"/>
  <c r="O82" i="33"/>
  <c r="N82" i="33"/>
  <c r="L82" i="33"/>
  <c r="K82" i="33"/>
  <c r="J82" i="33"/>
  <c r="I82" i="33"/>
  <c r="H82" i="33"/>
  <c r="G82" i="33"/>
  <c r="F82" i="33"/>
  <c r="E82" i="33"/>
  <c r="D82" i="33"/>
  <c r="C82" i="33"/>
  <c r="A82" i="33"/>
  <c r="V81" i="33"/>
  <c r="U81" i="33"/>
  <c r="T81" i="33"/>
  <c r="S81" i="33"/>
  <c r="R81" i="33"/>
  <c r="Q81" i="33"/>
  <c r="P81" i="33"/>
  <c r="O81" i="33"/>
  <c r="N81" i="33"/>
  <c r="A81" i="33"/>
  <c r="V80" i="33"/>
  <c r="U80" i="33"/>
  <c r="T80" i="33"/>
  <c r="S80" i="33"/>
  <c r="R80" i="33"/>
  <c r="Q80" i="33"/>
  <c r="P80" i="33"/>
  <c r="O80" i="33"/>
  <c r="N80" i="33"/>
  <c r="A80" i="33"/>
  <c r="V79" i="33"/>
  <c r="U79" i="33"/>
  <c r="T79" i="33"/>
  <c r="S79" i="33"/>
  <c r="R79" i="33"/>
  <c r="Q79" i="33"/>
  <c r="P79" i="33"/>
  <c r="O79" i="33"/>
  <c r="N79" i="33"/>
  <c r="A79" i="33"/>
  <c r="V78" i="33"/>
  <c r="U78" i="33"/>
  <c r="T78" i="33"/>
  <c r="S78" i="33"/>
  <c r="R78" i="33"/>
  <c r="Q78" i="33"/>
  <c r="P78" i="33"/>
  <c r="O78" i="33"/>
  <c r="N78" i="33"/>
  <c r="A78" i="33"/>
  <c r="V77" i="33"/>
  <c r="U77" i="33"/>
  <c r="T77" i="33"/>
  <c r="S77" i="33"/>
  <c r="R77" i="33"/>
  <c r="Q77" i="33"/>
  <c r="P77" i="33"/>
  <c r="O77" i="33"/>
  <c r="N77" i="33"/>
  <c r="A77" i="33"/>
  <c r="V76" i="33"/>
  <c r="U76" i="33"/>
  <c r="T76" i="33"/>
  <c r="S76" i="33"/>
  <c r="R76" i="33"/>
  <c r="Q76" i="33"/>
  <c r="P76" i="33"/>
  <c r="O76" i="33"/>
  <c r="N76" i="33"/>
  <c r="A76" i="33"/>
  <c r="V75" i="33"/>
  <c r="U75" i="33"/>
  <c r="T75" i="33"/>
  <c r="S75" i="33"/>
  <c r="R75" i="33"/>
  <c r="Q75" i="33"/>
  <c r="P75" i="33"/>
  <c r="O75" i="33"/>
  <c r="N75" i="33"/>
  <c r="A75" i="33"/>
  <c r="V74" i="33"/>
  <c r="U74" i="33"/>
  <c r="T74" i="33"/>
  <c r="S74" i="33"/>
  <c r="R74" i="33"/>
  <c r="Q74" i="33"/>
  <c r="P74" i="33"/>
  <c r="O74" i="33"/>
  <c r="N74" i="33"/>
  <c r="A74" i="33"/>
  <c r="V73" i="33"/>
  <c r="U73" i="33"/>
  <c r="T73" i="33"/>
  <c r="S73" i="33"/>
  <c r="R73" i="33"/>
  <c r="Q73" i="33"/>
  <c r="P73" i="33"/>
  <c r="O73" i="33"/>
  <c r="N73" i="33"/>
  <c r="A73" i="33"/>
  <c r="V72" i="33"/>
  <c r="U72" i="33"/>
  <c r="T72" i="33"/>
  <c r="S72" i="33"/>
  <c r="R72" i="33"/>
  <c r="Q72" i="33"/>
  <c r="P72" i="33"/>
  <c r="O72" i="33"/>
  <c r="N72" i="33"/>
  <c r="A72" i="33"/>
  <c r="V71" i="33"/>
  <c r="U71" i="33"/>
  <c r="T71" i="33"/>
  <c r="S71" i="33"/>
  <c r="R71" i="33"/>
  <c r="Q71" i="33"/>
  <c r="P71" i="33"/>
  <c r="O71" i="33"/>
  <c r="N71" i="33"/>
  <c r="L71" i="33"/>
  <c r="K71" i="33"/>
  <c r="J71" i="33"/>
  <c r="I71" i="33"/>
  <c r="H71" i="33"/>
  <c r="G71" i="33"/>
  <c r="F71" i="33"/>
  <c r="E71" i="33"/>
  <c r="D71" i="33"/>
  <c r="C71" i="33"/>
  <c r="A71" i="33"/>
  <c r="V70" i="33"/>
  <c r="U70" i="33"/>
  <c r="T70" i="33"/>
  <c r="S70" i="33"/>
  <c r="R70" i="33"/>
  <c r="Q70" i="33"/>
  <c r="P70" i="33"/>
  <c r="O70" i="33"/>
  <c r="N70" i="33"/>
  <c r="A70" i="33"/>
  <c r="V69" i="33"/>
  <c r="U69" i="33"/>
  <c r="T69" i="33"/>
  <c r="S69" i="33"/>
  <c r="R69" i="33"/>
  <c r="Q69" i="33"/>
  <c r="P69" i="33"/>
  <c r="L69" i="33"/>
  <c r="K69" i="33"/>
  <c r="J69" i="33"/>
  <c r="I69" i="33"/>
  <c r="H69" i="33"/>
  <c r="C69" i="33"/>
  <c r="A69" i="33"/>
  <c r="V68" i="33"/>
  <c r="U68" i="33"/>
  <c r="T68" i="33"/>
  <c r="S68" i="33"/>
  <c r="R68" i="33"/>
  <c r="Q68" i="33"/>
  <c r="P68" i="33"/>
  <c r="O68" i="33"/>
  <c r="N68" i="33"/>
  <c r="C68" i="33"/>
  <c r="A68" i="33"/>
  <c r="V67" i="33"/>
  <c r="U67" i="33"/>
  <c r="T67" i="33"/>
  <c r="S67" i="33"/>
  <c r="R67" i="33"/>
  <c r="Q67" i="33"/>
  <c r="P67" i="33"/>
  <c r="O67" i="33"/>
  <c r="N67" i="33"/>
  <c r="A67" i="33"/>
  <c r="V66" i="33"/>
  <c r="U66" i="33"/>
  <c r="T66" i="33"/>
  <c r="S66" i="33"/>
  <c r="R66" i="33"/>
  <c r="Q66" i="33"/>
  <c r="P66" i="33"/>
  <c r="O66" i="33"/>
  <c r="N66" i="33"/>
  <c r="A66" i="33"/>
  <c r="V65" i="33"/>
  <c r="U65" i="33"/>
  <c r="T65" i="33"/>
  <c r="S65" i="33"/>
  <c r="R65" i="33"/>
  <c r="Q65" i="33"/>
  <c r="P65" i="33"/>
  <c r="C65" i="33"/>
  <c r="A65" i="33"/>
  <c r="V64" i="33"/>
  <c r="U64" i="33"/>
  <c r="T64" i="33"/>
  <c r="S64" i="33"/>
  <c r="R64" i="33"/>
  <c r="Q64" i="33"/>
  <c r="P64" i="33"/>
  <c r="O64" i="33"/>
  <c r="N64" i="33"/>
  <c r="C64" i="33"/>
  <c r="A64" i="33"/>
  <c r="V63" i="33"/>
  <c r="U63" i="33"/>
  <c r="T63" i="33"/>
  <c r="S63" i="33"/>
  <c r="R63" i="33"/>
  <c r="Q63" i="33"/>
  <c r="P63" i="33"/>
  <c r="O63" i="33"/>
  <c r="N63" i="33"/>
  <c r="A63" i="33"/>
  <c r="V62" i="33"/>
  <c r="U62" i="33"/>
  <c r="T62" i="33"/>
  <c r="S62" i="33"/>
  <c r="R62" i="33"/>
  <c r="Q62" i="33"/>
  <c r="P62" i="33"/>
  <c r="O62" i="33"/>
  <c r="N62" i="33"/>
  <c r="A62" i="33"/>
  <c r="V61" i="33"/>
  <c r="U61" i="33"/>
  <c r="T61" i="33"/>
  <c r="S61" i="33"/>
  <c r="R61" i="33"/>
  <c r="Q61" i="33"/>
  <c r="P61" i="33"/>
  <c r="O61" i="33"/>
  <c r="N61" i="33"/>
  <c r="A61" i="33"/>
  <c r="V60" i="33"/>
  <c r="U60" i="33"/>
  <c r="T60" i="33"/>
  <c r="S60" i="33"/>
  <c r="R60" i="33"/>
  <c r="Q60" i="33"/>
  <c r="P60" i="33"/>
  <c r="O60" i="33"/>
  <c r="N60" i="33"/>
  <c r="A60" i="33"/>
  <c r="V59" i="33"/>
  <c r="U59" i="33"/>
  <c r="T59" i="33"/>
  <c r="S59" i="33"/>
  <c r="R59" i="33"/>
  <c r="Q59" i="33"/>
  <c r="P59" i="33"/>
  <c r="O59" i="33"/>
  <c r="N59" i="33"/>
  <c r="A59" i="33"/>
  <c r="V58" i="33"/>
  <c r="U58" i="33"/>
  <c r="T58" i="33"/>
  <c r="S58" i="33"/>
  <c r="R58" i="33"/>
  <c r="Q58" i="33"/>
  <c r="P58" i="33"/>
  <c r="O58" i="33"/>
  <c r="N58" i="33"/>
  <c r="C58" i="33"/>
  <c r="A58" i="33"/>
  <c r="V57" i="33"/>
  <c r="U57" i="33"/>
  <c r="T57" i="33"/>
  <c r="S57" i="33"/>
  <c r="R57" i="33"/>
  <c r="Q57" i="33"/>
  <c r="P57" i="33"/>
  <c r="O57" i="33"/>
  <c r="N57" i="33"/>
  <c r="C57" i="33"/>
  <c r="A57" i="33"/>
  <c r="V56" i="33"/>
  <c r="U56" i="33"/>
  <c r="T56" i="33"/>
  <c r="S56" i="33"/>
  <c r="R56" i="33"/>
  <c r="Q56" i="33"/>
  <c r="P56" i="33"/>
  <c r="O56" i="33"/>
  <c r="N56" i="33"/>
  <c r="A56" i="33"/>
  <c r="V55" i="33"/>
  <c r="U55" i="33"/>
  <c r="T55" i="33"/>
  <c r="S55" i="33"/>
  <c r="R55" i="33"/>
  <c r="Q55" i="33"/>
  <c r="P55" i="33"/>
  <c r="O55" i="33"/>
  <c r="N55" i="33"/>
  <c r="A55" i="33"/>
  <c r="V54" i="33"/>
  <c r="U54" i="33"/>
  <c r="T54" i="33"/>
  <c r="S54" i="33"/>
  <c r="R54" i="33"/>
  <c r="Q54" i="33"/>
  <c r="P54" i="33"/>
  <c r="O54" i="33"/>
  <c r="N54" i="33"/>
  <c r="A54" i="33"/>
  <c r="V53" i="33"/>
  <c r="U53" i="33"/>
  <c r="T53" i="33"/>
  <c r="S53" i="33"/>
  <c r="R53" i="33"/>
  <c r="Q53" i="33"/>
  <c r="P53" i="33"/>
  <c r="O53" i="33"/>
  <c r="N53" i="33"/>
  <c r="L53" i="33"/>
  <c r="K53" i="33"/>
  <c r="J53" i="33"/>
  <c r="I53" i="33"/>
  <c r="H53" i="33"/>
  <c r="G53" i="33"/>
  <c r="F53" i="33"/>
  <c r="E53" i="33"/>
  <c r="D53" i="33"/>
  <c r="C53" i="33"/>
  <c r="A53" i="33"/>
  <c r="V52" i="33"/>
  <c r="U52" i="33"/>
  <c r="T52" i="33"/>
  <c r="S52" i="33"/>
  <c r="R52" i="33"/>
  <c r="Q52" i="33"/>
  <c r="P52" i="33"/>
  <c r="O52" i="33"/>
  <c r="N52" i="33"/>
  <c r="L52" i="33"/>
  <c r="K52" i="33"/>
  <c r="J52" i="33"/>
  <c r="I52" i="33"/>
  <c r="H52" i="33"/>
  <c r="G52" i="33"/>
  <c r="F52" i="33"/>
  <c r="E52" i="33"/>
  <c r="D52" i="33"/>
  <c r="C52" i="33"/>
  <c r="A52" i="33"/>
  <c r="V51" i="33"/>
  <c r="U51" i="33"/>
  <c r="T51" i="33"/>
  <c r="S51" i="33"/>
  <c r="R51" i="33"/>
  <c r="Q51" i="33"/>
  <c r="P51" i="33"/>
  <c r="O51" i="33"/>
  <c r="N51" i="33"/>
  <c r="A51" i="33"/>
  <c r="V50" i="33"/>
  <c r="U50" i="33"/>
  <c r="T50" i="33"/>
  <c r="S50" i="33"/>
  <c r="R50" i="33"/>
  <c r="Q50" i="33"/>
  <c r="P50" i="33"/>
  <c r="O50" i="33"/>
  <c r="N50" i="33"/>
  <c r="A50" i="33"/>
  <c r="V49" i="33"/>
  <c r="U49" i="33"/>
  <c r="T49" i="33"/>
  <c r="S49" i="33"/>
  <c r="R49" i="33"/>
  <c r="Q49" i="33"/>
  <c r="P49" i="33"/>
  <c r="O49" i="33"/>
  <c r="N49" i="33"/>
  <c r="A49" i="33"/>
  <c r="V48" i="33"/>
  <c r="U48" i="33"/>
  <c r="T48" i="33"/>
  <c r="S48" i="33"/>
  <c r="R48" i="33"/>
  <c r="Q48" i="33"/>
  <c r="P48" i="33"/>
  <c r="O48" i="33"/>
  <c r="N48" i="33"/>
  <c r="A48" i="33"/>
  <c r="V47" i="33"/>
  <c r="U47" i="33"/>
  <c r="T47" i="33"/>
  <c r="S47" i="33"/>
  <c r="R47" i="33"/>
  <c r="Q47" i="33"/>
  <c r="P47" i="33"/>
  <c r="O47" i="33"/>
  <c r="N47" i="33"/>
  <c r="A47" i="33"/>
  <c r="V46" i="33"/>
  <c r="U46" i="33"/>
  <c r="T46" i="33"/>
  <c r="S46" i="33"/>
  <c r="R46" i="33"/>
  <c r="Q46" i="33"/>
  <c r="P46" i="33"/>
  <c r="O46" i="33"/>
  <c r="N46" i="33"/>
  <c r="A46" i="33"/>
  <c r="V45" i="33"/>
  <c r="U45" i="33"/>
  <c r="T45" i="33"/>
  <c r="S45" i="33"/>
  <c r="R45" i="33"/>
  <c r="Q45" i="33"/>
  <c r="P45" i="33"/>
  <c r="O45" i="33"/>
  <c r="N45" i="33"/>
  <c r="A45" i="33"/>
  <c r="V44" i="33"/>
  <c r="U44" i="33"/>
  <c r="T44" i="33"/>
  <c r="S44" i="33"/>
  <c r="R44" i="33"/>
  <c r="Q44" i="33"/>
  <c r="P44" i="33"/>
  <c r="O44" i="33"/>
  <c r="N44" i="33"/>
  <c r="A44" i="33"/>
  <c r="V43" i="33"/>
  <c r="U43" i="33"/>
  <c r="T43" i="33"/>
  <c r="S43" i="33"/>
  <c r="R43" i="33"/>
  <c r="Q43" i="33"/>
  <c r="P43" i="33"/>
  <c r="O43" i="33"/>
  <c r="N43" i="33"/>
  <c r="L43" i="33"/>
  <c r="K43" i="33"/>
  <c r="J43" i="33"/>
  <c r="I43" i="33"/>
  <c r="H43" i="33"/>
  <c r="G43" i="33"/>
  <c r="F43" i="33"/>
  <c r="C43" i="33"/>
  <c r="A43" i="33"/>
  <c r="V42" i="33"/>
  <c r="U42" i="33"/>
  <c r="T42" i="33"/>
  <c r="S42" i="33"/>
  <c r="R42" i="33"/>
  <c r="Q42" i="33"/>
  <c r="P42" i="33"/>
  <c r="O42" i="33"/>
  <c r="N42" i="33"/>
  <c r="L42" i="33"/>
  <c r="K42" i="33"/>
  <c r="J42" i="33"/>
  <c r="I42" i="33"/>
  <c r="H42" i="33"/>
  <c r="G42" i="33"/>
  <c r="F42" i="33"/>
  <c r="C42" i="33"/>
  <c r="A42" i="33"/>
  <c r="V41" i="33"/>
  <c r="U41" i="33"/>
  <c r="T41" i="33"/>
  <c r="S41" i="33"/>
  <c r="R41" i="33"/>
  <c r="Q41" i="33"/>
  <c r="P41" i="33"/>
  <c r="O41" i="33"/>
  <c r="N41" i="33"/>
  <c r="L41" i="33"/>
  <c r="K41" i="33"/>
  <c r="J41" i="33"/>
  <c r="I41" i="33"/>
  <c r="H41" i="33"/>
  <c r="G41" i="33"/>
  <c r="F41" i="33"/>
  <c r="C41" i="33"/>
  <c r="A41" i="33"/>
  <c r="V40" i="33"/>
  <c r="U40" i="33"/>
  <c r="T40" i="33"/>
  <c r="S40" i="33"/>
  <c r="R40" i="33"/>
  <c r="Q40" i="33"/>
  <c r="P40" i="33"/>
  <c r="O40" i="33"/>
  <c r="N40" i="33"/>
  <c r="A40" i="33"/>
  <c r="V39" i="33"/>
  <c r="U39" i="33"/>
  <c r="T39" i="33"/>
  <c r="S39" i="33"/>
  <c r="R39" i="33"/>
  <c r="Q39" i="33"/>
  <c r="P39" i="33"/>
  <c r="O39" i="33"/>
  <c r="N39" i="33"/>
  <c r="L39" i="33"/>
  <c r="K39" i="33"/>
  <c r="J39" i="33"/>
  <c r="I39" i="33"/>
  <c r="H39" i="33"/>
  <c r="G39" i="33"/>
  <c r="F39" i="33"/>
  <c r="C39" i="33"/>
  <c r="A39" i="33"/>
  <c r="V38" i="33"/>
  <c r="U38" i="33"/>
  <c r="T38" i="33"/>
  <c r="S38" i="33"/>
  <c r="R38" i="33"/>
  <c r="Q38" i="33"/>
  <c r="P38" i="33"/>
  <c r="O38" i="33"/>
  <c r="N38" i="33"/>
  <c r="A38" i="33"/>
  <c r="V37" i="33"/>
  <c r="U37" i="33"/>
  <c r="T37" i="33"/>
  <c r="S37" i="33"/>
  <c r="R37" i="33"/>
  <c r="Q37" i="33"/>
  <c r="P37" i="33"/>
  <c r="O37" i="33"/>
  <c r="N37" i="33"/>
  <c r="L37" i="33"/>
  <c r="K37" i="33"/>
  <c r="J37" i="33"/>
  <c r="I37" i="33"/>
  <c r="H37" i="33"/>
  <c r="G37" i="33"/>
  <c r="F37" i="33"/>
  <c r="C37" i="33"/>
  <c r="A37" i="33"/>
  <c r="V36" i="33"/>
  <c r="U36" i="33"/>
  <c r="T36" i="33"/>
  <c r="S36" i="33"/>
  <c r="R36" i="33"/>
  <c r="Q36" i="33"/>
  <c r="P36" i="33"/>
  <c r="O36" i="33"/>
  <c r="N36" i="33"/>
  <c r="C36" i="33"/>
  <c r="A36" i="33"/>
  <c r="V35" i="33"/>
  <c r="U35" i="33"/>
  <c r="T35" i="33"/>
  <c r="S35" i="33"/>
  <c r="R35" i="33"/>
  <c r="Q35" i="33"/>
  <c r="P35" i="33"/>
  <c r="O35" i="33"/>
  <c r="N35" i="33"/>
  <c r="A35" i="33"/>
  <c r="V34" i="33"/>
  <c r="U34" i="33"/>
  <c r="T34" i="33"/>
  <c r="S34" i="33"/>
  <c r="R34" i="33"/>
  <c r="Q34" i="33"/>
  <c r="P34" i="33"/>
  <c r="O34" i="33"/>
  <c r="N34" i="33"/>
  <c r="L34" i="33"/>
  <c r="K34" i="33"/>
  <c r="J34" i="33"/>
  <c r="I34" i="33"/>
  <c r="H34" i="33"/>
  <c r="G34" i="33"/>
  <c r="F34" i="33"/>
  <c r="C34" i="33"/>
  <c r="A34" i="33"/>
  <c r="V33" i="33"/>
  <c r="U33" i="33"/>
  <c r="T33" i="33"/>
  <c r="S33" i="33"/>
  <c r="R33" i="33"/>
  <c r="Q33" i="33"/>
  <c r="P33" i="33"/>
  <c r="O33" i="33"/>
  <c r="N33" i="33"/>
  <c r="L33" i="33"/>
  <c r="K33" i="33"/>
  <c r="J33" i="33"/>
  <c r="I33" i="33"/>
  <c r="H33" i="33"/>
  <c r="G33" i="33"/>
  <c r="F33" i="33"/>
  <c r="T32" i="33"/>
  <c r="S32" i="33"/>
  <c r="V31" i="33"/>
  <c r="U31" i="33"/>
  <c r="T31" i="33"/>
  <c r="S31" i="33"/>
  <c r="R31" i="33"/>
  <c r="Q31" i="33"/>
  <c r="P31" i="33"/>
  <c r="O31" i="33"/>
  <c r="N31" i="33"/>
  <c r="M31" i="33"/>
  <c r="J20" i="33"/>
  <c r="I20" i="33"/>
  <c r="H20" i="33"/>
  <c r="G20" i="33"/>
  <c r="J19" i="33"/>
  <c r="I19" i="33"/>
  <c r="H19" i="33"/>
  <c r="G19" i="33"/>
  <c r="J18" i="33"/>
  <c r="I18" i="33"/>
  <c r="H18" i="33"/>
  <c r="G18" i="33"/>
  <c r="J17" i="33"/>
  <c r="I17" i="33"/>
  <c r="H17" i="33"/>
  <c r="G17" i="33"/>
  <c r="J16" i="33"/>
  <c r="I16" i="33"/>
  <c r="H16" i="33"/>
  <c r="G16" i="33"/>
  <c r="J15" i="33"/>
  <c r="I15" i="33"/>
  <c r="H15" i="33"/>
  <c r="G15" i="33"/>
  <c r="J14" i="33"/>
  <c r="I14" i="33"/>
  <c r="H14" i="33"/>
  <c r="G14" i="33"/>
  <c r="J13" i="33"/>
  <c r="I13" i="33"/>
  <c r="H13" i="33"/>
  <c r="G13" i="33"/>
  <c r="J12" i="33"/>
  <c r="I12" i="33"/>
  <c r="H12" i="33"/>
  <c r="G12" i="33"/>
  <c r="J11" i="33"/>
  <c r="H11" i="33"/>
  <c r="G11" i="33"/>
  <c r="E7" i="33"/>
  <c r="B7" i="33"/>
  <c r="I11" i="33" s="1"/>
  <c r="C33" i="33" s="1"/>
  <c r="M156" i="32"/>
  <c r="L156" i="32"/>
  <c r="K156" i="32"/>
  <c r="J156" i="32"/>
  <c r="I156" i="32"/>
  <c r="H156" i="32"/>
  <c r="G156" i="32"/>
  <c r="F156" i="32"/>
  <c r="N155" i="32"/>
  <c r="K155" i="32"/>
  <c r="J155" i="32"/>
  <c r="I155" i="32"/>
  <c r="H155" i="32"/>
  <c r="G155" i="32"/>
  <c r="F155" i="32"/>
  <c r="N154" i="32"/>
  <c r="K154" i="32"/>
  <c r="J154" i="32"/>
  <c r="I154" i="32"/>
  <c r="H154" i="32"/>
  <c r="G154" i="32"/>
  <c r="F154" i="32"/>
  <c r="N153" i="32"/>
  <c r="K153" i="32"/>
  <c r="J153" i="32"/>
  <c r="I153" i="32"/>
  <c r="H153" i="32"/>
  <c r="G153" i="32"/>
  <c r="F153" i="32"/>
  <c r="N152" i="32"/>
  <c r="K152" i="32"/>
  <c r="J152" i="32"/>
  <c r="I152" i="32"/>
  <c r="H152" i="32"/>
  <c r="G152" i="32"/>
  <c r="F152" i="32"/>
  <c r="N151" i="32"/>
  <c r="K151" i="32"/>
  <c r="J151" i="32"/>
  <c r="I151" i="32"/>
  <c r="H151" i="32"/>
  <c r="G151" i="32"/>
  <c r="F151" i="32"/>
  <c r="N150" i="32"/>
  <c r="K150" i="32"/>
  <c r="J150" i="32"/>
  <c r="I150" i="32"/>
  <c r="H150" i="32"/>
  <c r="G150" i="32"/>
  <c r="F150" i="32"/>
  <c r="N149" i="32"/>
  <c r="K149" i="32"/>
  <c r="J149" i="32"/>
  <c r="I149" i="32"/>
  <c r="H149" i="32"/>
  <c r="G149" i="32"/>
  <c r="F149" i="32"/>
  <c r="N148" i="32"/>
  <c r="K148" i="32"/>
  <c r="J148" i="32"/>
  <c r="I148" i="32"/>
  <c r="H148" i="32"/>
  <c r="G148" i="32"/>
  <c r="F148" i="32"/>
  <c r="N147" i="32"/>
  <c r="K147" i="32"/>
  <c r="J147" i="32"/>
  <c r="I147" i="32"/>
  <c r="H147" i="32"/>
  <c r="G147" i="32"/>
  <c r="F147" i="32"/>
  <c r="N146" i="32"/>
  <c r="K146" i="32"/>
  <c r="J146" i="32"/>
  <c r="I146" i="32"/>
  <c r="H146" i="32"/>
  <c r="G146" i="32"/>
  <c r="F146" i="32"/>
  <c r="J143" i="32"/>
  <c r="I143" i="32"/>
  <c r="H143" i="32"/>
  <c r="G143" i="32"/>
  <c r="F143" i="32"/>
  <c r="K142" i="32"/>
  <c r="H142" i="32"/>
  <c r="G142" i="32"/>
  <c r="F142" i="32"/>
  <c r="K141" i="32"/>
  <c r="H141" i="32"/>
  <c r="G141" i="32"/>
  <c r="F141" i="32"/>
  <c r="K140" i="32"/>
  <c r="H140" i="32"/>
  <c r="G140" i="32"/>
  <c r="F140" i="32"/>
  <c r="K139" i="32"/>
  <c r="H139" i="32"/>
  <c r="G139" i="32"/>
  <c r="F139" i="32"/>
  <c r="K138" i="32"/>
  <c r="H138" i="32"/>
  <c r="G138" i="32"/>
  <c r="F138" i="32"/>
  <c r="K137" i="32"/>
  <c r="H137" i="32"/>
  <c r="G137" i="32"/>
  <c r="F137" i="32"/>
  <c r="K136" i="32"/>
  <c r="H136" i="32"/>
  <c r="G136" i="32"/>
  <c r="F136" i="32"/>
  <c r="K135" i="32"/>
  <c r="H135" i="32"/>
  <c r="G135" i="32"/>
  <c r="F135" i="32"/>
  <c r="K134" i="32"/>
  <c r="H134" i="32"/>
  <c r="G134" i="32"/>
  <c r="F134" i="32"/>
  <c r="K133" i="32"/>
  <c r="H133" i="32"/>
  <c r="G133" i="32"/>
  <c r="F133" i="32"/>
  <c r="V103" i="32"/>
  <c r="U103" i="32"/>
  <c r="T103" i="32"/>
  <c r="S103" i="32"/>
  <c r="R103" i="32"/>
  <c r="Q103" i="32"/>
  <c r="P103" i="32"/>
  <c r="O103" i="32"/>
  <c r="A103" i="32"/>
  <c r="V102" i="32"/>
  <c r="U102" i="32"/>
  <c r="T102" i="32"/>
  <c r="S102" i="32"/>
  <c r="R102" i="32"/>
  <c r="Q102" i="32"/>
  <c r="P102" i="32"/>
  <c r="O102" i="32"/>
  <c r="A102" i="32"/>
  <c r="V101" i="32"/>
  <c r="U101" i="32"/>
  <c r="T101" i="32"/>
  <c r="S101" i="32"/>
  <c r="R101" i="32"/>
  <c r="Q101" i="32"/>
  <c r="P101" i="32"/>
  <c r="O101" i="32"/>
  <c r="A101" i="32"/>
  <c r="V100" i="32"/>
  <c r="U100" i="32"/>
  <c r="T100" i="32"/>
  <c r="S100" i="32"/>
  <c r="R100" i="32"/>
  <c r="Q100" i="32"/>
  <c r="P100" i="32"/>
  <c r="O100" i="32"/>
  <c r="A100" i="32"/>
  <c r="V99" i="32"/>
  <c r="U99" i="32"/>
  <c r="T99" i="32"/>
  <c r="S99" i="32"/>
  <c r="R99" i="32"/>
  <c r="Q99" i="32"/>
  <c r="P99" i="32"/>
  <c r="O99" i="32"/>
  <c r="A99" i="32"/>
  <c r="V98" i="32"/>
  <c r="U98" i="32"/>
  <c r="T98" i="32"/>
  <c r="S98" i="32"/>
  <c r="R98" i="32"/>
  <c r="Q98" i="32"/>
  <c r="P98" i="32"/>
  <c r="O98" i="32"/>
  <c r="A98" i="32"/>
  <c r="V97" i="32"/>
  <c r="U97" i="32"/>
  <c r="T97" i="32"/>
  <c r="S97" i="32"/>
  <c r="R97" i="32"/>
  <c r="Q97" i="32"/>
  <c r="P97" i="32"/>
  <c r="O97" i="32"/>
  <c r="A97" i="32"/>
  <c r="V96" i="32"/>
  <c r="U96" i="32"/>
  <c r="T96" i="32"/>
  <c r="S96" i="32"/>
  <c r="R96" i="32"/>
  <c r="Q96" i="32"/>
  <c r="P96" i="32"/>
  <c r="O96" i="32"/>
  <c r="A96" i="32"/>
  <c r="V95" i="32"/>
  <c r="U95" i="32"/>
  <c r="T95" i="32"/>
  <c r="S95" i="32"/>
  <c r="R95" i="32"/>
  <c r="Q95" i="32"/>
  <c r="P95" i="32"/>
  <c r="O95" i="32"/>
  <c r="A95" i="32"/>
  <c r="V94" i="32"/>
  <c r="U94" i="32"/>
  <c r="T94" i="32"/>
  <c r="S94" i="32"/>
  <c r="R94" i="32"/>
  <c r="Q94" i="32"/>
  <c r="P94" i="32"/>
  <c r="O94" i="32"/>
  <c r="A94" i="32"/>
  <c r="V93" i="32"/>
  <c r="U93" i="32"/>
  <c r="T93" i="32"/>
  <c r="S93" i="32"/>
  <c r="R93" i="32"/>
  <c r="Q93" i="32"/>
  <c r="P93" i="32"/>
  <c r="O93" i="32"/>
  <c r="A93" i="32"/>
  <c r="V92" i="32"/>
  <c r="U92" i="32"/>
  <c r="T92" i="32"/>
  <c r="S92" i="32"/>
  <c r="R92" i="32"/>
  <c r="Q92" i="32"/>
  <c r="P92" i="32"/>
  <c r="O92" i="32"/>
  <c r="A92" i="32"/>
  <c r="V91" i="32"/>
  <c r="U91" i="32"/>
  <c r="T91" i="32"/>
  <c r="S91" i="32"/>
  <c r="R91" i="32"/>
  <c r="Q91" i="32"/>
  <c r="P91" i="32"/>
  <c r="O91" i="32"/>
  <c r="A91" i="32"/>
  <c r="V90" i="32"/>
  <c r="U90" i="32"/>
  <c r="T90" i="32"/>
  <c r="S90" i="32"/>
  <c r="R90" i="32"/>
  <c r="Q90" i="32"/>
  <c r="P90" i="32"/>
  <c r="O90" i="32"/>
  <c r="A90" i="32"/>
  <c r="V89" i="32"/>
  <c r="U89" i="32"/>
  <c r="T89" i="32"/>
  <c r="S89" i="32"/>
  <c r="R89" i="32"/>
  <c r="Q89" i="32"/>
  <c r="P89" i="32"/>
  <c r="O89" i="32"/>
  <c r="A89" i="32"/>
  <c r="V88" i="32"/>
  <c r="U88" i="32"/>
  <c r="T88" i="32"/>
  <c r="S88" i="32"/>
  <c r="R88" i="32"/>
  <c r="Q88" i="32"/>
  <c r="P88" i="32"/>
  <c r="O88" i="32"/>
  <c r="A88" i="32"/>
  <c r="V87" i="32"/>
  <c r="U87" i="32"/>
  <c r="T87" i="32"/>
  <c r="S87" i="32"/>
  <c r="R87" i="32"/>
  <c r="Q87" i="32"/>
  <c r="P87" i="32"/>
  <c r="O87" i="32"/>
  <c r="A87" i="32"/>
  <c r="V86" i="32"/>
  <c r="U86" i="32"/>
  <c r="T86" i="32"/>
  <c r="S86" i="32"/>
  <c r="R86" i="32"/>
  <c r="Q86" i="32"/>
  <c r="P86" i="32"/>
  <c r="O86" i="32"/>
  <c r="A86" i="32"/>
  <c r="V85" i="32"/>
  <c r="U85" i="32"/>
  <c r="T85" i="32"/>
  <c r="S85" i="32"/>
  <c r="R85" i="32"/>
  <c r="Q85" i="32"/>
  <c r="P85" i="32"/>
  <c r="O85" i="32"/>
  <c r="A85" i="32"/>
  <c r="V84" i="32"/>
  <c r="U84" i="32"/>
  <c r="T84" i="32"/>
  <c r="S84" i="32"/>
  <c r="R84" i="32"/>
  <c r="Q84" i="32"/>
  <c r="P84" i="32"/>
  <c r="O84" i="32"/>
  <c r="A84" i="32"/>
  <c r="V83" i="32"/>
  <c r="U83" i="32"/>
  <c r="T83" i="32"/>
  <c r="S83" i="32"/>
  <c r="R83" i="32"/>
  <c r="Q83" i="32"/>
  <c r="P83" i="32"/>
  <c r="O83" i="32"/>
  <c r="A83" i="32"/>
  <c r="V82" i="32"/>
  <c r="U82" i="32"/>
  <c r="T82" i="32"/>
  <c r="S82" i="32"/>
  <c r="R82" i="32"/>
  <c r="Q82" i="32"/>
  <c r="P82" i="32"/>
  <c r="O82" i="32"/>
  <c r="L82" i="32"/>
  <c r="K82" i="32"/>
  <c r="J82" i="32"/>
  <c r="I82" i="32"/>
  <c r="H82" i="32"/>
  <c r="G82" i="32"/>
  <c r="F82" i="32"/>
  <c r="A82" i="32"/>
  <c r="V81" i="32"/>
  <c r="U81" i="32"/>
  <c r="T81" i="32"/>
  <c r="S81" i="32"/>
  <c r="R81" i="32"/>
  <c r="Q81" i="32"/>
  <c r="P81" i="32"/>
  <c r="O81" i="32"/>
  <c r="A81" i="32"/>
  <c r="V80" i="32"/>
  <c r="U80" i="32"/>
  <c r="T80" i="32"/>
  <c r="S80" i="32"/>
  <c r="R80" i="32"/>
  <c r="Q80" i="32"/>
  <c r="P80" i="32"/>
  <c r="O80" i="32"/>
  <c r="A80" i="32"/>
  <c r="V79" i="32"/>
  <c r="U79" i="32"/>
  <c r="T79" i="32"/>
  <c r="S79" i="32"/>
  <c r="R79" i="32"/>
  <c r="Q79" i="32"/>
  <c r="P79" i="32"/>
  <c r="O79" i="32"/>
  <c r="A79" i="32"/>
  <c r="V78" i="32"/>
  <c r="U78" i="32"/>
  <c r="T78" i="32"/>
  <c r="S78" i="32"/>
  <c r="R78" i="32"/>
  <c r="Q78" i="32"/>
  <c r="P78" i="32"/>
  <c r="O78" i="32"/>
  <c r="A78" i="32"/>
  <c r="V77" i="32"/>
  <c r="U77" i="32"/>
  <c r="T77" i="32"/>
  <c r="S77" i="32"/>
  <c r="R77" i="32"/>
  <c r="Q77" i="32"/>
  <c r="P77" i="32"/>
  <c r="O77" i="32"/>
  <c r="A77" i="32"/>
  <c r="V76" i="32"/>
  <c r="U76" i="32"/>
  <c r="T76" i="32"/>
  <c r="S76" i="32"/>
  <c r="R76" i="32"/>
  <c r="Q76" i="32"/>
  <c r="P76" i="32"/>
  <c r="O76" i="32"/>
  <c r="A76" i="32"/>
  <c r="V75" i="32"/>
  <c r="U75" i="32"/>
  <c r="T75" i="32"/>
  <c r="S75" i="32"/>
  <c r="R75" i="32"/>
  <c r="Q75" i="32"/>
  <c r="P75" i="32"/>
  <c r="O75" i="32"/>
  <c r="A75" i="32"/>
  <c r="V74" i="32"/>
  <c r="U74" i="32"/>
  <c r="T74" i="32"/>
  <c r="S74" i="32"/>
  <c r="R74" i="32"/>
  <c r="Q74" i="32"/>
  <c r="P74" i="32"/>
  <c r="O74" i="32"/>
  <c r="A74" i="32"/>
  <c r="V73" i="32"/>
  <c r="U73" i="32"/>
  <c r="T73" i="32"/>
  <c r="S73" i="32"/>
  <c r="R73" i="32"/>
  <c r="Q73" i="32"/>
  <c r="P73" i="32"/>
  <c r="O73" i="32"/>
  <c r="A73" i="32"/>
  <c r="V72" i="32"/>
  <c r="U72" i="32"/>
  <c r="T72" i="32"/>
  <c r="S72" i="32"/>
  <c r="R72" i="32"/>
  <c r="Q72" i="32"/>
  <c r="P72" i="32"/>
  <c r="O72" i="32"/>
  <c r="A72" i="32"/>
  <c r="V71" i="32"/>
  <c r="U71" i="32"/>
  <c r="T71" i="32"/>
  <c r="S71" i="32"/>
  <c r="R71" i="32"/>
  <c r="Q71" i="32"/>
  <c r="P71" i="32"/>
  <c r="O71" i="32"/>
  <c r="L71" i="32"/>
  <c r="K71" i="32"/>
  <c r="J71" i="32"/>
  <c r="I71" i="32"/>
  <c r="H71" i="32"/>
  <c r="G71" i="32"/>
  <c r="F71" i="32"/>
  <c r="E71" i="32"/>
  <c r="D71" i="32"/>
  <c r="C71" i="32"/>
  <c r="A71" i="32"/>
  <c r="V70" i="32"/>
  <c r="U70" i="32"/>
  <c r="T70" i="32"/>
  <c r="S70" i="32"/>
  <c r="R70" i="32"/>
  <c r="Q70" i="32"/>
  <c r="P70" i="32"/>
  <c r="O70" i="32"/>
  <c r="A70" i="32"/>
  <c r="V69" i="32"/>
  <c r="U69" i="32"/>
  <c r="T69" i="32"/>
  <c r="S69" i="32"/>
  <c r="R69" i="32"/>
  <c r="Q69" i="32"/>
  <c r="P69" i="32"/>
  <c r="O69" i="32"/>
  <c r="L69" i="32"/>
  <c r="K69" i="32"/>
  <c r="J69" i="32"/>
  <c r="I69" i="32"/>
  <c r="H69" i="32"/>
  <c r="G69" i="32"/>
  <c r="F69" i="32"/>
  <c r="D69" i="32"/>
  <c r="C69" i="32"/>
  <c r="A69" i="32"/>
  <c r="V68" i="32"/>
  <c r="U68" i="32"/>
  <c r="T68" i="32"/>
  <c r="S68" i="32"/>
  <c r="R68" i="32"/>
  <c r="Q68" i="32"/>
  <c r="P68" i="32"/>
  <c r="O68" i="32"/>
  <c r="D68" i="32"/>
  <c r="C68" i="32"/>
  <c r="A68" i="32"/>
  <c r="V67" i="32"/>
  <c r="U67" i="32"/>
  <c r="T67" i="32"/>
  <c r="S67" i="32"/>
  <c r="R67" i="32"/>
  <c r="Q67" i="32"/>
  <c r="P67" i="32"/>
  <c r="O67" i="32"/>
  <c r="A67" i="32"/>
  <c r="V66" i="32"/>
  <c r="U66" i="32"/>
  <c r="T66" i="32"/>
  <c r="S66" i="32"/>
  <c r="R66" i="32"/>
  <c r="Q66" i="32"/>
  <c r="P66" i="32"/>
  <c r="O66" i="32"/>
  <c r="A66" i="32"/>
  <c r="V65" i="32"/>
  <c r="U65" i="32"/>
  <c r="T65" i="32"/>
  <c r="S65" i="32"/>
  <c r="R65" i="32"/>
  <c r="Q65" i="32"/>
  <c r="P65" i="32"/>
  <c r="O65" i="32"/>
  <c r="D65" i="32"/>
  <c r="C65" i="32"/>
  <c r="A65" i="32"/>
  <c r="V64" i="32"/>
  <c r="U64" i="32"/>
  <c r="T64" i="32"/>
  <c r="S64" i="32"/>
  <c r="R64" i="32"/>
  <c r="Q64" i="32"/>
  <c r="P64" i="32"/>
  <c r="O64" i="32"/>
  <c r="D64" i="32"/>
  <c r="C64" i="32"/>
  <c r="A64" i="32"/>
  <c r="V63" i="32"/>
  <c r="U63" i="32"/>
  <c r="T63" i="32"/>
  <c r="S63" i="32"/>
  <c r="R63" i="32"/>
  <c r="Q63" i="32"/>
  <c r="P63" i="32"/>
  <c r="O63" i="32"/>
  <c r="A63" i="32"/>
  <c r="V62" i="32"/>
  <c r="U62" i="32"/>
  <c r="T62" i="32"/>
  <c r="S62" i="32"/>
  <c r="R62" i="32"/>
  <c r="Q62" i="32"/>
  <c r="P62" i="32"/>
  <c r="O62" i="32"/>
  <c r="A62" i="32"/>
  <c r="V61" i="32"/>
  <c r="U61" i="32"/>
  <c r="T61" i="32"/>
  <c r="S61" i="32"/>
  <c r="R61" i="32"/>
  <c r="Q61" i="32"/>
  <c r="P61" i="32"/>
  <c r="O61" i="32"/>
  <c r="A61" i="32"/>
  <c r="V60" i="32"/>
  <c r="U60" i="32"/>
  <c r="T60" i="32"/>
  <c r="S60" i="32"/>
  <c r="R60" i="32"/>
  <c r="Q60" i="32"/>
  <c r="P60" i="32"/>
  <c r="O60" i="32"/>
  <c r="A60" i="32"/>
  <c r="V59" i="32"/>
  <c r="U59" i="32"/>
  <c r="T59" i="32"/>
  <c r="S59" i="32"/>
  <c r="R59" i="32"/>
  <c r="Q59" i="32"/>
  <c r="P59" i="32"/>
  <c r="O59" i="32"/>
  <c r="A59" i="32"/>
  <c r="V58" i="32"/>
  <c r="U58" i="32"/>
  <c r="T58" i="32"/>
  <c r="S58" i="32"/>
  <c r="R58" i="32"/>
  <c r="Q58" i="32"/>
  <c r="P58" i="32"/>
  <c r="O58" i="32"/>
  <c r="D58" i="32"/>
  <c r="C58" i="32"/>
  <c r="A58" i="32"/>
  <c r="V57" i="32"/>
  <c r="U57" i="32"/>
  <c r="T57" i="32"/>
  <c r="S57" i="32"/>
  <c r="R57" i="32"/>
  <c r="Q57" i="32"/>
  <c r="P57" i="32"/>
  <c r="O57" i="32"/>
  <c r="C57" i="32"/>
  <c r="D57" i="32" s="1"/>
  <c r="A57" i="32"/>
  <c r="V56" i="32"/>
  <c r="U56" i="32"/>
  <c r="T56" i="32"/>
  <c r="S56" i="32"/>
  <c r="R56" i="32"/>
  <c r="Q56" i="32"/>
  <c r="P56" i="32"/>
  <c r="O56" i="32"/>
  <c r="A56" i="32"/>
  <c r="V55" i="32"/>
  <c r="U55" i="32"/>
  <c r="T55" i="32"/>
  <c r="S55" i="32"/>
  <c r="R55" i="32"/>
  <c r="Q55" i="32"/>
  <c r="P55" i="32"/>
  <c r="O55" i="32"/>
  <c r="A55" i="32"/>
  <c r="V54" i="32"/>
  <c r="U54" i="32"/>
  <c r="T54" i="32"/>
  <c r="S54" i="32"/>
  <c r="R54" i="32"/>
  <c r="Q54" i="32"/>
  <c r="P54" i="32"/>
  <c r="O54" i="32"/>
  <c r="A54" i="32"/>
  <c r="V53" i="32"/>
  <c r="U53" i="32"/>
  <c r="T53" i="32"/>
  <c r="S53" i="32"/>
  <c r="R53" i="32"/>
  <c r="Q53" i="32"/>
  <c r="P53" i="32"/>
  <c r="O53" i="32"/>
  <c r="L53" i="32"/>
  <c r="K53" i="32"/>
  <c r="J53" i="32"/>
  <c r="I53" i="32"/>
  <c r="H53" i="32"/>
  <c r="G53" i="32"/>
  <c r="F53" i="32"/>
  <c r="E53" i="32"/>
  <c r="D53" i="32"/>
  <c r="C53" i="32"/>
  <c r="A53" i="32"/>
  <c r="V52" i="32"/>
  <c r="U52" i="32"/>
  <c r="T52" i="32"/>
  <c r="S52" i="32"/>
  <c r="R52" i="32"/>
  <c r="Q52" i="32"/>
  <c r="P52" i="32"/>
  <c r="O52" i="32"/>
  <c r="L52" i="32"/>
  <c r="K52" i="32"/>
  <c r="J52" i="32"/>
  <c r="I52" i="32"/>
  <c r="H52" i="32"/>
  <c r="G52" i="32"/>
  <c r="F52" i="32"/>
  <c r="E52" i="32"/>
  <c r="D52" i="32"/>
  <c r="C52" i="32"/>
  <c r="A52" i="32"/>
  <c r="V51" i="32"/>
  <c r="U51" i="32"/>
  <c r="T51" i="32"/>
  <c r="S51" i="32"/>
  <c r="R51" i="32"/>
  <c r="Q51" i="32"/>
  <c r="P51" i="32"/>
  <c r="O51" i="32"/>
  <c r="A51" i="32"/>
  <c r="V50" i="32"/>
  <c r="U50" i="32"/>
  <c r="T50" i="32"/>
  <c r="S50" i="32"/>
  <c r="R50" i="32"/>
  <c r="Q50" i="32"/>
  <c r="P50" i="32"/>
  <c r="O50" i="32"/>
  <c r="A50" i="32"/>
  <c r="V49" i="32"/>
  <c r="U49" i="32"/>
  <c r="T49" i="32"/>
  <c r="S49" i="32"/>
  <c r="R49" i="32"/>
  <c r="Q49" i="32"/>
  <c r="P49" i="32"/>
  <c r="O49" i="32"/>
  <c r="A49" i="32"/>
  <c r="V48" i="32"/>
  <c r="U48" i="32"/>
  <c r="T48" i="32"/>
  <c r="S48" i="32"/>
  <c r="R48" i="32"/>
  <c r="Q48" i="32"/>
  <c r="P48" i="32"/>
  <c r="O48" i="32"/>
  <c r="A48" i="32"/>
  <c r="V47" i="32"/>
  <c r="U47" i="32"/>
  <c r="T47" i="32"/>
  <c r="S47" i="32"/>
  <c r="R47" i="32"/>
  <c r="Q47" i="32"/>
  <c r="P47" i="32"/>
  <c r="O47" i="32"/>
  <c r="A47" i="32"/>
  <c r="V46" i="32"/>
  <c r="U46" i="32"/>
  <c r="T46" i="32"/>
  <c r="S46" i="32"/>
  <c r="R46" i="32"/>
  <c r="Q46" i="32"/>
  <c r="P46" i="32"/>
  <c r="O46" i="32"/>
  <c r="A46" i="32"/>
  <c r="V45" i="32"/>
  <c r="U45" i="32"/>
  <c r="T45" i="32"/>
  <c r="S45" i="32"/>
  <c r="R45" i="32"/>
  <c r="Q45" i="32"/>
  <c r="P45" i="32"/>
  <c r="O45" i="32"/>
  <c r="A45" i="32"/>
  <c r="V44" i="32"/>
  <c r="U44" i="32"/>
  <c r="T44" i="32"/>
  <c r="S44" i="32"/>
  <c r="R44" i="32"/>
  <c r="Q44" i="32"/>
  <c r="P44" i="32"/>
  <c r="O44" i="32"/>
  <c r="A44" i="32"/>
  <c r="V43" i="32"/>
  <c r="U43" i="32"/>
  <c r="T43" i="32"/>
  <c r="S43" i="32"/>
  <c r="R43" i="32"/>
  <c r="Q43" i="32"/>
  <c r="P43" i="32"/>
  <c r="O43" i="32"/>
  <c r="L43" i="32"/>
  <c r="K43" i="32"/>
  <c r="J43" i="32"/>
  <c r="I43" i="32"/>
  <c r="H43" i="32"/>
  <c r="G43" i="32"/>
  <c r="F43" i="32"/>
  <c r="E43" i="32"/>
  <c r="D43" i="32"/>
  <c r="C43" i="32"/>
  <c r="A43" i="32"/>
  <c r="V42" i="32"/>
  <c r="U42" i="32"/>
  <c r="T42" i="32"/>
  <c r="S42" i="32"/>
  <c r="R42" i="32"/>
  <c r="Q42" i="32"/>
  <c r="P42" i="32"/>
  <c r="O42" i="32"/>
  <c r="L42" i="32"/>
  <c r="K42" i="32"/>
  <c r="J42" i="32"/>
  <c r="I42" i="32"/>
  <c r="H42" i="32"/>
  <c r="G42" i="32"/>
  <c r="F42" i="32"/>
  <c r="E42" i="32"/>
  <c r="D42" i="32"/>
  <c r="C42" i="32"/>
  <c r="A42" i="32"/>
  <c r="V41" i="32"/>
  <c r="U41" i="32"/>
  <c r="T41" i="32"/>
  <c r="S41" i="32"/>
  <c r="R41" i="32"/>
  <c r="Q41" i="32"/>
  <c r="P41" i="32"/>
  <c r="O41" i="32"/>
  <c r="L41" i="32"/>
  <c r="K41" i="32"/>
  <c r="J41" i="32"/>
  <c r="I41" i="32"/>
  <c r="H41" i="32"/>
  <c r="G41" i="32"/>
  <c r="F41" i="32"/>
  <c r="E41" i="32"/>
  <c r="D41" i="32"/>
  <c r="C41" i="32"/>
  <c r="A41" i="32"/>
  <c r="V40" i="32"/>
  <c r="U40" i="32"/>
  <c r="T40" i="32"/>
  <c r="S40" i="32"/>
  <c r="R40" i="32"/>
  <c r="Q40" i="32"/>
  <c r="P40" i="32"/>
  <c r="O40" i="32"/>
  <c r="A40" i="32"/>
  <c r="V39" i="32"/>
  <c r="U39" i="32"/>
  <c r="T39" i="32"/>
  <c r="S39" i="32"/>
  <c r="R39" i="32"/>
  <c r="Q39" i="32"/>
  <c r="P39" i="32"/>
  <c r="O39" i="32"/>
  <c r="L39" i="32"/>
  <c r="K39" i="32"/>
  <c r="J39" i="32"/>
  <c r="I39" i="32"/>
  <c r="H39" i="32"/>
  <c r="G39" i="32"/>
  <c r="F39" i="32"/>
  <c r="E39" i="32"/>
  <c r="D39" i="32"/>
  <c r="C39" i="32"/>
  <c r="A39" i="32"/>
  <c r="V38" i="32"/>
  <c r="U38" i="32"/>
  <c r="T38" i="32"/>
  <c r="S38" i="32"/>
  <c r="R38" i="32"/>
  <c r="Q38" i="32"/>
  <c r="P38" i="32"/>
  <c r="O38" i="32"/>
  <c r="A38" i="32"/>
  <c r="V37" i="32"/>
  <c r="U37" i="32"/>
  <c r="T37" i="32"/>
  <c r="S37" i="32"/>
  <c r="R37" i="32"/>
  <c r="Q37" i="32"/>
  <c r="P37" i="32"/>
  <c r="O37" i="32"/>
  <c r="L37" i="32"/>
  <c r="K37" i="32"/>
  <c r="J37" i="32"/>
  <c r="I37" i="32"/>
  <c r="H37" i="32"/>
  <c r="G37" i="32"/>
  <c r="F37" i="32"/>
  <c r="E37" i="32"/>
  <c r="D37" i="32"/>
  <c r="C37" i="32"/>
  <c r="A37" i="32"/>
  <c r="V36" i="32"/>
  <c r="U36" i="32"/>
  <c r="T36" i="32"/>
  <c r="S36" i="32"/>
  <c r="R36" i="32"/>
  <c r="Q36" i="32"/>
  <c r="P36" i="32"/>
  <c r="O36" i="32"/>
  <c r="D36" i="32"/>
  <c r="C36" i="32"/>
  <c r="A36" i="32"/>
  <c r="V35" i="32"/>
  <c r="U35" i="32"/>
  <c r="T35" i="32"/>
  <c r="S35" i="32"/>
  <c r="R35" i="32"/>
  <c r="Q35" i="32"/>
  <c r="P35" i="32"/>
  <c r="O35" i="32"/>
  <c r="A35" i="32"/>
  <c r="V34" i="32"/>
  <c r="U34" i="32"/>
  <c r="T34" i="32"/>
  <c r="S34" i="32"/>
  <c r="R34" i="32"/>
  <c r="Q34" i="32"/>
  <c r="P34" i="32"/>
  <c r="O34" i="32"/>
  <c r="L34" i="32"/>
  <c r="K34" i="32"/>
  <c r="J34" i="32"/>
  <c r="I34" i="32"/>
  <c r="H34" i="32"/>
  <c r="G34" i="32"/>
  <c r="F34" i="32"/>
  <c r="E34" i="32"/>
  <c r="D34" i="32"/>
  <c r="C34" i="32"/>
  <c r="A34" i="32"/>
  <c r="V33" i="32"/>
  <c r="U33" i="32"/>
  <c r="T33" i="32"/>
  <c r="S33" i="32"/>
  <c r="R33" i="32"/>
  <c r="Q33" i="32"/>
  <c r="P33" i="32"/>
  <c r="O33" i="32"/>
  <c r="L33" i="32"/>
  <c r="K33" i="32"/>
  <c r="J33" i="32"/>
  <c r="I33" i="32"/>
  <c r="H33" i="32"/>
  <c r="G33" i="32"/>
  <c r="F33" i="32"/>
  <c r="E33" i="32"/>
  <c r="T32" i="32"/>
  <c r="S32" i="32"/>
  <c r="V31" i="32"/>
  <c r="U31" i="32"/>
  <c r="T31" i="32"/>
  <c r="S31" i="32"/>
  <c r="R31" i="32"/>
  <c r="Q31" i="32"/>
  <c r="P31" i="32"/>
  <c r="O31" i="32"/>
  <c r="N31" i="32"/>
  <c r="M31" i="32"/>
  <c r="J20" i="32"/>
  <c r="I20" i="32"/>
  <c r="H20" i="32"/>
  <c r="G20" i="32"/>
  <c r="J19" i="32"/>
  <c r="I19" i="32"/>
  <c r="H19" i="32"/>
  <c r="G19" i="32"/>
  <c r="J18" i="32"/>
  <c r="I18" i="32"/>
  <c r="H18" i="32"/>
  <c r="G18" i="32"/>
  <c r="J17" i="32"/>
  <c r="I17" i="32"/>
  <c r="H17" i="32"/>
  <c r="G17" i="32"/>
  <c r="J16" i="32"/>
  <c r="I16" i="32"/>
  <c r="H16" i="32"/>
  <c r="G16" i="32"/>
  <c r="J15" i="32"/>
  <c r="I15" i="32"/>
  <c r="H15" i="32"/>
  <c r="G15" i="32"/>
  <c r="J14" i="32"/>
  <c r="I14" i="32"/>
  <c r="H14" i="32"/>
  <c r="G14" i="32"/>
  <c r="J13" i="32"/>
  <c r="I13" i="32"/>
  <c r="H13" i="32"/>
  <c r="G13" i="32"/>
  <c r="J12" i="32"/>
  <c r="H12" i="32"/>
  <c r="G12" i="32"/>
  <c r="J11" i="32"/>
  <c r="H11" i="32"/>
  <c r="G11" i="32"/>
  <c r="B7" i="32"/>
  <c r="I12" i="32" s="1"/>
  <c r="D33" i="32" s="1"/>
  <c r="G123" i="34"/>
  <c r="F123" i="34"/>
  <c r="E123" i="34"/>
  <c r="D123" i="34"/>
  <c r="C123" i="34"/>
  <c r="H122" i="34"/>
  <c r="G122" i="34"/>
  <c r="E122" i="34"/>
  <c r="D122" i="34"/>
  <c r="C122" i="34"/>
  <c r="H121" i="34"/>
  <c r="G121" i="34"/>
  <c r="E121" i="34"/>
  <c r="D121" i="34"/>
  <c r="C121" i="34"/>
  <c r="H120" i="34"/>
  <c r="G120" i="34"/>
  <c r="E120" i="34"/>
  <c r="D120" i="34"/>
  <c r="C120" i="34"/>
  <c r="V103" i="34"/>
  <c r="U103" i="34"/>
  <c r="T103" i="34"/>
  <c r="S103" i="34"/>
  <c r="R103" i="34"/>
  <c r="Q103" i="34"/>
  <c r="P103" i="34"/>
  <c r="O103" i="34"/>
  <c r="N103" i="34"/>
  <c r="A103" i="34"/>
  <c r="V102" i="34"/>
  <c r="U102" i="34"/>
  <c r="T102" i="34"/>
  <c r="S102" i="34"/>
  <c r="R102" i="34"/>
  <c r="Q102" i="34"/>
  <c r="P102" i="34"/>
  <c r="O102" i="34"/>
  <c r="N102" i="34"/>
  <c r="A102" i="34"/>
  <c r="V101" i="34"/>
  <c r="U101" i="34"/>
  <c r="T101" i="34"/>
  <c r="S101" i="34"/>
  <c r="R101" i="34"/>
  <c r="Q101" i="34"/>
  <c r="P101" i="34"/>
  <c r="O101" i="34"/>
  <c r="N101" i="34"/>
  <c r="A101" i="34"/>
  <c r="V100" i="34"/>
  <c r="U100" i="34"/>
  <c r="T100" i="34"/>
  <c r="S100" i="34"/>
  <c r="R100" i="34"/>
  <c r="Q100" i="34"/>
  <c r="P100" i="34"/>
  <c r="O100" i="34"/>
  <c r="N100" i="34"/>
  <c r="A100" i="34"/>
  <c r="V99" i="34"/>
  <c r="U99" i="34"/>
  <c r="T99" i="34"/>
  <c r="S99" i="34"/>
  <c r="R99" i="34"/>
  <c r="Q99" i="34"/>
  <c r="P99" i="34"/>
  <c r="O99" i="34"/>
  <c r="N99" i="34"/>
  <c r="A99" i="34"/>
  <c r="V98" i="34"/>
  <c r="U98" i="34"/>
  <c r="T98" i="34"/>
  <c r="S98" i="34"/>
  <c r="R98" i="34"/>
  <c r="Q98" i="34"/>
  <c r="P98" i="34"/>
  <c r="O98" i="34"/>
  <c r="N98" i="34"/>
  <c r="A98" i="34"/>
  <c r="V97" i="34"/>
  <c r="U97" i="34"/>
  <c r="T97" i="34"/>
  <c r="S97" i="34"/>
  <c r="R97" i="34"/>
  <c r="Q97" i="34"/>
  <c r="P97" i="34"/>
  <c r="O97" i="34"/>
  <c r="N97" i="34"/>
  <c r="A97" i="34"/>
  <c r="V96" i="34"/>
  <c r="U96" i="34"/>
  <c r="T96" i="34"/>
  <c r="S96" i="34"/>
  <c r="R96" i="34"/>
  <c r="Q96" i="34"/>
  <c r="P96" i="34"/>
  <c r="O96" i="34"/>
  <c r="N96" i="34"/>
  <c r="A96" i="34"/>
  <c r="V95" i="34"/>
  <c r="U95" i="34"/>
  <c r="T95" i="34"/>
  <c r="S95" i="34"/>
  <c r="R95" i="34"/>
  <c r="Q95" i="34"/>
  <c r="P95" i="34"/>
  <c r="O95" i="34"/>
  <c r="N95" i="34"/>
  <c r="A95" i="34"/>
  <c r="V94" i="34"/>
  <c r="U94" i="34"/>
  <c r="T94" i="34"/>
  <c r="S94" i="34"/>
  <c r="R94" i="34"/>
  <c r="Q94" i="34"/>
  <c r="P94" i="34"/>
  <c r="O94" i="34"/>
  <c r="N94" i="34"/>
  <c r="A94" i="34"/>
  <c r="V93" i="34"/>
  <c r="U93" i="34"/>
  <c r="T93" i="34"/>
  <c r="S93" i="34"/>
  <c r="R93" i="34"/>
  <c r="Q93" i="34"/>
  <c r="P93" i="34"/>
  <c r="O93" i="34"/>
  <c r="N93" i="34"/>
  <c r="A93" i="34"/>
  <c r="V92" i="34"/>
  <c r="U92" i="34"/>
  <c r="T92" i="34"/>
  <c r="S92" i="34"/>
  <c r="R92" i="34"/>
  <c r="Q92" i="34"/>
  <c r="P92" i="34"/>
  <c r="O92" i="34"/>
  <c r="N92" i="34"/>
  <c r="A92" i="34"/>
  <c r="V91" i="34"/>
  <c r="U91" i="34"/>
  <c r="T91" i="34"/>
  <c r="S91" i="34"/>
  <c r="R91" i="34"/>
  <c r="Q91" i="34"/>
  <c r="P91" i="34"/>
  <c r="O91" i="34"/>
  <c r="N91" i="34"/>
  <c r="A91" i="34"/>
  <c r="V90" i="34"/>
  <c r="U90" i="34"/>
  <c r="T90" i="34"/>
  <c r="S90" i="34"/>
  <c r="R90" i="34"/>
  <c r="Q90" i="34"/>
  <c r="P90" i="34"/>
  <c r="O90" i="34"/>
  <c r="N90" i="34"/>
  <c r="A90" i="34"/>
  <c r="V89" i="34"/>
  <c r="U89" i="34"/>
  <c r="T89" i="34"/>
  <c r="S89" i="34"/>
  <c r="R89" i="34"/>
  <c r="Q89" i="34"/>
  <c r="P89" i="34"/>
  <c r="O89" i="34"/>
  <c r="N89" i="34"/>
  <c r="A89" i="34"/>
  <c r="V88" i="34"/>
  <c r="U88" i="34"/>
  <c r="T88" i="34"/>
  <c r="S88" i="34"/>
  <c r="R88" i="34"/>
  <c r="Q88" i="34"/>
  <c r="P88" i="34"/>
  <c r="O88" i="34"/>
  <c r="N88" i="34"/>
  <c r="A88" i="34"/>
  <c r="V87" i="34"/>
  <c r="U87" i="34"/>
  <c r="T87" i="34"/>
  <c r="S87" i="34"/>
  <c r="R87" i="34"/>
  <c r="Q87" i="34"/>
  <c r="P87" i="34"/>
  <c r="O87" i="34"/>
  <c r="N87" i="34"/>
  <c r="A87" i="34"/>
  <c r="V86" i="34"/>
  <c r="U86" i="34"/>
  <c r="T86" i="34"/>
  <c r="S86" i="34"/>
  <c r="R86" i="34"/>
  <c r="Q86" i="34"/>
  <c r="P86" i="34"/>
  <c r="O86" i="34"/>
  <c r="N86" i="34"/>
  <c r="A86" i="34"/>
  <c r="V85" i="34"/>
  <c r="U85" i="34"/>
  <c r="T85" i="34"/>
  <c r="S85" i="34"/>
  <c r="R85" i="34"/>
  <c r="Q85" i="34"/>
  <c r="P85" i="34"/>
  <c r="O85" i="34"/>
  <c r="N85" i="34"/>
  <c r="A85" i="34"/>
  <c r="V84" i="34"/>
  <c r="U84" i="34"/>
  <c r="T84" i="34"/>
  <c r="S84" i="34"/>
  <c r="R84" i="34"/>
  <c r="Q84" i="34"/>
  <c r="P84" i="34"/>
  <c r="O84" i="34"/>
  <c r="N84" i="34"/>
  <c r="A84" i="34"/>
  <c r="V83" i="34"/>
  <c r="U83" i="34"/>
  <c r="T83" i="34"/>
  <c r="S83" i="34"/>
  <c r="R83" i="34"/>
  <c r="Q83" i="34"/>
  <c r="P83" i="34"/>
  <c r="O83" i="34"/>
  <c r="N83" i="34"/>
  <c r="A83" i="34"/>
  <c r="V82" i="34"/>
  <c r="U82" i="34"/>
  <c r="T82" i="34"/>
  <c r="S82" i="34"/>
  <c r="R82" i="34"/>
  <c r="Q82" i="34"/>
  <c r="P82" i="34"/>
  <c r="O82" i="34"/>
  <c r="N82" i="34"/>
  <c r="L82" i="34"/>
  <c r="K82" i="34"/>
  <c r="J82" i="34"/>
  <c r="I82" i="34"/>
  <c r="H82" i="34"/>
  <c r="G82" i="34"/>
  <c r="F82" i="34"/>
  <c r="E82" i="34"/>
  <c r="D82" i="34"/>
  <c r="C82" i="34"/>
  <c r="A82" i="34"/>
  <c r="V81" i="34"/>
  <c r="U81" i="34"/>
  <c r="T81" i="34"/>
  <c r="S81" i="34"/>
  <c r="R81" i="34"/>
  <c r="Q81" i="34"/>
  <c r="P81" i="34"/>
  <c r="O81" i="34"/>
  <c r="N81" i="34"/>
  <c r="A81" i="34"/>
  <c r="V80" i="34"/>
  <c r="U80" i="34"/>
  <c r="T80" i="34"/>
  <c r="S80" i="34"/>
  <c r="R80" i="34"/>
  <c r="Q80" i="34"/>
  <c r="P80" i="34"/>
  <c r="O80" i="34"/>
  <c r="N80" i="34"/>
  <c r="A80" i="34"/>
  <c r="V79" i="34"/>
  <c r="U79" i="34"/>
  <c r="T79" i="34"/>
  <c r="S79" i="34"/>
  <c r="R79" i="34"/>
  <c r="Q79" i="34"/>
  <c r="P79" i="34"/>
  <c r="O79" i="34"/>
  <c r="N79" i="34"/>
  <c r="A79" i="34"/>
  <c r="V78" i="34"/>
  <c r="U78" i="34"/>
  <c r="T78" i="34"/>
  <c r="S78" i="34"/>
  <c r="R78" i="34"/>
  <c r="Q78" i="34"/>
  <c r="P78" i="34"/>
  <c r="O78" i="34"/>
  <c r="N78" i="34"/>
  <c r="A78" i="34"/>
  <c r="V77" i="34"/>
  <c r="U77" i="34"/>
  <c r="T77" i="34"/>
  <c r="S77" i="34"/>
  <c r="R77" i="34"/>
  <c r="Q77" i="34"/>
  <c r="P77" i="34"/>
  <c r="O77" i="34"/>
  <c r="N77" i="34"/>
  <c r="A77" i="34"/>
  <c r="V76" i="34"/>
  <c r="U76" i="34"/>
  <c r="T76" i="34"/>
  <c r="S76" i="34"/>
  <c r="R76" i="34"/>
  <c r="Q76" i="34"/>
  <c r="P76" i="34"/>
  <c r="O76" i="34"/>
  <c r="N76" i="34"/>
  <c r="A76" i="34"/>
  <c r="V75" i="34"/>
  <c r="U75" i="34"/>
  <c r="T75" i="34"/>
  <c r="S75" i="34"/>
  <c r="R75" i="34"/>
  <c r="Q75" i="34"/>
  <c r="P75" i="34"/>
  <c r="O75" i="34"/>
  <c r="N75" i="34"/>
  <c r="A75" i="34"/>
  <c r="V74" i="34"/>
  <c r="U74" i="34"/>
  <c r="T74" i="34"/>
  <c r="S74" i="34"/>
  <c r="R74" i="34"/>
  <c r="Q74" i="34"/>
  <c r="P74" i="34"/>
  <c r="O74" i="34"/>
  <c r="N74" i="34"/>
  <c r="A74" i="34"/>
  <c r="V73" i="34"/>
  <c r="U73" i="34"/>
  <c r="T73" i="34"/>
  <c r="S73" i="34"/>
  <c r="R73" i="34"/>
  <c r="Q73" i="34"/>
  <c r="P73" i="34"/>
  <c r="O73" i="34"/>
  <c r="N73" i="34"/>
  <c r="A73" i="34"/>
  <c r="V72" i="34"/>
  <c r="U72" i="34"/>
  <c r="T72" i="34"/>
  <c r="S72" i="34"/>
  <c r="R72" i="34"/>
  <c r="Q72" i="34"/>
  <c r="P72" i="34"/>
  <c r="O72" i="34"/>
  <c r="N72" i="34"/>
  <c r="A72" i="34"/>
  <c r="V71" i="34"/>
  <c r="U71" i="34"/>
  <c r="T71" i="34"/>
  <c r="S71" i="34"/>
  <c r="R71" i="34"/>
  <c r="Q71" i="34"/>
  <c r="P71" i="34"/>
  <c r="O71" i="34"/>
  <c r="N71" i="34"/>
  <c r="L71" i="34"/>
  <c r="K71" i="34"/>
  <c r="J71" i="34"/>
  <c r="I71" i="34"/>
  <c r="H71" i="34"/>
  <c r="G71" i="34"/>
  <c r="F71" i="34"/>
  <c r="E71" i="34"/>
  <c r="D71" i="34"/>
  <c r="C71" i="34"/>
  <c r="A71" i="34"/>
  <c r="V70" i="34"/>
  <c r="U70" i="34"/>
  <c r="T70" i="34"/>
  <c r="S70" i="34"/>
  <c r="R70" i="34"/>
  <c r="Q70" i="34"/>
  <c r="P70" i="34"/>
  <c r="O70" i="34"/>
  <c r="N70" i="34"/>
  <c r="A70" i="34"/>
  <c r="V69" i="34"/>
  <c r="U69" i="34"/>
  <c r="T69" i="34"/>
  <c r="S69" i="34"/>
  <c r="R69" i="34"/>
  <c r="Q69" i="34"/>
  <c r="P69" i="34"/>
  <c r="L69" i="34"/>
  <c r="K69" i="34"/>
  <c r="J69" i="34"/>
  <c r="I69" i="34"/>
  <c r="H69" i="34"/>
  <c r="C69" i="34"/>
  <c r="A69" i="34"/>
  <c r="V68" i="34"/>
  <c r="U68" i="34"/>
  <c r="T68" i="34"/>
  <c r="S68" i="34"/>
  <c r="R68" i="34"/>
  <c r="Q68" i="34"/>
  <c r="P68" i="34"/>
  <c r="O68" i="34"/>
  <c r="N68" i="34"/>
  <c r="C68" i="34"/>
  <c r="A68" i="34"/>
  <c r="V67" i="34"/>
  <c r="U67" i="34"/>
  <c r="T67" i="34"/>
  <c r="S67" i="34"/>
  <c r="R67" i="34"/>
  <c r="Q67" i="34"/>
  <c r="P67" i="34"/>
  <c r="O67" i="34"/>
  <c r="N67" i="34"/>
  <c r="A67" i="34"/>
  <c r="V66" i="34"/>
  <c r="U66" i="34"/>
  <c r="T66" i="34"/>
  <c r="S66" i="34"/>
  <c r="R66" i="34"/>
  <c r="Q66" i="34"/>
  <c r="P66" i="34"/>
  <c r="O66" i="34"/>
  <c r="N66" i="34"/>
  <c r="A66" i="34"/>
  <c r="V65" i="34"/>
  <c r="U65" i="34"/>
  <c r="T65" i="34"/>
  <c r="S65" i="34"/>
  <c r="R65" i="34"/>
  <c r="Q65" i="34"/>
  <c r="P65" i="34"/>
  <c r="C65" i="34"/>
  <c r="A65" i="34"/>
  <c r="V64" i="34"/>
  <c r="U64" i="34"/>
  <c r="T64" i="34"/>
  <c r="S64" i="34"/>
  <c r="R64" i="34"/>
  <c r="Q64" i="34"/>
  <c r="P64" i="34"/>
  <c r="O64" i="34"/>
  <c r="N64" i="34"/>
  <c r="C64" i="34"/>
  <c r="A64" i="34"/>
  <c r="V63" i="34"/>
  <c r="U63" i="34"/>
  <c r="T63" i="34"/>
  <c r="S63" i="34"/>
  <c r="R63" i="34"/>
  <c r="Q63" i="34"/>
  <c r="P63" i="34"/>
  <c r="O63" i="34"/>
  <c r="N63" i="34"/>
  <c r="A63" i="34"/>
  <c r="V62" i="34"/>
  <c r="U62" i="34"/>
  <c r="T62" i="34"/>
  <c r="S62" i="34"/>
  <c r="R62" i="34"/>
  <c r="Q62" i="34"/>
  <c r="P62" i="34"/>
  <c r="O62" i="34"/>
  <c r="N62" i="34"/>
  <c r="A62" i="34"/>
  <c r="V61" i="34"/>
  <c r="U61" i="34"/>
  <c r="T61" i="34"/>
  <c r="S61" i="34"/>
  <c r="R61" i="34"/>
  <c r="Q61" i="34"/>
  <c r="P61" i="34"/>
  <c r="O61" i="34"/>
  <c r="N61" i="34"/>
  <c r="A61" i="34"/>
  <c r="V60" i="34"/>
  <c r="U60" i="34"/>
  <c r="T60" i="34"/>
  <c r="S60" i="34"/>
  <c r="R60" i="34"/>
  <c r="Q60" i="34"/>
  <c r="P60" i="34"/>
  <c r="O60" i="34"/>
  <c r="N60" i="34"/>
  <c r="A60" i="34"/>
  <c r="V59" i="34"/>
  <c r="U59" i="34"/>
  <c r="T59" i="34"/>
  <c r="S59" i="34"/>
  <c r="R59" i="34"/>
  <c r="Q59" i="34"/>
  <c r="P59" i="34"/>
  <c r="O59" i="34"/>
  <c r="N59" i="34"/>
  <c r="A59" i="34"/>
  <c r="V58" i="34"/>
  <c r="U58" i="34"/>
  <c r="T58" i="34"/>
  <c r="S58" i="34"/>
  <c r="R58" i="34"/>
  <c r="Q58" i="34"/>
  <c r="P58" i="34"/>
  <c r="O58" i="34"/>
  <c r="N58" i="34"/>
  <c r="C58" i="34"/>
  <c r="A58" i="34"/>
  <c r="V57" i="34"/>
  <c r="U57" i="34"/>
  <c r="T57" i="34"/>
  <c r="S57" i="34"/>
  <c r="R57" i="34"/>
  <c r="Q57" i="34"/>
  <c r="P57" i="34"/>
  <c r="O57" i="34"/>
  <c r="N57" i="34"/>
  <c r="C57" i="34"/>
  <c r="A57" i="34"/>
  <c r="V56" i="34"/>
  <c r="U56" i="34"/>
  <c r="T56" i="34"/>
  <c r="S56" i="34"/>
  <c r="R56" i="34"/>
  <c r="Q56" i="34"/>
  <c r="P56" i="34"/>
  <c r="O56" i="34"/>
  <c r="N56" i="34"/>
  <c r="A56" i="34"/>
  <c r="V55" i="34"/>
  <c r="U55" i="34"/>
  <c r="T55" i="34"/>
  <c r="S55" i="34"/>
  <c r="R55" i="34"/>
  <c r="Q55" i="34"/>
  <c r="P55" i="34"/>
  <c r="O55" i="34"/>
  <c r="N55" i="34"/>
  <c r="A55" i="34"/>
  <c r="V54" i="34"/>
  <c r="U54" i="34"/>
  <c r="T54" i="34"/>
  <c r="S54" i="34"/>
  <c r="R54" i="34"/>
  <c r="Q54" i="34"/>
  <c r="P54" i="34"/>
  <c r="O54" i="34"/>
  <c r="N54" i="34"/>
  <c r="A54" i="34"/>
  <c r="V53" i="34"/>
  <c r="U53" i="34"/>
  <c r="T53" i="34"/>
  <c r="S53" i="34"/>
  <c r="R53" i="34"/>
  <c r="Q53" i="34"/>
  <c r="P53" i="34"/>
  <c r="O53" i="34"/>
  <c r="N53" i="34"/>
  <c r="L53" i="34"/>
  <c r="K53" i="34"/>
  <c r="J53" i="34"/>
  <c r="I53" i="34"/>
  <c r="H53" i="34"/>
  <c r="G53" i="34"/>
  <c r="F53" i="34"/>
  <c r="E53" i="34"/>
  <c r="D53" i="34"/>
  <c r="C53" i="34"/>
  <c r="A53" i="34"/>
  <c r="V52" i="34"/>
  <c r="U52" i="34"/>
  <c r="T52" i="34"/>
  <c r="S52" i="34"/>
  <c r="R52" i="34"/>
  <c r="Q52" i="34"/>
  <c r="P52" i="34"/>
  <c r="O52" i="34"/>
  <c r="N52" i="34"/>
  <c r="L52" i="34"/>
  <c r="K52" i="34"/>
  <c r="J52" i="34"/>
  <c r="I52" i="34"/>
  <c r="H52" i="34"/>
  <c r="G52" i="34"/>
  <c r="F52" i="34"/>
  <c r="E52" i="34"/>
  <c r="D52" i="34"/>
  <c r="C52" i="34"/>
  <c r="A52" i="34"/>
  <c r="V51" i="34"/>
  <c r="U51" i="34"/>
  <c r="T51" i="34"/>
  <c r="S51" i="34"/>
  <c r="R51" i="34"/>
  <c r="Q51" i="34"/>
  <c r="P51" i="34"/>
  <c r="O51" i="34"/>
  <c r="N51" i="34"/>
  <c r="A51" i="34"/>
  <c r="V50" i="34"/>
  <c r="U50" i="34"/>
  <c r="T50" i="34"/>
  <c r="S50" i="34"/>
  <c r="R50" i="34"/>
  <c r="Q50" i="34"/>
  <c r="P50" i="34"/>
  <c r="O50" i="34"/>
  <c r="N50" i="34"/>
  <c r="A50" i="34"/>
  <c r="V49" i="34"/>
  <c r="U49" i="34"/>
  <c r="T49" i="34"/>
  <c r="S49" i="34"/>
  <c r="R49" i="34"/>
  <c r="Q49" i="34"/>
  <c r="P49" i="34"/>
  <c r="O49" i="34"/>
  <c r="N49" i="34"/>
  <c r="A49" i="34"/>
  <c r="V48" i="34"/>
  <c r="U48" i="34"/>
  <c r="T48" i="34"/>
  <c r="S48" i="34"/>
  <c r="R48" i="34"/>
  <c r="Q48" i="34"/>
  <c r="P48" i="34"/>
  <c r="O48" i="34"/>
  <c r="N48" i="34"/>
  <c r="A48" i="34"/>
  <c r="V47" i="34"/>
  <c r="U47" i="34"/>
  <c r="T47" i="34"/>
  <c r="S47" i="34"/>
  <c r="R47" i="34"/>
  <c r="Q47" i="34"/>
  <c r="P47" i="34"/>
  <c r="O47" i="34"/>
  <c r="N47" i="34"/>
  <c r="A47" i="34"/>
  <c r="V46" i="34"/>
  <c r="U46" i="34"/>
  <c r="T46" i="34"/>
  <c r="S46" i="34"/>
  <c r="R46" i="34"/>
  <c r="Q46" i="34"/>
  <c r="P46" i="34"/>
  <c r="O46" i="34"/>
  <c r="N46" i="34"/>
  <c r="A46" i="34"/>
  <c r="V45" i="34"/>
  <c r="U45" i="34"/>
  <c r="T45" i="34"/>
  <c r="S45" i="34"/>
  <c r="R45" i="34"/>
  <c r="Q45" i="34"/>
  <c r="P45" i="34"/>
  <c r="O45" i="34"/>
  <c r="N45" i="34"/>
  <c r="A45" i="34"/>
  <c r="V44" i="34"/>
  <c r="U44" i="34"/>
  <c r="T44" i="34"/>
  <c r="S44" i="34"/>
  <c r="R44" i="34"/>
  <c r="Q44" i="34"/>
  <c r="P44" i="34"/>
  <c r="O44" i="34"/>
  <c r="N44" i="34"/>
  <c r="A44" i="34"/>
  <c r="V43" i="34"/>
  <c r="U43" i="34"/>
  <c r="T43" i="34"/>
  <c r="S43" i="34"/>
  <c r="R43" i="34"/>
  <c r="Q43" i="34"/>
  <c r="P43" i="34"/>
  <c r="O43" i="34"/>
  <c r="N43" i="34"/>
  <c r="L43" i="34"/>
  <c r="K43" i="34"/>
  <c r="J43" i="34"/>
  <c r="I43" i="34"/>
  <c r="H43" i="34"/>
  <c r="G43" i="34"/>
  <c r="F43" i="34"/>
  <c r="C43" i="34"/>
  <c r="A43" i="34"/>
  <c r="V42" i="34"/>
  <c r="U42" i="34"/>
  <c r="T42" i="34"/>
  <c r="S42" i="34"/>
  <c r="R42" i="34"/>
  <c r="Q42" i="34"/>
  <c r="P42" i="34"/>
  <c r="O42" i="34"/>
  <c r="N42" i="34"/>
  <c r="L42" i="34"/>
  <c r="K42" i="34"/>
  <c r="J42" i="34"/>
  <c r="I42" i="34"/>
  <c r="H42" i="34"/>
  <c r="G42" i="34"/>
  <c r="F42" i="34"/>
  <c r="C42" i="34"/>
  <c r="A42" i="34"/>
  <c r="V41" i="34"/>
  <c r="U41" i="34"/>
  <c r="T41" i="34"/>
  <c r="S41" i="34"/>
  <c r="R41" i="34"/>
  <c r="Q41" i="34"/>
  <c r="P41" i="34"/>
  <c r="O41" i="34"/>
  <c r="N41" i="34"/>
  <c r="L41" i="34"/>
  <c r="K41" i="34"/>
  <c r="J41" i="34"/>
  <c r="I41" i="34"/>
  <c r="H41" i="34"/>
  <c r="G41" i="34"/>
  <c r="F41" i="34"/>
  <c r="C41" i="34"/>
  <c r="A41" i="34"/>
  <c r="V40" i="34"/>
  <c r="U40" i="34"/>
  <c r="T40" i="34"/>
  <c r="S40" i="34"/>
  <c r="R40" i="34"/>
  <c r="Q40" i="34"/>
  <c r="P40" i="34"/>
  <c r="O40" i="34"/>
  <c r="N40" i="34"/>
  <c r="A40" i="34"/>
  <c r="V39" i="34"/>
  <c r="U39" i="34"/>
  <c r="T39" i="34"/>
  <c r="S39" i="34"/>
  <c r="R39" i="34"/>
  <c r="Q39" i="34"/>
  <c r="P39" i="34"/>
  <c r="O39" i="34"/>
  <c r="N39" i="34"/>
  <c r="L39" i="34"/>
  <c r="K39" i="34"/>
  <c r="J39" i="34"/>
  <c r="I39" i="34"/>
  <c r="H39" i="34"/>
  <c r="G39" i="34"/>
  <c r="F39" i="34"/>
  <c r="C39" i="34"/>
  <c r="A39" i="34"/>
  <c r="V38" i="34"/>
  <c r="U38" i="34"/>
  <c r="T38" i="34"/>
  <c r="S38" i="34"/>
  <c r="R38" i="34"/>
  <c r="Q38" i="34"/>
  <c r="P38" i="34"/>
  <c r="O38" i="34"/>
  <c r="N38" i="34"/>
  <c r="A38" i="34"/>
  <c r="V37" i="34"/>
  <c r="U37" i="34"/>
  <c r="T37" i="34"/>
  <c r="S37" i="34"/>
  <c r="R37" i="34"/>
  <c r="Q37" i="34"/>
  <c r="P37" i="34"/>
  <c r="O37" i="34"/>
  <c r="N37" i="34"/>
  <c r="L37" i="34"/>
  <c r="K37" i="34"/>
  <c r="J37" i="34"/>
  <c r="I37" i="34"/>
  <c r="H37" i="34"/>
  <c r="G37" i="34"/>
  <c r="F37" i="34"/>
  <c r="C37" i="34"/>
  <c r="A37" i="34"/>
  <c r="V36" i="34"/>
  <c r="U36" i="34"/>
  <c r="T36" i="34"/>
  <c r="S36" i="34"/>
  <c r="R36" i="34"/>
  <c r="Q36" i="34"/>
  <c r="P36" i="34"/>
  <c r="O36" i="34"/>
  <c r="N36" i="34"/>
  <c r="E36" i="34"/>
  <c r="D36" i="34"/>
  <c r="C36" i="34"/>
  <c r="A36" i="34"/>
  <c r="V35" i="34"/>
  <c r="U35" i="34"/>
  <c r="T35" i="34"/>
  <c r="S35" i="34"/>
  <c r="R35" i="34"/>
  <c r="Q35" i="34"/>
  <c r="P35" i="34"/>
  <c r="O35" i="34"/>
  <c r="N35" i="34"/>
  <c r="E35" i="34"/>
  <c r="D35" i="34"/>
  <c r="A35" i="34"/>
  <c r="V34" i="34"/>
  <c r="U34" i="34"/>
  <c r="T34" i="34"/>
  <c r="S34" i="34"/>
  <c r="R34" i="34"/>
  <c r="Q34" i="34"/>
  <c r="P34" i="34"/>
  <c r="O34" i="34"/>
  <c r="N34" i="34"/>
  <c r="L34" i="34"/>
  <c r="K34" i="34"/>
  <c r="J34" i="34"/>
  <c r="I34" i="34"/>
  <c r="H34" i="34"/>
  <c r="G34" i="34"/>
  <c r="F34" i="34"/>
  <c r="E34" i="34"/>
  <c r="D34" i="34"/>
  <c r="C34" i="34"/>
  <c r="A34" i="34"/>
  <c r="V33" i="34"/>
  <c r="U33" i="34"/>
  <c r="T33" i="34"/>
  <c r="S33" i="34"/>
  <c r="R33" i="34"/>
  <c r="Q33" i="34"/>
  <c r="P33" i="34"/>
  <c r="O33" i="34"/>
  <c r="N33" i="34"/>
  <c r="L33" i="34"/>
  <c r="K33" i="34"/>
  <c r="J33" i="34"/>
  <c r="I33" i="34"/>
  <c r="H33" i="34"/>
  <c r="G33" i="34"/>
  <c r="F33" i="34"/>
  <c r="E33" i="34"/>
  <c r="D33" i="34"/>
  <c r="T32" i="34"/>
  <c r="S32" i="34"/>
  <c r="V31" i="34"/>
  <c r="U31" i="34"/>
  <c r="T31" i="34"/>
  <c r="S31" i="34"/>
  <c r="R31" i="34"/>
  <c r="Q31" i="34"/>
  <c r="P31" i="34"/>
  <c r="O31" i="34"/>
  <c r="N31" i="34"/>
  <c r="M31" i="34"/>
  <c r="J20" i="34"/>
  <c r="I20" i="34"/>
  <c r="H20" i="34"/>
  <c r="G20" i="34"/>
  <c r="J19" i="34"/>
  <c r="I19" i="34"/>
  <c r="H19" i="34"/>
  <c r="G19" i="34"/>
  <c r="J18" i="34"/>
  <c r="I18" i="34"/>
  <c r="H18" i="34"/>
  <c r="G18" i="34"/>
  <c r="J17" i="34"/>
  <c r="I17" i="34"/>
  <c r="H17" i="34"/>
  <c r="G17" i="34"/>
  <c r="J16" i="34"/>
  <c r="I16" i="34"/>
  <c r="H16" i="34"/>
  <c r="G16" i="34"/>
  <c r="J15" i="34"/>
  <c r="I15" i="34"/>
  <c r="H15" i="34"/>
  <c r="G15" i="34"/>
  <c r="J14" i="34"/>
  <c r="I14" i="34"/>
  <c r="H14" i="34"/>
  <c r="G14" i="34"/>
  <c r="J13" i="34"/>
  <c r="I13" i="34"/>
  <c r="H13" i="34"/>
  <c r="G13" i="34"/>
  <c r="J12" i="34"/>
  <c r="I12" i="34"/>
  <c r="H12" i="34"/>
  <c r="G12" i="34"/>
  <c r="J11" i="34"/>
  <c r="H11" i="34"/>
  <c r="G11" i="34"/>
  <c r="B7" i="34"/>
  <c r="I11" i="34" s="1"/>
  <c r="C33" i="34" s="1"/>
  <c r="M33" i="34" s="1"/>
  <c r="M94" i="34" s="1"/>
  <c r="H125" i="35"/>
  <c r="G125" i="35"/>
  <c r="F125" i="35"/>
  <c r="E125" i="35"/>
  <c r="D125" i="35"/>
  <c r="I124" i="35"/>
  <c r="H124" i="35"/>
  <c r="F124" i="35"/>
  <c r="E124" i="35"/>
  <c r="D124" i="35"/>
  <c r="I123" i="35"/>
  <c r="H123" i="35"/>
  <c r="F123" i="35"/>
  <c r="E123" i="35"/>
  <c r="D123" i="35"/>
  <c r="I122" i="35"/>
  <c r="H122" i="35"/>
  <c r="F122" i="35"/>
  <c r="E122" i="35"/>
  <c r="D122" i="35"/>
  <c r="V103" i="35"/>
  <c r="U103" i="35"/>
  <c r="T103" i="35"/>
  <c r="S103" i="35"/>
  <c r="R103" i="35"/>
  <c r="Q103" i="35"/>
  <c r="P103" i="35"/>
  <c r="O103" i="35"/>
  <c r="N103" i="35"/>
  <c r="A103" i="35"/>
  <c r="V102" i="35"/>
  <c r="U102" i="35"/>
  <c r="T102" i="35"/>
  <c r="S102" i="35"/>
  <c r="R102" i="35"/>
  <c r="Q102" i="35"/>
  <c r="P102" i="35"/>
  <c r="O102" i="35"/>
  <c r="N102" i="35"/>
  <c r="A102" i="35"/>
  <c r="V101" i="35"/>
  <c r="U101" i="35"/>
  <c r="T101" i="35"/>
  <c r="S101" i="35"/>
  <c r="R101" i="35"/>
  <c r="Q101" i="35"/>
  <c r="P101" i="35"/>
  <c r="O101" i="35"/>
  <c r="N101" i="35"/>
  <c r="A101" i="35"/>
  <c r="V100" i="35"/>
  <c r="U100" i="35"/>
  <c r="T100" i="35"/>
  <c r="S100" i="35"/>
  <c r="R100" i="35"/>
  <c r="Q100" i="35"/>
  <c r="P100" i="35"/>
  <c r="O100" i="35"/>
  <c r="N100" i="35"/>
  <c r="A100" i="35"/>
  <c r="V99" i="35"/>
  <c r="U99" i="35"/>
  <c r="T99" i="35"/>
  <c r="S99" i="35"/>
  <c r="R99" i="35"/>
  <c r="Q99" i="35"/>
  <c r="P99" i="35"/>
  <c r="O99" i="35"/>
  <c r="N99" i="35"/>
  <c r="A99" i="35"/>
  <c r="V98" i="35"/>
  <c r="U98" i="35"/>
  <c r="T98" i="35"/>
  <c r="S98" i="35"/>
  <c r="R98" i="35"/>
  <c r="Q98" i="35"/>
  <c r="P98" i="35"/>
  <c r="O98" i="35"/>
  <c r="N98" i="35"/>
  <c r="A98" i="35"/>
  <c r="V97" i="35"/>
  <c r="U97" i="35"/>
  <c r="T97" i="35"/>
  <c r="S97" i="35"/>
  <c r="R97" i="35"/>
  <c r="Q97" i="35"/>
  <c r="P97" i="35"/>
  <c r="O97" i="35"/>
  <c r="N97" i="35"/>
  <c r="A97" i="35"/>
  <c r="V96" i="35"/>
  <c r="U96" i="35"/>
  <c r="T96" i="35"/>
  <c r="S96" i="35"/>
  <c r="R96" i="35"/>
  <c r="Q96" i="35"/>
  <c r="P96" i="35"/>
  <c r="O96" i="35"/>
  <c r="N96" i="35"/>
  <c r="A96" i="35"/>
  <c r="V95" i="35"/>
  <c r="U95" i="35"/>
  <c r="T95" i="35"/>
  <c r="S95" i="35"/>
  <c r="R95" i="35"/>
  <c r="Q95" i="35"/>
  <c r="P95" i="35"/>
  <c r="O95" i="35"/>
  <c r="N95" i="35"/>
  <c r="A95" i="35"/>
  <c r="V94" i="35"/>
  <c r="U94" i="35"/>
  <c r="T94" i="35"/>
  <c r="S94" i="35"/>
  <c r="R94" i="35"/>
  <c r="Q94" i="35"/>
  <c r="P94" i="35"/>
  <c r="O94" i="35"/>
  <c r="N94" i="35"/>
  <c r="E94" i="35"/>
  <c r="D94" i="35"/>
  <c r="C94" i="35"/>
  <c r="C94" i="35" a="1"/>
  <c r="A94" i="35"/>
  <c r="V93" i="35"/>
  <c r="U93" i="35"/>
  <c r="T93" i="35"/>
  <c r="S93" i="35"/>
  <c r="R93" i="35"/>
  <c r="Q93" i="35"/>
  <c r="P93" i="35"/>
  <c r="O93" i="35"/>
  <c r="N93" i="35"/>
  <c r="A93" i="35"/>
  <c r="V92" i="35"/>
  <c r="U92" i="35"/>
  <c r="T92" i="35"/>
  <c r="S92" i="35"/>
  <c r="R92" i="35"/>
  <c r="Q92" i="35"/>
  <c r="P92" i="35"/>
  <c r="O92" i="35"/>
  <c r="N92" i="35"/>
  <c r="E92" i="35"/>
  <c r="D92" i="35"/>
  <c r="C92" i="35"/>
  <c r="C92" i="35" a="1"/>
  <c r="A92" i="35"/>
  <c r="V91" i="35"/>
  <c r="U91" i="35"/>
  <c r="T91" i="35"/>
  <c r="S91" i="35"/>
  <c r="R91" i="35"/>
  <c r="Q91" i="35"/>
  <c r="P91" i="35"/>
  <c r="O91" i="35"/>
  <c r="N91" i="35"/>
  <c r="A91" i="35"/>
  <c r="V90" i="35"/>
  <c r="U90" i="35"/>
  <c r="T90" i="35"/>
  <c r="S90" i="35"/>
  <c r="R90" i="35"/>
  <c r="Q90" i="35"/>
  <c r="P90" i="35"/>
  <c r="O90" i="35"/>
  <c r="N90" i="35"/>
  <c r="A90" i="35"/>
  <c r="V89" i="35"/>
  <c r="U89" i="35"/>
  <c r="T89" i="35"/>
  <c r="S89" i="35"/>
  <c r="R89" i="35"/>
  <c r="Q89" i="35"/>
  <c r="P89" i="35"/>
  <c r="O89" i="35"/>
  <c r="N89" i="35"/>
  <c r="A89" i="35"/>
  <c r="V88" i="35"/>
  <c r="U88" i="35"/>
  <c r="T88" i="35"/>
  <c r="S88" i="35"/>
  <c r="R88" i="35"/>
  <c r="Q88" i="35"/>
  <c r="P88" i="35"/>
  <c r="O88" i="35"/>
  <c r="N88" i="35"/>
  <c r="A88" i="35"/>
  <c r="V87" i="35"/>
  <c r="U87" i="35"/>
  <c r="T87" i="35"/>
  <c r="S87" i="35"/>
  <c r="R87" i="35"/>
  <c r="Q87" i="35"/>
  <c r="P87" i="35"/>
  <c r="O87" i="35"/>
  <c r="N87" i="35"/>
  <c r="A87" i="35"/>
  <c r="V86" i="35"/>
  <c r="U86" i="35"/>
  <c r="T86" i="35"/>
  <c r="S86" i="35"/>
  <c r="R86" i="35"/>
  <c r="Q86" i="35"/>
  <c r="P86" i="35"/>
  <c r="O86" i="35"/>
  <c r="N86" i="35"/>
  <c r="A86" i="35"/>
  <c r="V85" i="35"/>
  <c r="U85" i="35"/>
  <c r="T85" i="35"/>
  <c r="S85" i="35"/>
  <c r="R85" i="35"/>
  <c r="Q85" i="35"/>
  <c r="P85" i="35"/>
  <c r="O85" i="35"/>
  <c r="N85" i="35"/>
  <c r="A85" i="35"/>
  <c r="V84" i="35"/>
  <c r="U84" i="35"/>
  <c r="T84" i="35"/>
  <c r="S84" i="35"/>
  <c r="R84" i="35"/>
  <c r="Q84" i="35"/>
  <c r="P84" i="35"/>
  <c r="O84" i="35"/>
  <c r="N84" i="35"/>
  <c r="A84" i="35"/>
  <c r="V83" i="35"/>
  <c r="U83" i="35"/>
  <c r="T83" i="35"/>
  <c r="S83" i="35"/>
  <c r="R83" i="35"/>
  <c r="Q83" i="35"/>
  <c r="P83" i="35"/>
  <c r="O83" i="35"/>
  <c r="N83" i="35"/>
  <c r="A83" i="35"/>
  <c r="V82" i="35"/>
  <c r="U82" i="35"/>
  <c r="T82" i="35"/>
  <c r="S82" i="35"/>
  <c r="R82" i="35"/>
  <c r="Q82" i="35"/>
  <c r="P82" i="35"/>
  <c r="O82" i="35"/>
  <c r="N82" i="35"/>
  <c r="L82" i="35"/>
  <c r="K82" i="35"/>
  <c r="J82" i="35"/>
  <c r="I82" i="35"/>
  <c r="H82" i="35"/>
  <c r="G82" i="35"/>
  <c r="F82" i="35"/>
  <c r="E82" i="35"/>
  <c r="D82" i="35"/>
  <c r="C82" i="35"/>
  <c r="A82" i="35"/>
  <c r="V81" i="35"/>
  <c r="U81" i="35"/>
  <c r="T81" i="35"/>
  <c r="S81" i="35"/>
  <c r="R81" i="35"/>
  <c r="Q81" i="35"/>
  <c r="P81" i="35"/>
  <c r="O81" i="35"/>
  <c r="N81" i="35"/>
  <c r="A81" i="35"/>
  <c r="V80" i="35"/>
  <c r="U80" i="35"/>
  <c r="T80" i="35"/>
  <c r="S80" i="35"/>
  <c r="R80" i="35"/>
  <c r="Q80" i="35"/>
  <c r="P80" i="35"/>
  <c r="O80" i="35"/>
  <c r="N80" i="35"/>
  <c r="A80" i="35"/>
  <c r="V79" i="35"/>
  <c r="U79" i="35"/>
  <c r="T79" i="35"/>
  <c r="S79" i="35"/>
  <c r="R79" i="35"/>
  <c r="Q79" i="35"/>
  <c r="P79" i="35"/>
  <c r="O79" i="35"/>
  <c r="N79" i="35"/>
  <c r="A79" i="35"/>
  <c r="V78" i="35"/>
  <c r="U78" i="35"/>
  <c r="T78" i="35"/>
  <c r="S78" i="35"/>
  <c r="R78" i="35"/>
  <c r="Q78" i="35"/>
  <c r="P78" i="35"/>
  <c r="O78" i="35"/>
  <c r="N78" i="35"/>
  <c r="A78" i="35"/>
  <c r="V77" i="35"/>
  <c r="U77" i="35"/>
  <c r="T77" i="35"/>
  <c r="S77" i="35"/>
  <c r="R77" i="35"/>
  <c r="Q77" i="35"/>
  <c r="P77" i="35"/>
  <c r="O77" i="35"/>
  <c r="N77" i="35"/>
  <c r="A77" i="35"/>
  <c r="V76" i="35"/>
  <c r="U76" i="35"/>
  <c r="T76" i="35"/>
  <c r="S76" i="35"/>
  <c r="R76" i="35"/>
  <c r="Q76" i="35"/>
  <c r="P76" i="35"/>
  <c r="O76" i="35"/>
  <c r="N76" i="35"/>
  <c r="A76" i="35"/>
  <c r="V75" i="35"/>
  <c r="U75" i="35"/>
  <c r="T75" i="35"/>
  <c r="S75" i="35"/>
  <c r="R75" i="35"/>
  <c r="Q75" i="35"/>
  <c r="P75" i="35"/>
  <c r="O75" i="35"/>
  <c r="N75" i="35"/>
  <c r="A75" i="35"/>
  <c r="V74" i="35"/>
  <c r="U74" i="35"/>
  <c r="T74" i="35"/>
  <c r="S74" i="35"/>
  <c r="R74" i="35"/>
  <c r="Q74" i="35"/>
  <c r="P74" i="35"/>
  <c r="O74" i="35"/>
  <c r="N74" i="35"/>
  <c r="A74" i="35"/>
  <c r="V73" i="35"/>
  <c r="U73" i="35"/>
  <c r="T73" i="35"/>
  <c r="S73" i="35"/>
  <c r="R73" i="35"/>
  <c r="Q73" i="35"/>
  <c r="P73" i="35"/>
  <c r="O73" i="35"/>
  <c r="N73" i="35"/>
  <c r="A73" i="35"/>
  <c r="V72" i="35"/>
  <c r="U72" i="35"/>
  <c r="T72" i="35"/>
  <c r="S72" i="35"/>
  <c r="R72" i="35"/>
  <c r="Q72" i="35"/>
  <c r="P72" i="35"/>
  <c r="O72" i="35"/>
  <c r="N72" i="35"/>
  <c r="A72" i="35"/>
  <c r="V71" i="35"/>
  <c r="U71" i="35"/>
  <c r="T71" i="35"/>
  <c r="S71" i="35"/>
  <c r="R71" i="35"/>
  <c r="Q71" i="35"/>
  <c r="P71" i="35"/>
  <c r="O71" i="35"/>
  <c r="N71" i="35"/>
  <c r="L71" i="35"/>
  <c r="K71" i="35"/>
  <c r="J71" i="35"/>
  <c r="I71" i="35"/>
  <c r="H71" i="35"/>
  <c r="G71" i="35"/>
  <c r="F71" i="35"/>
  <c r="E71" i="35"/>
  <c r="D71" i="35"/>
  <c r="C71" i="35"/>
  <c r="A71" i="35"/>
  <c r="V70" i="35"/>
  <c r="U70" i="35"/>
  <c r="T70" i="35"/>
  <c r="S70" i="35"/>
  <c r="R70" i="35"/>
  <c r="Q70" i="35"/>
  <c r="P70" i="35"/>
  <c r="O70" i="35"/>
  <c r="N70" i="35"/>
  <c r="A70" i="35"/>
  <c r="V69" i="35"/>
  <c r="U69" i="35"/>
  <c r="T69" i="35"/>
  <c r="S69" i="35"/>
  <c r="R69" i="35"/>
  <c r="Q69" i="35"/>
  <c r="P69" i="35"/>
  <c r="L69" i="35"/>
  <c r="K69" i="35"/>
  <c r="J69" i="35"/>
  <c r="I69" i="35"/>
  <c r="H69" i="35"/>
  <c r="C69" i="35"/>
  <c r="A69" i="35"/>
  <c r="V68" i="35"/>
  <c r="U68" i="35"/>
  <c r="T68" i="35"/>
  <c r="S68" i="35"/>
  <c r="R68" i="35"/>
  <c r="Q68" i="35"/>
  <c r="P68" i="35"/>
  <c r="O68" i="35"/>
  <c r="N68" i="35"/>
  <c r="C68" i="35"/>
  <c r="A68" i="35"/>
  <c r="V67" i="35"/>
  <c r="U67" i="35"/>
  <c r="T67" i="35"/>
  <c r="S67" i="35"/>
  <c r="R67" i="35"/>
  <c r="Q67" i="35"/>
  <c r="P67" i="35"/>
  <c r="O67" i="35"/>
  <c r="N67" i="35"/>
  <c r="A67" i="35"/>
  <c r="V66" i="35"/>
  <c r="U66" i="35"/>
  <c r="T66" i="35"/>
  <c r="S66" i="35"/>
  <c r="R66" i="35"/>
  <c r="Q66" i="35"/>
  <c r="P66" i="35"/>
  <c r="O66" i="35"/>
  <c r="N66" i="35"/>
  <c r="A66" i="35"/>
  <c r="V65" i="35"/>
  <c r="U65" i="35"/>
  <c r="T65" i="35"/>
  <c r="S65" i="35"/>
  <c r="R65" i="35"/>
  <c r="Q65" i="35"/>
  <c r="P65" i="35"/>
  <c r="C65" i="35"/>
  <c r="A65" i="35"/>
  <c r="V64" i="35"/>
  <c r="U64" i="35"/>
  <c r="T64" i="35"/>
  <c r="S64" i="35"/>
  <c r="R64" i="35"/>
  <c r="Q64" i="35"/>
  <c r="P64" i="35"/>
  <c r="O64" i="35"/>
  <c r="N64" i="35"/>
  <c r="C64" i="35"/>
  <c r="A64" i="35"/>
  <c r="V63" i="35"/>
  <c r="U63" i="35"/>
  <c r="T63" i="35"/>
  <c r="S63" i="35"/>
  <c r="R63" i="35"/>
  <c r="Q63" i="35"/>
  <c r="P63" i="35"/>
  <c r="O63" i="35"/>
  <c r="N63" i="35"/>
  <c r="A63" i="35"/>
  <c r="V62" i="35"/>
  <c r="U62" i="35"/>
  <c r="T62" i="35"/>
  <c r="S62" i="35"/>
  <c r="R62" i="35"/>
  <c r="Q62" i="35"/>
  <c r="P62" i="35"/>
  <c r="O62" i="35"/>
  <c r="N62" i="35"/>
  <c r="A62" i="35"/>
  <c r="V61" i="35"/>
  <c r="U61" i="35"/>
  <c r="T61" i="35"/>
  <c r="S61" i="35"/>
  <c r="R61" i="35"/>
  <c r="Q61" i="35"/>
  <c r="P61" i="35"/>
  <c r="O61" i="35"/>
  <c r="N61" i="35"/>
  <c r="A61" i="35"/>
  <c r="V60" i="35"/>
  <c r="U60" i="35"/>
  <c r="T60" i="35"/>
  <c r="S60" i="35"/>
  <c r="R60" i="35"/>
  <c r="Q60" i="35"/>
  <c r="P60" i="35"/>
  <c r="O60" i="35"/>
  <c r="N60" i="35"/>
  <c r="A60" i="35"/>
  <c r="V59" i="35"/>
  <c r="U59" i="35"/>
  <c r="T59" i="35"/>
  <c r="S59" i="35"/>
  <c r="R59" i="35"/>
  <c r="Q59" i="35"/>
  <c r="P59" i="35"/>
  <c r="O59" i="35"/>
  <c r="N59" i="35"/>
  <c r="A59" i="35"/>
  <c r="V58" i="35"/>
  <c r="U58" i="35"/>
  <c r="T58" i="35"/>
  <c r="S58" i="35"/>
  <c r="R58" i="35"/>
  <c r="Q58" i="35"/>
  <c r="P58" i="35"/>
  <c r="O58" i="35"/>
  <c r="N58" i="35"/>
  <c r="C58" i="35"/>
  <c r="A58" i="35"/>
  <c r="V57" i="35"/>
  <c r="U57" i="35"/>
  <c r="T57" i="35"/>
  <c r="S57" i="35"/>
  <c r="R57" i="35"/>
  <c r="Q57" i="35"/>
  <c r="P57" i="35"/>
  <c r="O57" i="35"/>
  <c r="N57" i="35"/>
  <c r="C57" i="35"/>
  <c r="A57" i="35"/>
  <c r="V56" i="35"/>
  <c r="U56" i="35"/>
  <c r="T56" i="35"/>
  <c r="S56" i="35"/>
  <c r="R56" i="35"/>
  <c r="Q56" i="35"/>
  <c r="P56" i="35"/>
  <c r="O56" i="35"/>
  <c r="N56" i="35"/>
  <c r="A56" i="35"/>
  <c r="V55" i="35"/>
  <c r="U55" i="35"/>
  <c r="T55" i="35"/>
  <c r="S55" i="35"/>
  <c r="R55" i="35"/>
  <c r="Q55" i="35"/>
  <c r="P55" i="35"/>
  <c r="O55" i="35"/>
  <c r="N55" i="35"/>
  <c r="A55" i="35"/>
  <c r="V54" i="35"/>
  <c r="U54" i="35"/>
  <c r="T54" i="35"/>
  <c r="S54" i="35"/>
  <c r="R54" i="35"/>
  <c r="Q54" i="35"/>
  <c r="P54" i="35"/>
  <c r="O54" i="35"/>
  <c r="N54" i="35"/>
  <c r="A54" i="35"/>
  <c r="V53" i="35"/>
  <c r="U53" i="35"/>
  <c r="T53" i="35"/>
  <c r="S53" i="35"/>
  <c r="R53" i="35"/>
  <c r="Q53" i="35"/>
  <c r="P53" i="35"/>
  <c r="O53" i="35"/>
  <c r="N53" i="35"/>
  <c r="L53" i="35"/>
  <c r="K53" i="35"/>
  <c r="J53" i="35"/>
  <c r="I53" i="35"/>
  <c r="H53" i="35"/>
  <c r="G53" i="35"/>
  <c r="F53" i="35"/>
  <c r="E53" i="35"/>
  <c r="D53" i="35"/>
  <c r="C53" i="35"/>
  <c r="A53" i="35"/>
  <c r="V52" i="35"/>
  <c r="U52" i="35"/>
  <c r="T52" i="35"/>
  <c r="S52" i="35"/>
  <c r="R52" i="35"/>
  <c r="Q52" i="35"/>
  <c r="P52" i="35"/>
  <c r="O52" i="35"/>
  <c r="N52" i="35"/>
  <c r="L52" i="35"/>
  <c r="K52" i="35"/>
  <c r="J52" i="35"/>
  <c r="I52" i="35"/>
  <c r="H52" i="35"/>
  <c r="G52" i="35"/>
  <c r="F52" i="35"/>
  <c r="E52" i="35"/>
  <c r="D52" i="35"/>
  <c r="C52" i="35"/>
  <c r="A52" i="35"/>
  <c r="V51" i="35"/>
  <c r="U51" i="35"/>
  <c r="T51" i="35"/>
  <c r="S51" i="35"/>
  <c r="R51" i="35"/>
  <c r="Q51" i="35"/>
  <c r="P51" i="35"/>
  <c r="O51" i="35"/>
  <c r="N51" i="35"/>
  <c r="A51" i="35"/>
  <c r="V50" i="35"/>
  <c r="U50" i="35"/>
  <c r="T50" i="35"/>
  <c r="S50" i="35"/>
  <c r="R50" i="35"/>
  <c r="Q50" i="35"/>
  <c r="P50" i="35"/>
  <c r="O50" i="35"/>
  <c r="N50" i="35"/>
  <c r="A50" i="35"/>
  <c r="V49" i="35"/>
  <c r="U49" i="35"/>
  <c r="T49" i="35"/>
  <c r="S49" i="35"/>
  <c r="R49" i="35"/>
  <c r="Q49" i="35"/>
  <c r="P49" i="35"/>
  <c r="O49" i="35"/>
  <c r="N49" i="35"/>
  <c r="A49" i="35"/>
  <c r="V48" i="35"/>
  <c r="U48" i="35"/>
  <c r="T48" i="35"/>
  <c r="S48" i="35"/>
  <c r="R48" i="35"/>
  <c r="Q48" i="35"/>
  <c r="P48" i="35"/>
  <c r="O48" i="35"/>
  <c r="N48" i="35"/>
  <c r="A48" i="35"/>
  <c r="V47" i="35"/>
  <c r="U47" i="35"/>
  <c r="T47" i="35"/>
  <c r="S47" i="35"/>
  <c r="R47" i="35"/>
  <c r="Q47" i="35"/>
  <c r="P47" i="35"/>
  <c r="O47" i="35"/>
  <c r="N47" i="35"/>
  <c r="A47" i="35"/>
  <c r="V46" i="35"/>
  <c r="U46" i="35"/>
  <c r="T46" i="35"/>
  <c r="S46" i="35"/>
  <c r="R46" i="35"/>
  <c r="Q46" i="35"/>
  <c r="P46" i="35"/>
  <c r="O46" i="35"/>
  <c r="N46" i="35"/>
  <c r="A46" i="35"/>
  <c r="V45" i="35"/>
  <c r="U45" i="35"/>
  <c r="T45" i="35"/>
  <c r="S45" i="35"/>
  <c r="R45" i="35"/>
  <c r="Q45" i="35"/>
  <c r="P45" i="35"/>
  <c r="O45" i="35"/>
  <c r="N45" i="35"/>
  <c r="A45" i="35"/>
  <c r="V44" i="35"/>
  <c r="U44" i="35"/>
  <c r="T44" i="35"/>
  <c r="S44" i="35"/>
  <c r="R44" i="35"/>
  <c r="Q44" i="35"/>
  <c r="P44" i="35"/>
  <c r="O44" i="35"/>
  <c r="N44" i="35"/>
  <c r="A44" i="35"/>
  <c r="V43" i="35"/>
  <c r="U43" i="35"/>
  <c r="T43" i="35"/>
  <c r="S43" i="35"/>
  <c r="R43" i="35"/>
  <c r="Q43" i="35"/>
  <c r="P43" i="35"/>
  <c r="O43" i="35"/>
  <c r="N43" i="35"/>
  <c r="L43" i="35"/>
  <c r="K43" i="35"/>
  <c r="J43" i="35"/>
  <c r="I43" i="35"/>
  <c r="H43" i="35"/>
  <c r="G43" i="35"/>
  <c r="F43" i="35"/>
  <c r="C43" i="35"/>
  <c r="A43" i="35"/>
  <c r="V42" i="35"/>
  <c r="U42" i="35"/>
  <c r="T42" i="35"/>
  <c r="S42" i="35"/>
  <c r="R42" i="35"/>
  <c r="Q42" i="35"/>
  <c r="P42" i="35"/>
  <c r="O42" i="35"/>
  <c r="N42" i="35"/>
  <c r="L42" i="35"/>
  <c r="K42" i="35"/>
  <c r="J42" i="35"/>
  <c r="I42" i="35"/>
  <c r="H42" i="35"/>
  <c r="G42" i="35"/>
  <c r="F42" i="35"/>
  <c r="C42" i="35"/>
  <c r="A42" i="35"/>
  <c r="V41" i="35"/>
  <c r="U41" i="35"/>
  <c r="T41" i="35"/>
  <c r="S41" i="35"/>
  <c r="R41" i="35"/>
  <c r="Q41" i="35"/>
  <c r="P41" i="35"/>
  <c r="O41" i="35"/>
  <c r="N41" i="35"/>
  <c r="L41" i="35"/>
  <c r="K41" i="35"/>
  <c r="J41" i="35"/>
  <c r="I41" i="35"/>
  <c r="H41" i="35"/>
  <c r="G41" i="35"/>
  <c r="F41" i="35"/>
  <c r="C41" i="35"/>
  <c r="A41" i="35"/>
  <c r="V40" i="35"/>
  <c r="U40" i="35"/>
  <c r="T40" i="35"/>
  <c r="S40" i="35"/>
  <c r="R40" i="35"/>
  <c r="Q40" i="35"/>
  <c r="P40" i="35"/>
  <c r="O40" i="35"/>
  <c r="N40" i="35"/>
  <c r="A40" i="35"/>
  <c r="V39" i="35"/>
  <c r="U39" i="35"/>
  <c r="T39" i="35"/>
  <c r="S39" i="35"/>
  <c r="R39" i="35"/>
  <c r="Q39" i="35"/>
  <c r="P39" i="35"/>
  <c r="O39" i="35"/>
  <c r="N39" i="35"/>
  <c r="L39" i="35"/>
  <c r="K39" i="35"/>
  <c r="J39" i="35"/>
  <c r="I39" i="35"/>
  <c r="H39" i="35"/>
  <c r="G39" i="35"/>
  <c r="F39" i="35"/>
  <c r="C39" i="35"/>
  <c r="A39" i="35"/>
  <c r="V38" i="35"/>
  <c r="U38" i="35"/>
  <c r="T38" i="35"/>
  <c r="S38" i="35"/>
  <c r="R38" i="35"/>
  <c r="Q38" i="35"/>
  <c r="P38" i="35"/>
  <c r="O38" i="35"/>
  <c r="N38" i="35"/>
  <c r="A38" i="35"/>
  <c r="V37" i="35"/>
  <c r="U37" i="35"/>
  <c r="T37" i="35"/>
  <c r="S37" i="35"/>
  <c r="R37" i="35"/>
  <c r="Q37" i="35"/>
  <c r="P37" i="35"/>
  <c r="O37" i="35"/>
  <c r="N37" i="35"/>
  <c r="L37" i="35"/>
  <c r="K37" i="35"/>
  <c r="J37" i="35"/>
  <c r="I37" i="35"/>
  <c r="H37" i="35"/>
  <c r="G37" i="35"/>
  <c r="F37" i="35"/>
  <c r="E37" i="35"/>
  <c r="D37" i="35"/>
  <c r="C37" i="35"/>
  <c r="A37" i="35"/>
  <c r="V36" i="35"/>
  <c r="U36" i="35"/>
  <c r="T36" i="35"/>
  <c r="S36" i="35"/>
  <c r="R36" i="35"/>
  <c r="Q36" i="35"/>
  <c r="P36" i="35"/>
  <c r="O36" i="35"/>
  <c r="N36" i="35"/>
  <c r="E36" i="35"/>
  <c r="D36" i="35"/>
  <c r="C36" i="35"/>
  <c r="A36" i="35"/>
  <c r="V35" i="35"/>
  <c r="U35" i="35"/>
  <c r="T35" i="35"/>
  <c r="S35" i="35"/>
  <c r="R35" i="35"/>
  <c r="Q35" i="35"/>
  <c r="P35" i="35"/>
  <c r="O35" i="35"/>
  <c r="N35" i="35"/>
  <c r="E35" i="35"/>
  <c r="D35" i="35"/>
  <c r="A35" i="35"/>
  <c r="V34" i="35"/>
  <c r="U34" i="35"/>
  <c r="T34" i="35"/>
  <c r="S34" i="35"/>
  <c r="R34" i="35"/>
  <c r="Q34" i="35"/>
  <c r="P34" i="35"/>
  <c r="O34" i="35"/>
  <c r="N34" i="35"/>
  <c r="L34" i="35"/>
  <c r="K34" i="35"/>
  <c r="J34" i="35"/>
  <c r="I34" i="35"/>
  <c r="H34" i="35"/>
  <c r="G34" i="35"/>
  <c r="F34" i="35"/>
  <c r="E34" i="35"/>
  <c r="D34" i="35"/>
  <c r="C34" i="35"/>
  <c r="A34" i="35"/>
  <c r="V33" i="35"/>
  <c r="U33" i="35"/>
  <c r="T33" i="35"/>
  <c r="S33" i="35"/>
  <c r="R33" i="35"/>
  <c r="Q33" i="35"/>
  <c r="P33" i="35"/>
  <c r="O33" i="35"/>
  <c r="N33" i="35"/>
  <c r="L33" i="35"/>
  <c r="K33" i="35"/>
  <c r="J33" i="35"/>
  <c r="I33" i="35"/>
  <c r="H33" i="35"/>
  <c r="G33" i="35"/>
  <c r="F33" i="35"/>
  <c r="E33" i="35"/>
  <c r="D33" i="35"/>
  <c r="T32" i="35"/>
  <c r="S32" i="35"/>
  <c r="V31" i="35"/>
  <c r="U31" i="35"/>
  <c r="T31" i="35"/>
  <c r="S31" i="35"/>
  <c r="R31" i="35"/>
  <c r="Q31" i="35"/>
  <c r="P31" i="35"/>
  <c r="O31" i="35"/>
  <c r="N31" i="35"/>
  <c r="M31" i="35"/>
  <c r="J20" i="35"/>
  <c r="I20" i="35"/>
  <c r="H20" i="35"/>
  <c r="G20" i="35"/>
  <c r="J19" i="35"/>
  <c r="I19" i="35"/>
  <c r="H19" i="35"/>
  <c r="G19" i="35"/>
  <c r="J18" i="35"/>
  <c r="I18" i="35"/>
  <c r="H18" i="35"/>
  <c r="G18" i="35"/>
  <c r="J17" i="35"/>
  <c r="I17" i="35"/>
  <c r="H17" i="35"/>
  <c r="G17" i="35"/>
  <c r="J16" i="35"/>
  <c r="I16" i="35"/>
  <c r="H16" i="35"/>
  <c r="G16" i="35"/>
  <c r="J15" i="35"/>
  <c r="I15" i="35"/>
  <c r="H15" i="35"/>
  <c r="G15" i="35"/>
  <c r="J14" i="35"/>
  <c r="I14" i="35"/>
  <c r="H14" i="35"/>
  <c r="G14" i="35"/>
  <c r="J13" i="35"/>
  <c r="I13" i="35"/>
  <c r="H13" i="35"/>
  <c r="G13" i="35"/>
  <c r="J12" i="35"/>
  <c r="I12" i="35"/>
  <c r="H12" i="35"/>
  <c r="G12" i="35"/>
  <c r="J11" i="35"/>
  <c r="H11" i="35"/>
  <c r="G11" i="35"/>
  <c r="E7" i="35"/>
  <c r="B7" i="35"/>
  <c r="I11" i="35" s="1"/>
  <c r="C33" i="35" s="1"/>
  <c r="K136" i="61"/>
  <c r="J136" i="61"/>
  <c r="I136" i="61"/>
  <c r="H136" i="61"/>
  <c r="G136" i="61"/>
  <c r="F136" i="61"/>
  <c r="L135" i="61"/>
  <c r="K135" i="61"/>
  <c r="I135" i="61"/>
  <c r="F135" i="61"/>
  <c r="E135" i="61"/>
  <c r="D135" i="61"/>
  <c r="L134" i="61"/>
  <c r="K134" i="61"/>
  <c r="I134" i="61"/>
  <c r="F134" i="61"/>
  <c r="E134" i="61"/>
  <c r="D134" i="61"/>
  <c r="L133" i="61"/>
  <c r="K133" i="61"/>
  <c r="I133" i="61"/>
  <c r="F133" i="61"/>
  <c r="E133" i="61"/>
  <c r="D133" i="61"/>
  <c r="K130" i="61"/>
  <c r="J130" i="61"/>
  <c r="I130" i="61"/>
  <c r="H130" i="61"/>
  <c r="G130" i="61"/>
  <c r="F130" i="61"/>
  <c r="L129" i="61"/>
  <c r="K129" i="61"/>
  <c r="I129" i="61"/>
  <c r="H129" i="61"/>
  <c r="G129" i="61"/>
  <c r="F129" i="61"/>
  <c r="E129" i="61"/>
  <c r="D129" i="61"/>
  <c r="L128" i="61"/>
  <c r="K128" i="61"/>
  <c r="I128" i="61"/>
  <c r="H128" i="61"/>
  <c r="G128" i="61"/>
  <c r="F128" i="61"/>
  <c r="E128" i="61"/>
  <c r="D128" i="61"/>
  <c r="L127" i="61"/>
  <c r="K127" i="61"/>
  <c r="I127" i="61"/>
  <c r="H127" i="61"/>
  <c r="G127" i="61"/>
  <c r="F127" i="61"/>
  <c r="E127" i="61"/>
  <c r="D127" i="61"/>
  <c r="V103" i="61"/>
  <c r="U103" i="61"/>
  <c r="T103" i="61"/>
  <c r="S103" i="61"/>
  <c r="R103" i="61"/>
  <c r="Q103" i="61"/>
  <c r="P103" i="61"/>
  <c r="O103" i="61"/>
  <c r="A103" i="61"/>
  <c r="V102" i="61"/>
  <c r="U102" i="61"/>
  <c r="T102" i="61"/>
  <c r="S102" i="61"/>
  <c r="R102" i="61"/>
  <c r="Q102" i="61"/>
  <c r="P102" i="61"/>
  <c r="O102" i="61"/>
  <c r="A102" i="61"/>
  <c r="V101" i="61"/>
  <c r="U101" i="61"/>
  <c r="T101" i="61"/>
  <c r="S101" i="61"/>
  <c r="R101" i="61"/>
  <c r="Q101" i="61"/>
  <c r="P101" i="61"/>
  <c r="O101" i="61"/>
  <c r="A101" i="61"/>
  <c r="V100" i="61"/>
  <c r="U100" i="61"/>
  <c r="T100" i="61"/>
  <c r="S100" i="61"/>
  <c r="R100" i="61"/>
  <c r="Q100" i="61"/>
  <c r="P100" i="61"/>
  <c r="O100" i="61"/>
  <c r="A100" i="61"/>
  <c r="V99" i="61"/>
  <c r="U99" i="61"/>
  <c r="T99" i="61"/>
  <c r="S99" i="61"/>
  <c r="R99" i="61"/>
  <c r="Q99" i="61"/>
  <c r="P99" i="61"/>
  <c r="O99" i="61"/>
  <c r="A99" i="61"/>
  <c r="V98" i="61"/>
  <c r="U98" i="61"/>
  <c r="T98" i="61"/>
  <c r="S98" i="61"/>
  <c r="R98" i="61"/>
  <c r="Q98" i="61"/>
  <c r="P98" i="61"/>
  <c r="O98" i="61"/>
  <c r="A98" i="61"/>
  <c r="V97" i="61"/>
  <c r="U97" i="61"/>
  <c r="T97" i="61"/>
  <c r="S97" i="61"/>
  <c r="R97" i="61"/>
  <c r="Q97" i="61"/>
  <c r="P97" i="61"/>
  <c r="O97" i="61"/>
  <c r="A97" i="61"/>
  <c r="V96" i="61"/>
  <c r="U96" i="61"/>
  <c r="T96" i="61"/>
  <c r="S96" i="61"/>
  <c r="R96" i="61"/>
  <c r="Q96" i="61"/>
  <c r="P96" i="61"/>
  <c r="O96" i="61"/>
  <c r="A96" i="61"/>
  <c r="V95" i="61"/>
  <c r="U95" i="61"/>
  <c r="T95" i="61"/>
  <c r="S95" i="61"/>
  <c r="R95" i="61"/>
  <c r="Q95" i="61"/>
  <c r="P95" i="61"/>
  <c r="O95" i="61"/>
  <c r="A95" i="61"/>
  <c r="V94" i="61"/>
  <c r="U94" i="61"/>
  <c r="T94" i="61"/>
  <c r="S94" i="61"/>
  <c r="R94" i="61"/>
  <c r="Q94" i="61"/>
  <c r="P94" i="61"/>
  <c r="O94" i="61"/>
  <c r="A94" i="61"/>
  <c r="V93" i="61"/>
  <c r="U93" i="61"/>
  <c r="T93" i="61"/>
  <c r="S93" i="61"/>
  <c r="R93" i="61"/>
  <c r="Q93" i="61"/>
  <c r="P93" i="61"/>
  <c r="O93" i="61"/>
  <c r="A93" i="61"/>
  <c r="V92" i="61"/>
  <c r="U92" i="61"/>
  <c r="T92" i="61"/>
  <c r="S92" i="61"/>
  <c r="R92" i="61"/>
  <c r="Q92" i="61"/>
  <c r="P92" i="61"/>
  <c r="O92" i="61"/>
  <c r="A92" i="61"/>
  <c r="V91" i="61"/>
  <c r="U91" i="61"/>
  <c r="T91" i="61"/>
  <c r="S91" i="61"/>
  <c r="R91" i="61"/>
  <c r="Q91" i="61"/>
  <c r="P91" i="61"/>
  <c r="O91" i="61"/>
  <c r="A91" i="61"/>
  <c r="V90" i="61"/>
  <c r="U90" i="61"/>
  <c r="T90" i="61"/>
  <c r="S90" i="61"/>
  <c r="R90" i="61"/>
  <c r="Q90" i="61"/>
  <c r="P90" i="61"/>
  <c r="O90" i="61"/>
  <c r="A90" i="61"/>
  <c r="V89" i="61"/>
  <c r="U89" i="61"/>
  <c r="T89" i="61"/>
  <c r="S89" i="61"/>
  <c r="R89" i="61"/>
  <c r="Q89" i="61"/>
  <c r="P89" i="61"/>
  <c r="O89" i="61"/>
  <c r="A89" i="61"/>
  <c r="V88" i="61"/>
  <c r="U88" i="61"/>
  <c r="T88" i="61"/>
  <c r="S88" i="61"/>
  <c r="R88" i="61"/>
  <c r="Q88" i="61"/>
  <c r="P88" i="61"/>
  <c r="O88" i="61"/>
  <c r="A88" i="61"/>
  <c r="V87" i="61"/>
  <c r="U87" i="61"/>
  <c r="T87" i="61"/>
  <c r="S87" i="61"/>
  <c r="R87" i="61"/>
  <c r="Q87" i="61"/>
  <c r="P87" i="61"/>
  <c r="O87" i="61"/>
  <c r="A87" i="61"/>
  <c r="V86" i="61"/>
  <c r="U86" i="61"/>
  <c r="T86" i="61"/>
  <c r="S86" i="61"/>
  <c r="R86" i="61"/>
  <c r="Q86" i="61"/>
  <c r="P86" i="61"/>
  <c r="O86" i="61"/>
  <c r="A86" i="61"/>
  <c r="V85" i="61"/>
  <c r="U85" i="61"/>
  <c r="T85" i="61"/>
  <c r="S85" i="61"/>
  <c r="R85" i="61"/>
  <c r="Q85" i="61"/>
  <c r="P85" i="61"/>
  <c r="O85" i="61"/>
  <c r="A85" i="61"/>
  <c r="V84" i="61"/>
  <c r="U84" i="61"/>
  <c r="T84" i="61"/>
  <c r="S84" i="61"/>
  <c r="R84" i="61"/>
  <c r="Q84" i="61"/>
  <c r="P84" i="61"/>
  <c r="O84" i="61"/>
  <c r="A84" i="61"/>
  <c r="V83" i="61"/>
  <c r="U83" i="61"/>
  <c r="T83" i="61"/>
  <c r="S83" i="61"/>
  <c r="R83" i="61"/>
  <c r="Q83" i="61"/>
  <c r="P83" i="61"/>
  <c r="O83" i="61"/>
  <c r="A83" i="61"/>
  <c r="V82" i="61"/>
  <c r="U82" i="61"/>
  <c r="T82" i="61"/>
  <c r="S82" i="61"/>
  <c r="R82" i="61"/>
  <c r="Q82" i="61"/>
  <c r="P82" i="61"/>
  <c r="O82" i="61"/>
  <c r="L82" i="61"/>
  <c r="K82" i="61"/>
  <c r="J82" i="61"/>
  <c r="I82" i="61"/>
  <c r="H82" i="61"/>
  <c r="G82" i="61"/>
  <c r="F82" i="61"/>
  <c r="A82" i="61"/>
  <c r="V81" i="61"/>
  <c r="U81" i="61"/>
  <c r="T81" i="61"/>
  <c r="S81" i="61"/>
  <c r="R81" i="61"/>
  <c r="Q81" i="61"/>
  <c r="P81" i="61"/>
  <c r="O81" i="61"/>
  <c r="A81" i="61"/>
  <c r="V80" i="61"/>
  <c r="U80" i="61"/>
  <c r="T80" i="61"/>
  <c r="S80" i="61"/>
  <c r="R80" i="61"/>
  <c r="Q80" i="61"/>
  <c r="P80" i="61"/>
  <c r="O80" i="61"/>
  <c r="A80" i="61"/>
  <c r="V79" i="61"/>
  <c r="U79" i="61"/>
  <c r="T79" i="61"/>
  <c r="S79" i="61"/>
  <c r="R79" i="61"/>
  <c r="Q79" i="61"/>
  <c r="P79" i="61"/>
  <c r="O79" i="61"/>
  <c r="D79" i="61"/>
  <c r="A79" i="61"/>
  <c r="V78" i="61"/>
  <c r="U78" i="61"/>
  <c r="T78" i="61"/>
  <c r="S78" i="61"/>
  <c r="R78" i="61"/>
  <c r="Q78" i="61"/>
  <c r="P78" i="61"/>
  <c r="O78" i="61"/>
  <c r="D78" i="61"/>
  <c r="A78" i="61"/>
  <c r="V77" i="61"/>
  <c r="U77" i="61"/>
  <c r="T77" i="61"/>
  <c r="S77" i="61"/>
  <c r="R77" i="61"/>
  <c r="Q77" i="61"/>
  <c r="P77" i="61"/>
  <c r="O77" i="61"/>
  <c r="A77" i="61"/>
  <c r="V76" i="61"/>
  <c r="U76" i="61"/>
  <c r="T76" i="61"/>
  <c r="S76" i="61"/>
  <c r="R76" i="61"/>
  <c r="Q76" i="61"/>
  <c r="P76" i="61"/>
  <c r="O76" i="61"/>
  <c r="D76" i="61"/>
  <c r="A76" i="61"/>
  <c r="V75" i="61"/>
  <c r="U75" i="61"/>
  <c r="T75" i="61"/>
  <c r="S75" i="61"/>
  <c r="R75" i="61"/>
  <c r="Q75" i="61"/>
  <c r="P75" i="61"/>
  <c r="O75" i="61"/>
  <c r="A75" i="61"/>
  <c r="V74" i="61"/>
  <c r="U74" i="61"/>
  <c r="T74" i="61"/>
  <c r="S74" i="61"/>
  <c r="R74" i="61"/>
  <c r="Q74" i="61"/>
  <c r="P74" i="61"/>
  <c r="O74" i="61"/>
  <c r="A74" i="61"/>
  <c r="V73" i="61"/>
  <c r="U73" i="61"/>
  <c r="T73" i="61"/>
  <c r="S73" i="61"/>
  <c r="R73" i="61"/>
  <c r="Q73" i="61"/>
  <c r="P73" i="61"/>
  <c r="O73" i="61"/>
  <c r="A73" i="61"/>
  <c r="V72" i="61"/>
  <c r="U72" i="61"/>
  <c r="T72" i="61"/>
  <c r="S72" i="61"/>
  <c r="R72" i="61"/>
  <c r="Q72" i="61"/>
  <c r="P72" i="61"/>
  <c r="O72" i="61"/>
  <c r="A72" i="61"/>
  <c r="V71" i="61"/>
  <c r="U71" i="61"/>
  <c r="T71" i="61"/>
  <c r="S71" i="61"/>
  <c r="R71" i="61"/>
  <c r="Q71" i="61"/>
  <c r="P71" i="61"/>
  <c r="O71" i="61"/>
  <c r="L71" i="61"/>
  <c r="K71" i="61"/>
  <c r="J71" i="61"/>
  <c r="I71" i="61"/>
  <c r="H71" i="61"/>
  <c r="G71" i="61"/>
  <c r="F71" i="61"/>
  <c r="E71" i="61"/>
  <c r="D71" i="61"/>
  <c r="C71" i="61"/>
  <c r="A71" i="61"/>
  <c r="V70" i="61"/>
  <c r="U70" i="61"/>
  <c r="T70" i="61"/>
  <c r="S70" i="61"/>
  <c r="R70" i="61"/>
  <c r="Q70" i="61"/>
  <c r="P70" i="61"/>
  <c r="O70" i="61"/>
  <c r="A70" i="61"/>
  <c r="L69" i="61"/>
  <c r="K69" i="61"/>
  <c r="J69" i="61"/>
  <c r="I69" i="61"/>
  <c r="F69" i="61"/>
  <c r="E69" i="61"/>
  <c r="D69" i="61"/>
  <c r="C69" i="61"/>
  <c r="A69" i="61"/>
  <c r="V68" i="61"/>
  <c r="U68" i="61"/>
  <c r="T68" i="61"/>
  <c r="S68" i="61"/>
  <c r="R68" i="61"/>
  <c r="Q68" i="61"/>
  <c r="P68" i="61"/>
  <c r="O68" i="61"/>
  <c r="D68" i="61"/>
  <c r="C68" i="61"/>
  <c r="A68" i="61"/>
  <c r="V67" i="61"/>
  <c r="U67" i="61"/>
  <c r="T67" i="61"/>
  <c r="S67" i="61"/>
  <c r="R67" i="61"/>
  <c r="Q67" i="61"/>
  <c r="P67" i="61"/>
  <c r="O67" i="61"/>
  <c r="A67" i="61"/>
  <c r="V66" i="61"/>
  <c r="U66" i="61"/>
  <c r="T66" i="61"/>
  <c r="S66" i="61"/>
  <c r="R66" i="61"/>
  <c r="Q66" i="61"/>
  <c r="P66" i="61"/>
  <c r="O66" i="61"/>
  <c r="A66" i="61"/>
  <c r="D65" i="61"/>
  <c r="C65" i="61"/>
  <c r="A65" i="61"/>
  <c r="V64" i="61"/>
  <c r="U64" i="61"/>
  <c r="T64" i="61"/>
  <c r="S64" i="61"/>
  <c r="R64" i="61"/>
  <c r="Q64" i="61"/>
  <c r="P64" i="61"/>
  <c r="O64" i="61"/>
  <c r="D64" i="61"/>
  <c r="C64" i="61"/>
  <c r="A64" i="61"/>
  <c r="V63" i="61"/>
  <c r="U63" i="61"/>
  <c r="T63" i="61"/>
  <c r="S63" i="61"/>
  <c r="R63" i="61"/>
  <c r="Q63" i="61"/>
  <c r="P63" i="61"/>
  <c r="O63" i="61"/>
  <c r="A63" i="61"/>
  <c r="V62" i="61"/>
  <c r="U62" i="61"/>
  <c r="T62" i="61"/>
  <c r="S62" i="61"/>
  <c r="R62" i="61"/>
  <c r="Q62" i="61"/>
  <c r="P62" i="61"/>
  <c r="O62" i="61"/>
  <c r="A62" i="61"/>
  <c r="V61" i="61"/>
  <c r="U61" i="61"/>
  <c r="T61" i="61"/>
  <c r="S61" i="61"/>
  <c r="R61" i="61"/>
  <c r="Q61" i="61"/>
  <c r="P61" i="61"/>
  <c r="O61" i="61"/>
  <c r="A61" i="61"/>
  <c r="V60" i="61"/>
  <c r="U60" i="61"/>
  <c r="T60" i="61"/>
  <c r="S60" i="61"/>
  <c r="R60" i="61"/>
  <c r="Q60" i="61"/>
  <c r="P60" i="61"/>
  <c r="O60" i="61"/>
  <c r="A60" i="61"/>
  <c r="V59" i="61"/>
  <c r="U59" i="61"/>
  <c r="T59" i="61"/>
  <c r="S59" i="61"/>
  <c r="R59" i="61"/>
  <c r="Q59" i="61"/>
  <c r="P59" i="61"/>
  <c r="O59" i="61"/>
  <c r="A59" i="61"/>
  <c r="V58" i="61"/>
  <c r="U58" i="61"/>
  <c r="T58" i="61"/>
  <c r="S58" i="61"/>
  <c r="R58" i="61"/>
  <c r="Q58" i="61"/>
  <c r="P58" i="61"/>
  <c r="O58" i="61"/>
  <c r="C58" i="61"/>
  <c r="D58" i="61" s="1"/>
  <c r="A58" i="61"/>
  <c r="V57" i="61"/>
  <c r="U57" i="61"/>
  <c r="T57" i="61"/>
  <c r="S57" i="61"/>
  <c r="R57" i="61"/>
  <c r="Q57" i="61"/>
  <c r="P57" i="61"/>
  <c r="O57" i="61"/>
  <c r="C57" i="61"/>
  <c r="D57" i="61" s="1"/>
  <c r="A57" i="61"/>
  <c r="V56" i="61"/>
  <c r="U56" i="61"/>
  <c r="T56" i="61"/>
  <c r="S56" i="61"/>
  <c r="R56" i="61"/>
  <c r="Q56" i="61"/>
  <c r="P56" i="61"/>
  <c r="O56" i="61"/>
  <c r="A56" i="61"/>
  <c r="V55" i="61"/>
  <c r="U55" i="61"/>
  <c r="T55" i="61"/>
  <c r="S55" i="61"/>
  <c r="R55" i="61"/>
  <c r="Q55" i="61"/>
  <c r="P55" i="61"/>
  <c r="O55" i="61"/>
  <c r="A55" i="61"/>
  <c r="V54" i="61"/>
  <c r="U54" i="61"/>
  <c r="T54" i="61"/>
  <c r="S54" i="61"/>
  <c r="R54" i="61"/>
  <c r="Q54" i="61"/>
  <c r="P54" i="61"/>
  <c r="O54" i="61"/>
  <c r="A54" i="61"/>
  <c r="V53" i="61"/>
  <c r="U53" i="61"/>
  <c r="T53" i="61"/>
  <c r="S53" i="61"/>
  <c r="R53" i="61"/>
  <c r="Q53" i="61"/>
  <c r="P53" i="61"/>
  <c r="O53" i="61"/>
  <c r="L53" i="61"/>
  <c r="K53" i="61"/>
  <c r="J53" i="61"/>
  <c r="I53" i="61"/>
  <c r="H53" i="61"/>
  <c r="G53" i="61"/>
  <c r="F53" i="61"/>
  <c r="E53" i="61"/>
  <c r="D53" i="61"/>
  <c r="C53" i="61"/>
  <c r="A53" i="61"/>
  <c r="V52" i="61"/>
  <c r="U52" i="61"/>
  <c r="T52" i="61"/>
  <c r="S52" i="61"/>
  <c r="R52" i="61"/>
  <c r="Q52" i="61"/>
  <c r="P52" i="61"/>
  <c r="O52" i="61"/>
  <c r="L52" i="61"/>
  <c r="K52" i="61"/>
  <c r="J52" i="61"/>
  <c r="I52" i="61"/>
  <c r="H52" i="61"/>
  <c r="G52" i="61"/>
  <c r="F52" i="61"/>
  <c r="E52" i="61"/>
  <c r="D52" i="61"/>
  <c r="C52" i="61"/>
  <c r="A52" i="61"/>
  <c r="V51" i="61"/>
  <c r="U51" i="61"/>
  <c r="T51" i="61"/>
  <c r="S51" i="61"/>
  <c r="R51" i="61"/>
  <c r="Q51" i="61"/>
  <c r="P51" i="61"/>
  <c r="O51" i="61"/>
  <c r="A51" i="61"/>
  <c r="V50" i="61"/>
  <c r="U50" i="61"/>
  <c r="T50" i="61"/>
  <c r="S50" i="61"/>
  <c r="R50" i="61"/>
  <c r="Q50" i="61"/>
  <c r="P50" i="61"/>
  <c r="O50" i="61"/>
  <c r="A50" i="61"/>
  <c r="V49" i="61"/>
  <c r="U49" i="61"/>
  <c r="T49" i="61"/>
  <c r="S49" i="61"/>
  <c r="R49" i="61"/>
  <c r="Q49" i="61"/>
  <c r="P49" i="61"/>
  <c r="O49" i="61"/>
  <c r="F49" i="61"/>
  <c r="E49" i="61"/>
  <c r="A49" i="61"/>
  <c r="V48" i="61"/>
  <c r="U48" i="61"/>
  <c r="T48" i="61"/>
  <c r="S48" i="61"/>
  <c r="R48" i="61"/>
  <c r="Q48" i="61"/>
  <c r="P48" i="61"/>
  <c r="O48" i="61"/>
  <c r="A48" i="61"/>
  <c r="V47" i="61"/>
  <c r="U47" i="61"/>
  <c r="T47" i="61"/>
  <c r="S47" i="61"/>
  <c r="R47" i="61"/>
  <c r="Q47" i="61"/>
  <c r="P47" i="61"/>
  <c r="O47" i="61"/>
  <c r="A47" i="61"/>
  <c r="V46" i="61"/>
  <c r="U46" i="61"/>
  <c r="T46" i="61"/>
  <c r="S46" i="61"/>
  <c r="R46" i="61"/>
  <c r="Q46" i="61"/>
  <c r="P46" i="61"/>
  <c r="O46" i="61"/>
  <c r="A46" i="61"/>
  <c r="V45" i="61"/>
  <c r="U45" i="61"/>
  <c r="T45" i="61"/>
  <c r="S45" i="61"/>
  <c r="R45" i="61"/>
  <c r="Q45" i="61"/>
  <c r="P45" i="61"/>
  <c r="O45" i="61"/>
  <c r="A45" i="61"/>
  <c r="V44" i="61"/>
  <c r="U44" i="61"/>
  <c r="T44" i="61"/>
  <c r="S44" i="61"/>
  <c r="R44" i="61"/>
  <c r="Q44" i="61"/>
  <c r="P44" i="61"/>
  <c r="O44" i="61"/>
  <c r="A44" i="61"/>
  <c r="V43" i="61"/>
  <c r="U43" i="61"/>
  <c r="T43" i="61"/>
  <c r="S43" i="61"/>
  <c r="R43" i="61"/>
  <c r="Q43" i="61"/>
  <c r="P43" i="61"/>
  <c r="O43" i="61"/>
  <c r="L43" i="61"/>
  <c r="K43" i="61"/>
  <c r="J43" i="61"/>
  <c r="F43" i="61"/>
  <c r="E43" i="61"/>
  <c r="D43" i="61"/>
  <c r="C43" i="61"/>
  <c r="A43" i="61"/>
  <c r="V42" i="61"/>
  <c r="U42" i="61"/>
  <c r="T42" i="61"/>
  <c r="S42" i="61"/>
  <c r="R42" i="61"/>
  <c r="Q42" i="61"/>
  <c r="P42" i="61"/>
  <c r="O42" i="61"/>
  <c r="L42" i="61"/>
  <c r="K42" i="61"/>
  <c r="J42" i="61"/>
  <c r="I42" i="61"/>
  <c r="H42" i="61"/>
  <c r="G42" i="61"/>
  <c r="F42" i="61"/>
  <c r="E42" i="61"/>
  <c r="D42" i="61"/>
  <c r="C42" i="61"/>
  <c r="A42" i="61"/>
  <c r="V41" i="61"/>
  <c r="U41" i="61"/>
  <c r="T41" i="61"/>
  <c r="S41" i="61"/>
  <c r="R41" i="61"/>
  <c r="Q41" i="61"/>
  <c r="P41" i="61"/>
  <c r="O41" i="61"/>
  <c r="L41" i="61"/>
  <c r="K41" i="61"/>
  <c r="J41" i="61"/>
  <c r="I41" i="61"/>
  <c r="H41" i="61"/>
  <c r="G41" i="61"/>
  <c r="F41" i="61"/>
  <c r="E41" i="61"/>
  <c r="D41" i="61"/>
  <c r="C41" i="61"/>
  <c r="A41" i="61"/>
  <c r="V40" i="61"/>
  <c r="U40" i="61"/>
  <c r="T40" i="61"/>
  <c r="S40" i="61"/>
  <c r="R40" i="61"/>
  <c r="Q40" i="61"/>
  <c r="P40" i="61"/>
  <c r="O40" i="61"/>
  <c r="A40" i="61"/>
  <c r="V39" i="61"/>
  <c r="U39" i="61"/>
  <c r="T39" i="61"/>
  <c r="S39" i="61"/>
  <c r="R39" i="61"/>
  <c r="Q39" i="61"/>
  <c r="P39" i="61"/>
  <c r="O39" i="61"/>
  <c r="L39" i="61"/>
  <c r="K39" i="61"/>
  <c r="J39" i="61"/>
  <c r="I39" i="61"/>
  <c r="H39" i="61"/>
  <c r="G39" i="61"/>
  <c r="F39" i="61"/>
  <c r="E39" i="61"/>
  <c r="D39" i="61"/>
  <c r="C39" i="61"/>
  <c r="A39" i="61"/>
  <c r="V38" i="61"/>
  <c r="U38" i="61"/>
  <c r="T38" i="61"/>
  <c r="S38" i="61"/>
  <c r="R38" i="61"/>
  <c r="Q38" i="61"/>
  <c r="P38" i="61"/>
  <c r="O38" i="61"/>
  <c r="A38" i="61"/>
  <c r="V37" i="61"/>
  <c r="U37" i="61"/>
  <c r="T37" i="61"/>
  <c r="S37" i="61"/>
  <c r="R37" i="61"/>
  <c r="Q37" i="61"/>
  <c r="P37" i="61"/>
  <c r="O37" i="61"/>
  <c r="L37" i="61"/>
  <c r="K37" i="61"/>
  <c r="J37" i="61"/>
  <c r="I37" i="61"/>
  <c r="H37" i="61"/>
  <c r="G37" i="61"/>
  <c r="F37" i="61"/>
  <c r="E37" i="61"/>
  <c r="D37" i="61"/>
  <c r="C37" i="61"/>
  <c r="A37" i="61"/>
  <c r="V36" i="61"/>
  <c r="U36" i="61"/>
  <c r="T36" i="61"/>
  <c r="S36" i="61"/>
  <c r="R36" i="61"/>
  <c r="Q36" i="61"/>
  <c r="P36" i="61"/>
  <c r="O36" i="61"/>
  <c r="D36" i="61"/>
  <c r="C36" i="61"/>
  <c r="A36" i="61"/>
  <c r="V35" i="61"/>
  <c r="U35" i="61"/>
  <c r="T35" i="61"/>
  <c r="S35" i="61"/>
  <c r="R35" i="61"/>
  <c r="Q35" i="61"/>
  <c r="P35" i="61"/>
  <c r="O35" i="61"/>
  <c r="A35" i="61"/>
  <c r="V34" i="61"/>
  <c r="U34" i="61"/>
  <c r="T34" i="61"/>
  <c r="S34" i="61"/>
  <c r="R34" i="61"/>
  <c r="Q34" i="61"/>
  <c r="P34" i="61"/>
  <c r="O34" i="61"/>
  <c r="L34" i="61"/>
  <c r="K34" i="61"/>
  <c r="J34" i="61"/>
  <c r="I34" i="61"/>
  <c r="H34" i="61"/>
  <c r="G34" i="61"/>
  <c r="F34" i="61"/>
  <c r="E34" i="61"/>
  <c r="D34" i="61"/>
  <c r="C34" i="61"/>
  <c r="A34" i="61"/>
  <c r="V33" i="61"/>
  <c r="U33" i="61"/>
  <c r="T33" i="61"/>
  <c r="S33" i="61"/>
  <c r="R33" i="61"/>
  <c r="Q33" i="61"/>
  <c r="P33" i="61"/>
  <c r="O33" i="61"/>
  <c r="L33" i="61"/>
  <c r="K33" i="61"/>
  <c r="J33" i="61"/>
  <c r="I33" i="61"/>
  <c r="H33" i="61"/>
  <c r="G33" i="61"/>
  <c r="F33" i="61"/>
  <c r="E33" i="61"/>
  <c r="T32" i="61"/>
  <c r="S32" i="61"/>
  <c r="V31" i="61"/>
  <c r="U31" i="61"/>
  <c r="T31" i="61"/>
  <c r="S31" i="61"/>
  <c r="R31" i="61"/>
  <c r="Q31" i="61"/>
  <c r="P31" i="61"/>
  <c r="O31" i="61"/>
  <c r="N31" i="61"/>
  <c r="M31" i="61"/>
  <c r="J20" i="61"/>
  <c r="I20" i="61"/>
  <c r="H20" i="61"/>
  <c r="G20" i="61"/>
  <c r="J19" i="61"/>
  <c r="I19" i="61"/>
  <c r="H19" i="61"/>
  <c r="G19" i="61"/>
  <c r="J18" i="61"/>
  <c r="I18" i="61"/>
  <c r="H18" i="61"/>
  <c r="G18" i="61"/>
  <c r="J17" i="61"/>
  <c r="I17" i="61"/>
  <c r="H17" i="61"/>
  <c r="G17" i="61"/>
  <c r="J16" i="61"/>
  <c r="I16" i="61"/>
  <c r="H16" i="61"/>
  <c r="G16" i="61"/>
  <c r="J15" i="61"/>
  <c r="I15" i="61"/>
  <c r="H15" i="61"/>
  <c r="G15" i="61"/>
  <c r="J14" i="61"/>
  <c r="I14" i="61"/>
  <c r="H14" i="61"/>
  <c r="G14" i="61"/>
  <c r="J13" i="61"/>
  <c r="I13" i="61"/>
  <c r="H13" i="61"/>
  <c r="G13" i="61"/>
  <c r="J12" i="61"/>
  <c r="H12" i="61"/>
  <c r="G12" i="61"/>
  <c r="J11" i="61"/>
  <c r="H11" i="61"/>
  <c r="G11" i="61"/>
  <c r="E7" i="61"/>
  <c r="B7" i="61"/>
  <c r="I12" i="61" s="1"/>
  <c r="D33" i="61" s="1"/>
  <c r="J133" i="58"/>
  <c r="I133" i="58"/>
  <c r="H133" i="58"/>
  <c r="G133" i="58"/>
  <c r="F133" i="58"/>
  <c r="K132" i="58"/>
  <c r="G132" i="58"/>
  <c r="F132" i="58"/>
  <c r="K131" i="58"/>
  <c r="G131" i="58"/>
  <c r="F131" i="58"/>
  <c r="K130" i="58"/>
  <c r="G130" i="58"/>
  <c r="F130" i="58"/>
  <c r="K129" i="58"/>
  <c r="G129" i="58"/>
  <c r="F129" i="58"/>
  <c r="K128" i="58"/>
  <c r="G128" i="58"/>
  <c r="F128" i="58"/>
  <c r="K127" i="58"/>
  <c r="G127" i="58"/>
  <c r="F127" i="58"/>
  <c r="V103" i="58"/>
  <c r="U103" i="58"/>
  <c r="T103" i="58"/>
  <c r="S103" i="58"/>
  <c r="R103" i="58"/>
  <c r="Q103" i="58"/>
  <c r="P103" i="58"/>
  <c r="O103" i="58"/>
  <c r="D103" i="58"/>
  <c r="A103" i="58"/>
  <c r="V102" i="58"/>
  <c r="U102" i="58"/>
  <c r="T102" i="58"/>
  <c r="S102" i="58"/>
  <c r="R102" i="58"/>
  <c r="Q102" i="58"/>
  <c r="P102" i="58"/>
  <c r="O102" i="58"/>
  <c r="D102" i="58"/>
  <c r="A102" i="58"/>
  <c r="V101" i="58"/>
  <c r="U101" i="58"/>
  <c r="T101" i="58"/>
  <c r="S101" i="58"/>
  <c r="R101" i="58"/>
  <c r="Q101" i="58"/>
  <c r="P101" i="58"/>
  <c r="O101" i="58"/>
  <c r="A101" i="58"/>
  <c r="V100" i="58"/>
  <c r="U100" i="58"/>
  <c r="T100" i="58"/>
  <c r="S100" i="58"/>
  <c r="R100" i="58"/>
  <c r="Q100" i="58"/>
  <c r="P100" i="58"/>
  <c r="O100" i="58"/>
  <c r="A100" i="58"/>
  <c r="V99" i="58"/>
  <c r="U99" i="58"/>
  <c r="T99" i="58"/>
  <c r="S99" i="58"/>
  <c r="R99" i="58"/>
  <c r="Q99" i="58"/>
  <c r="P99" i="58"/>
  <c r="O99" i="58"/>
  <c r="A99" i="58"/>
  <c r="V98" i="58"/>
  <c r="U98" i="58"/>
  <c r="T98" i="58"/>
  <c r="S98" i="58"/>
  <c r="R98" i="58"/>
  <c r="Q98" i="58"/>
  <c r="P98" i="58"/>
  <c r="O98" i="58"/>
  <c r="A98" i="58"/>
  <c r="V97" i="58"/>
  <c r="U97" i="58"/>
  <c r="T97" i="58"/>
  <c r="S97" i="58"/>
  <c r="R97" i="58"/>
  <c r="Q97" i="58"/>
  <c r="P97" i="58"/>
  <c r="O97" i="58"/>
  <c r="A97" i="58"/>
  <c r="V96" i="58"/>
  <c r="U96" i="58"/>
  <c r="T96" i="58"/>
  <c r="S96" i="58"/>
  <c r="R96" i="58"/>
  <c r="Q96" i="58"/>
  <c r="P96" i="58"/>
  <c r="O96" i="58"/>
  <c r="A96" i="58"/>
  <c r="V95" i="58"/>
  <c r="U95" i="58"/>
  <c r="T95" i="58"/>
  <c r="S95" i="58"/>
  <c r="R95" i="58"/>
  <c r="Q95" i="58"/>
  <c r="P95" i="58"/>
  <c r="O95" i="58"/>
  <c r="A95" i="58"/>
  <c r="V94" i="58"/>
  <c r="U94" i="58"/>
  <c r="T94" i="58"/>
  <c r="S94" i="58"/>
  <c r="R94" i="58"/>
  <c r="Q94" i="58"/>
  <c r="P94" i="58"/>
  <c r="O94" i="58"/>
  <c r="A94" i="58"/>
  <c r="V93" i="58"/>
  <c r="U93" i="58"/>
  <c r="T93" i="58"/>
  <c r="S93" i="58"/>
  <c r="R93" i="58"/>
  <c r="Q93" i="58"/>
  <c r="P93" i="58"/>
  <c r="O93" i="58"/>
  <c r="A93" i="58"/>
  <c r="V92" i="58"/>
  <c r="U92" i="58"/>
  <c r="T92" i="58"/>
  <c r="S92" i="58"/>
  <c r="R92" i="58"/>
  <c r="Q92" i="58"/>
  <c r="P92" i="58"/>
  <c r="O92" i="58"/>
  <c r="A92" i="58"/>
  <c r="V91" i="58"/>
  <c r="U91" i="58"/>
  <c r="T91" i="58"/>
  <c r="S91" i="58"/>
  <c r="R91" i="58"/>
  <c r="Q91" i="58"/>
  <c r="P91" i="58"/>
  <c r="O91" i="58"/>
  <c r="A91" i="58"/>
  <c r="V90" i="58"/>
  <c r="U90" i="58"/>
  <c r="T90" i="58"/>
  <c r="S90" i="58"/>
  <c r="R90" i="58"/>
  <c r="Q90" i="58"/>
  <c r="P90" i="58"/>
  <c r="O90" i="58"/>
  <c r="A90" i="58"/>
  <c r="V89" i="58"/>
  <c r="U89" i="58"/>
  <c r="T89" i="58"/>
  <c r="S89" i="58"/>
  <c r="R89" i="58"/>
  <c r="Q89" i="58"/>
  <c r="P89" i="58"/>
  <c r="O89" i="58"/>
  <c r="A89" i="58"/>
  <c r="V88" i="58"/>
  <c r="U88" i="58"/>
  <c r="T88" i="58"/>
  <c r="S88" i="58"/>
  <c r="R88" i="58"/>
  <c r="Q88" i="58"/>
  <c r="P88" i="58"/>
  <c r="O88" i="58"/>
  <c r="A88" i="58"/>
  <c r="V87" i="58"/>
  <c r="U87" i="58"/>
  <c r="T87" i="58"/>
  <c r="S87" i="58"/>
  <c r="R87" i="58"/>
  <c r="Q87" i="58"/>
  <c r="P87" i="58"/>
  <c r="O87" i="58"/>
  <c r="A87" i="58"/>
  <c r="V86" i="58"/>
  <c r="U86" i="58"/>
  <c r="T86" i="58"/>
  <c r="S86" i="58"/>
  <c r="R86" i="58"/>
  <c r="Q86" i="58"/>
  <c r="P86" i="58"/>
  <c r="O86" i="58"/>
  <c r="A86" i="58"/>
  <c r="V85" i="58"/>
  <c r="U85" i="58"/>
  <c r="T85" i="58"/>
  <c r="S85" i="58"/>
  <c r="R85" i="58"/>
  <c r="Q85" i="58"/>
  <c r="P85" i="58"/>
  <c r="O85" i="58"/>
  <c r="A85" i="58"/>
  <c r="V84" i="58"/>
  <c r="U84" i="58"/>
  <c r="T84" i="58"/>
  <c r="S84" i="58"/>
  <c r="R84" i="58"/>
  <c r="Q84" i="58"/>
  <c r="P84" i="58"/>
  <c r="O84" i="58"/>
  <c r="A84" i="58"/>
  <c r="V83" i="58"/>
  <c r="U83" i="58"/>
  <c r="T83" i="58"/>
  <c r="S83" i="58"/>
  <c r="R83" i="58"/>
  <c r="Q83" i="58"/>
  <c r="P83" i="58"/>
  <c r="O83" i="58"/>
  <c r="A83" i="58"/>
  <c r="V82" i="58"/>
  <c r="U82" i="58"/>
  <c r="T82" i="58"/>
  <c r="S82" i="58"/>
  <c r="R82" i="58"/>
  <c r="Q82" i="58"/>
  <c r="P82" i="58"/>
  <c r="O82" i="58"/>
  <c r="L82" i="58"/>
  <c r="K82" i="58"/>
  <c r="J82" i="58"/>
  <c r="I82" i="58"/>
  <c r="H82" i="58"/>
  <c r="G82" i="58"/>
  <c r="F82" i="58"/>
  <c r="A82" i="58"/>
  <c r="V81" i="58"/>
  <c r="U81" i="58"/>
  <c r="T81" i="58"/>
  <c r="S81" i="58"/>
  <c r="R81" i="58"/>
  <c r="Q81" i="58"/>
  <c r="P81" i="58"/>
  <c r="O81" i="58"/>
  <c r="A81" i="58"/>
  <c r="V80" i="58"/>
  <c r="U80" i="58"/>
  <c r="T80" i="58"/>
  <c r="S80" i="58"/>
  <c r="R80" i="58"/>
  <c r="Q80" i="58"/>
  <c r="P80" i="58"/>
  <c r="O80" i="58"/>
  <c r="D80" i="58"/>
  <c r="A80" i="58"/>
  <c r="V79" i="58"/>
  <c r="U79" i="58"/>
  <c r="T79" i="58"/>
  <c r="S79" i="58"/>
  <c r="R79" i="58"/>
  <c r="Q79" i="58"/>
  <c r="P79" i="58"/>
  <c r="O79" i="58"/>
  <c r="D79" i="58"/>
  <c r="A79" i="58"/>
  <c r="V78" i="58"/>
  <c r="U78" i="58"/>
  <c r="T78" i="58"/>
  <c r="S78" i="58"/>
  <c r="R78" i="58"/>
  <c r="Q78" i="58"/>
  <c r="P78" i="58"/>
  <c r="O78" i="58"/>
  <c r="A78" i="58"/>
  <c r="V77" i="58"/>
  <c r="U77" i="58"/>
  <c r="T77" i="58"/>
  <c r="S77" i="58"/>
  <c r="R77" i="58"/>
  <c r="Q77" i="58"/>
  <c r="P77" i="58"/>
  <c r="O77" i="58"/>
  <c r="D77" i="58"/>
  <c r="A77" i="58"/>
  <c r="V76" i="58"/>
  <c r="U76" i="58"/>
  <c r="T76" i="58"/>
  <c r="S76" i="58"/>
  <c r="R76" i="58"/>
  <c r="Q76" i="58"/>
  <c r="P76" i="58"/>
  <c r="O76" i="58"/>
  <c r="D76" i="58"/>
  <c r="A76" i="58"/>
  <c r="V75" i="58"/>
  <c r="U75" i="58"/>
  <c r="T75" i="58"/>
  <c r="S75" i="58"/>
  <c r="R75" i="58"/>
  <c r="Q75" i="58"/>
  <c r="P75" i="58"/>
  <c r="O75" i="58"/>
  <c r="A75" i="58"/>
  <c r="V74" i="58"/>
  <c r="U74" i="58"/>
  <c r="T74" i="58"/>
  <c r="S74" i="58"/>
  <c r="R74" i="58"/>
  <c r="Q74" i="58"/>
  <c r="P74" i="58"/>
  <c r="O74" i="58"/>
  <c r="A74" i="58"/>
  <c r="V73" i="58"/>
  <c r="U73" i="58"/>
  <c r="T73" i="58"/>
  <c r="S73" i="58"/>
  <c r="R73" i="58"/>
  <c r="Q73" i="58"/>
  <c r="P73" i="58"/>
  <c r="O73" i="58"/>
  <c r="D73" i="58"/>
  <c r="A73" i="58"/>
  <c r="V72" i="58"/>
  <c r="U72" i="58"/>
  <c r="T72" i="58"/>
  <c r="S72" i="58"/>
  <c r="R72" i="58"/>
  <c r="Q72" i="58"/>
  <c r="P72" i="58"/>
  <c r="O72" i="58"/>
  <c r="D72" i="58"/>
  <c r="A72" i="58"/>
  <c r="V71" i="58"/>
  <c r="U71" i="58"/>
  <c r="T71" i="58"/>
  <c r="S71" i="58"/>
  <c r="R71" i="58"/>
  <c r="Q71" i="58"/>
  <c r="P71" i="58"/>
  <c r="O71" i="58"/>
  <c r="L71" i="58"/>
  <c r="K71" i="58"/>
  <c r="J71" i="58"/>
  <c r="I71" i="58"/>
  <c r="H71" i="58"/>
  <c r="G71" i="58"/>
  <c r="F71" i="58"/>
  <c r="E71" i="58"/>
  <c r="D71" i="58"/>
  <c r="C71" i="58"/>
  <c r="A71" i="58"/>
  <c r="V70" i="58"/>
  <c r="U70" i="58"/>
  <c r="T70" i="58"/>
  <c r="S70" i="58"/>
  <c r="R70" i="58"/>
  <c r="Q70" i="58"/>
  <c r="P70" i="58"/>
  <c r="O70" i="58"/>
  <c r="A70" i="58"/>
  <c r="L69" i="58"/>
  <c r="K69" i="58"/>
  <c r="J69" i="58"/>
  <c r="I69" i="58"/>
  <c r="H69" i="58"/>
  <c r="G69" i="58"/>
  <c r="F69" i="58"/>
  <c r="E69" i="58"/>
  <c r="D69" i="58"/>
  <c r="C69" i="58"/>
  <c r="A69" i="58"/>
  <c r="V68" i="58"/>
  <c r="U68" i="58"/>
  <c r="T68" i="58"/>
  <c r="S68" i="58"/>
  <c r="R68" i="58"/>
  <c r="Q68" i="58"/>
  <c r="P68" i="58"/>
  <c r="O68" i="58"/>
  <c r="D68" i="58"/>
  <c r="C68" i="58"/>
  <c r="A68" i="58"/>
  <c r="V67" i="58"/>
  <c r="U67" i="58"/>
  <c r="T67" i="58"/>
  <c r="S67" i="58"/>
  <c r="R67" i="58"/>
  <c r="Q67" i="58"/>
  <c r="P67" i="58"/>
  <c r="O67" i="58"/>
  <c r="A67" i="58"/>
  <c r="V66" i="58"/>
  <c r="U66" i="58"/>
  <c r="T66" i="58"/>
  <c r="S66" i="58"/>
  <c r="R66" i="58"/>
  <c r="Q66" i="58"/>
  <c r="P66" i="58"/>
  <c r="O66" i="58"/>
  <c r="A66" i="58"/>
  <c r="D65" i="58"/>
  <c r="C65" i="58"/>
  <c r="A65" i="58"/>
  <c r="V64" i="58"/>
  <c r="U64" i="58"/>
  <c r="T64" i="58"/>
  <c r="S64" i="58"/>
  <c r="R64" i="58"/>
  <c r="Q64" i="58"/>
  <c r="P64" i="58"/>
  <c r="O64" i="58"/>
  <c r="D64" i="58"/>
  <c r="C64" i="58"/>
  <c r="A64" i="58"/>
  <c r="V63" i="58"/>
  <c r="U63" i="58"/>
  <c r="T63" i="58"/>
  <c r="S63" i="58"/>
  <c r="R63" i="58"/>
  <c r="Q63" i="58"/>
  <c r="P63" i="58"/>
  <c r="O63" i="58"/>
  <c r="A63" i="58"/>
  <c r="V62" i="58"/>
  <c r="U62" i="58"/>
  <c r="T62" i="58"/>
  <c r="S62" i="58"/>
  <c r="R62" i="58"/>
  <c r="Q62" i="58"/>
  <c r="P62" i="58"/>
  <c r="O62" i="58"/>
  <c r="A62" i="58"/>
  <c r="V61" i="58"/>
  <c r="U61" i="58"/>
  <c r="T61" i="58"/>
  <c r="S61" i="58"/>
  <c r="R61" i="58"/>
  <c r="Q61" i="58"/>
  <c r="P61" i="58"/>
  <c r="O61" i="58"/>
  <c r="A61" i="58"/>
  <c r="V60" i="58"/>
  <c r="U60" i="58"/>
  <c r="T60" i="58"/>
  <c r="S60" i="58"/>
  <c r="R60" i="58"/>
  <c r="Q60" i="58"/>
  <c r="P60" i="58"/>
  <c r="O60" i="58"/>
  <c r="A60" i="58"/>
  <c r="V59" i="58"/>
  <c r="U59" i="58"/>
  <c r="T59" i="58"/>
  <c r="S59" i="58"/>
  <c r="R59" i="58"/>
  <c r="Q59" i="58"/>
  <c r="P59" i="58"/>
  <c r="O59" i="58"/>
  <c r="A59" i="58"/>
  <c r="V58" i="58"/>
  <c r="U58" i="58"/>
  <c r="T58" i="58"/>
  <c r="S58" i="58"/>
  <c r="R58" i="58"/>
  <c r="Q58" i="58"/>
  <c r="P58" i="58"/>
  <c r="O58" i="58"/>
  <c r="C58" i="58"/>
  <c r="D58" i="58" s="1"/>
  <c r="A58" i="58"/>
  <c r="V57" i="58"/>
  <c r="U57" i="58"/>
  <c r="T57" i="58"/>
  <c r="S57" i="58"/>
  <c r="R57" i="58"/>
  <c r="Q57" i="58"/>
  <c r="P57" i="58"/>
  <c r="O57" i="58"/>
  <c r="D57" i="58"/>
  <c r="C57" i="58"/>
  <c r="A57" i="58"/>
  <c r="V56" i="58"/>
  <c r="U56" i="58"/>
  <c r="T56" i="58"/>
  <c r="S56" i="58"/>
  <c r="R56" i="58"/>
  <c r="Q56" i="58"/>
  <c r="P56" i="58"/>
  <c r="O56" i="58"/>
  <c r="A56" i="58"/>
  <c r="V55" i="58"/>
  <c r="U55" i="58"/>
  <c r="T55" i="58"/>
  <c r="S55" i="58"/>
  <c r="R55" i="58"/>
  <c r="Q55" i="58"/>
  <c r="P55" i="58"/>
  <c r="O55" i="58"/>
  <c r="A55" i="58"/>
  <c r="V54" i="58"/>
  <c r="U54" i="58"/>
  <c r="T54" i="58"/>
  <c r="S54" i="58"/>
  <c r="R54" i="58"/>
  <c r="Q54" i="58"/>
  <c r="P54" i="58"/>
  <c r="O54" i="58"/>
  <c r="A54" i="58"/>
  <c r="V53" i="58"/>
  <c r="U53" i="58"/>
  <c r="T53" i="58"/>
  <c r="S53" i="58"/>
  <c r="R53" i="58"/>
  <c r="Q53" i="58"/>
  <c r="P53" i="58"/>
  <c r="O53" i="58"/>
  <c r="L53" i="58"/>
  <c r="K53" i="58"/>
  <c r="J53" i="58"/>
  <c r="I53" i="58"/>
  <c r="H53" i="58"/>
  <c r="G53" i="58"/>
  <c r="F53" i="58"/>
  <c r="E53" i="58"/>
  <c r="D53" i="58"/>
  <c r="C53" i="58"/>
  <c r="A53" i="58"/>
  <c r="V52" i="58"/>
  <c r="U52" i="58"/>
  <c r="T52" i="58"/>
  <c r="S52" i="58"/>
  <c r="R52" i="58"/>
  <c r="Q52" i="58"/>
  <c r="P52" i="58"/>
  <c r="O52" i="58"/>
  <c r="L52" i="58"/>
  <c r="K52" i="58"/>
  <c r="J52" i="58"/>
  <c r="I52" i="58"/>
  <c r="H52" i="58"/>
  <c r="G52" i="58"/>
  <c r="F52" i="58"/>
  <c r="E52" i="58"/>
  <c r="D52" i="58"/>
  <c r="C52" i="58"/>
  <c r="A52" i="58"/>
  <c r="V51" i="58"/>
  <c r="U51" i="58"/>
  <c r="T51" i="58"/>
  <c r="S51" i="58"/>
  <c r="R51" i="58"/>
  <c r="Q51" i="58"/>
  <c r="P51" i="58"/>
  <c r="O51" i="58"/>
  <c r="A51" i="58"/>
  <c r="V50" i="58"/>
  <c r="U50" i="58"/>
  <c r="T50" i="58"/>
  <c r="S50" i="58"/>
  <c r="R50" i="58"/>
  <c r="Q50" i="58"/>
  <c r="P50" i="58"/>
  <c r="O50" i="58"/>
  <c r="A50" i="58"/>
  <c r="V49" i="58"/>
  <c r="U49" i="58"/>
  <c r="T49" i="58"/>
  <c r="S49" i="58"/>
  <c r="R49" i="58"/>
  <c r="Q49" i="58"/>
  <c r="P49" i="58"/>
  <c r="O49" i="58"/>
  <c r="A49" i="58"/>
  <c r="V48" i="58"/>
  <c r="U48" i="58"/>
  <c r="T48" i="58"/>
  <c r="S48" i="58"/>
  <c r="R48" i="58"/>
  <c r="Q48" i="58"/>
  <c r="P48" i="58"/>
  <c r="O48" i="58"/>
  <c r="A48" i="58"/>
  <c r="V47" i="58"/>
  <c r="U47" i="58"/>
  <c r="T47" i="58"/>
  <c r="S47" i="58"/>
  <c r="R47" i="58"/>
  <c r="Q47" i="58"/>
  <c r="P47" i="58"/>
  <c r="O47" i="58"/>
  <c r="A47" i="58"/>
  <c r="V46" i="58"/>
  <c r="U46" i="58"/>
  <c r="T46" i="58"/>
  <c r="S46" i="58"/>
  <c r="R46" i="58"/>
  <c r="Q46" i="58"/>
  <c r="P46" i="58"/>
  <c r="O46" i="58"/>
  <c r="A46" i="58"/>
  <c r="V45" i="58"/>
  <c r="U45" i="58"/>
  <c r="T45" i="58"/>
  <c r="S45" i="58"/>
  <c r="R45" i="58"/>
  <c r="Q45" i="58"/>
  <c r="P45" i="58"/>
  <c r="O45" i="58"/>
  <c r="A45" i="58"/>
  <c r="V44" i="58"/>
  <c r="U44" i="58"/>
  <c r="T44" i="58"/>
  <c r="S44" i="58"/>
  <c r="R44" i="58"/>
  <c r="Q44" i="58"/>
  <c r="P44" i="58"/>
  <c r="O44" i="58"/>
  <c r="A44" i="58"/>
  <c r="V43" i="58"/>
  <c r="U43" i="58"/>
  <c r="T43" i="58"/>
  <c r="S43" i="58"/>
  <c r="R43" i="58"/>
  <c r="Q43" i="58"/>
  <c r="P43" i="58"/>
  <c r="O43" i="58"/>
  <c r="L43" i="58"/>
  <c r="K43" i="58"/>
  <c r="J43" i="58"/>
  <c r="I43" i="58"/>
  <c r="H43" i="58"/>
  <c r="G43" i="58"/>
  <c r="F43" i="58"/>
  <c r="E43" i="58"/>
  <c r="D43" i="58"/>
  <c r="C43" i="58"/>
  <c r="A43" i="58"/>
  <c r="V42" i="58"/>
  <c r="U42" i="58"/>
  <c r="T42" i="58"/>
  <c r="S42" i="58"/>
  <c r="R42" i="58"/>
  <c r="Q42" i="58"/>
  <c r="P42" i="58"/>
  <c r="O42" i="58"/>
  <c r="L42" i="58"/>
  <c r="K42" i="58"/>
  <c r="J42" i="58"/>
  <c r="I42" i="58"/>
  <c r="H42" i="58"/>
  <c r="G42" i="58"/>
  <c r="F42" i="58"/>
  <c r="E42" i="58"/>
  <c r="D42" i="58"/>
  <c r="C42" i="58"/>
  <c r="A42" i="58"/>
  <c r="V41" i="58"/>
  <c r="U41" i="58"/>
  <c r="T41" i="58"/>
  <c r="S41" i="58"/>
  <c r="R41" i="58"/>
  <c r="Q41" i="58"/>
  <c r="P41" i="58"/>
  <c r="O41" i="58"/>
  <c r="L41" i="58"/>
  <c r="K41" i="58"/>
  <c r="J41" i="58"/>
  <c r="I41" i="58"/>
  <c r="H41" i="58"/>
  <c r="G41" i="58"/>
  <c r="F41" i="58"/>
  <c r="E41" i="58"/>
  <c r="D41" i="58"/>
  <c r="C41" i="58"/>
  <c r="A41" i="58"/>
  <c r="V40" i="58"/>
  <c r="U40" i="58"/>
  <c r="T40" i="58"/>
  <c r="S40" i="58"/>
  <c r="R40" i="58"/>
  <c r="Q40" i="58"/>
  <c r="P40" i="58"/>
  <c r="O40" i="58"/>
  <c r="A40" i="58"/>
  <c r="V39" i="58"/>
  <c r="U39" i="58"/>
  <c r="T39" i="58"/>
  <c r="S39" i="58"/>
  <c r="R39" i="58"/>
  <c r="Q39" i="58"/>
  <c r="P39" i="58"/>
  <c r="O39" i="58"/>
  <c r="L39" i="58"/>
  <c r="K39" i="58"/>
  <c r="J39" i="58"/>
  <c r="I39" i="58"/>
  <c r="H39" i="58"/>
  <c r="G39" i="58"/>
  <c r="F39" i="58"/>
  <c r="E39" i="58"/>
  <c r="D39" i="58"/>
  <c r="C39" i="58"/>
  <c r="A39" i="58"/>
  <c r="V38" i="58"/>
  <c r="U38" i="58"/>
  <c r="T38" i="58"/>
  <c r="S38" i="58"/>
  <c r="R38" i="58"/>
  <c r="Q38" i="58"/>
  <c r="P38" i="58"/>
  <c r="O38" i="58"/>
  <c r="A38" i="58"/>
  <c r="V37" i="58"/>
  <c r="U37" i="58"/>
  <c r="T37" i="58"/>
  <c r="S37" i="58"/>
  <c r="R37" i="58"/>
  <c r="Q37" i="58"/>
  <c r="P37" i="58"/>
  <c r="O37" i="58"/>
  <c r="L37" i="58"/>
  <c r="K37" i="58"/>
  <c r="J37" i="58"/>
  <c r="I37" i="58"/>
  <c r="H37" i="58"/>
  <c r="G37" i="58"/>
  <c r="F37" i="58"/>
  <c r="E37" i="58"/>
  <c r="D37" i="58"/>
  <c r="C37" i="58"/>
  <c r="A37" i="58"/>
  <c r="V36" i="58"/>
  <c r="U36" i="58"/>
  <c r="T36" i="58"/>
  <c r="S36" i="58"/>
  <c r="R36" i="58"/>
  <c r="Q36" i="58"/>
  <c r="P36" i="58"/>
  <c r="O36" i="58"/>
  <c r="D36" i="58"/>
  <c r="C36" i="58"/>
  <c r="A36" i="58"/>
  <c r="V35" i="58"/>
  <c r="U35" i="58"/>
  <c r="T35" i="58"/>
  <c r="S35" i="58"/>
  <c r="R35" i="58"/>
  <c r="Q35" i="58"/>
  <c r="P35" i="58"/>
  <c r="O35" i="58"/>
  <c r="A35" i="58"/>
  <c r="V34" i="58"/>
  <c r="U34" i="58"/>
  <c r="T34" i="58"/>
  <c r="S34" i="58"/>
  <c r="R34" i="58"/>
  <c r="Q34" i="58"/>
  <c r="P34" i="58"/>
  <c r="O34" i="58"/>
  <c r="L34" i="58"/>
  <c r="K34" i="58"/>
  <c r="J34" i="58"/>
  <c r="I34" i="58"/>
  <c r="H34" i="58"/>
  <c r="G34" i="58"/>
  <c r="F34" i="58"/>
  <c r="E34" i="58"/>
  <c r="D34" i="58"/>
  <c r="C34" i="58"/>
  <c r="A34" i="58"/>
  <c r="V33" i="58"/>
  <c r="U33" i="58"/>
  <c r="T33" i="58"/>
  <c r="S33" i="58"/>
  <c r="R33" i="58"/>
  <c r="Q33" i="58"/>
  <c r="P33" i="58"/>
  <c r="O33" i="58"/>
  <c r="L33" i="58"/>
  <c r="K33" i="58"/>
  <c r="J33" i="58"/>
  <c r="I33" i="58"/>
  <c r="H33" i="58"/>
  <c r="G33" i="58"/>
  <c r="F33" i="58"/>
  <c r="E33" i="58"/>
  <c r="T32" i="58"/>
  <c r="S32" i="58"/>
  <c r="V31" i="58"/>
  <c r="U31" i="58"/>
  <c r="T31" i="58"/>
  <c r="S31" i="58"/>
  <c r="R31" i="58"/>
  <c r="Q31" i="58"/>
  <c r="P31" i="58"/>
  <c r="O31" i="58"/>
  <c r="N31" i="58"/>
  <c r="M31" i="58"/>
  <c r="J20" i="58"/>
  <c r="I20" i="58"/>
  <c r="H20" i="58"/>
  <c r="G20" i="58"/>
  <c r="J19" i="58"/>
  <c r="I19" i="58"/>
  <c r="H19" i="58"/>
  <c r="G19" i="58"/>
  <c r="J18" i="58"/>
  <c r="I18" i="58"/>
  <c r="H18" i="58"/>
  <c r="G18" i="58"/>
  <c r="J17" i="58"/>
  <c r="I17" i="58"/>
  <c r="H17" i="58"/>
  <c r="G17" i="58"/>
  <c r="J16" i="58"/>
  <c r="I16" i="58"/>
  <c r="H16" i="58"/>
  <c r="G16" i="58"/>
  <c r="J15" i="58"/>
  <c r="I15" i="58"/>
  <c r="H15" i="58"/>
  <c r="G15" i="58"/>
  <c r="J14" i="58"/>
  <c r="I14" i="58"/>
  <c r="H14" i="58"/>
  <c r="G14" i="58"/>
  <c r="J13" i="58"/>
  <c r="I13" i="58"/>
  <c r="H13" i="58"/>
  <c r="G13" i="58"/>
  <c r="J12" i="58"/>
  <c r="H12" i="58"/>
  <c r="G12" i="58"/>
  <c r="J11" i="58"/>
  <c r="H11" i="58"/>
  <c r="G11" i="58"/>
  <c r="E7" i="58"/>
  <c r="B7" i="58"/>
  <c r="I11" i="58" s="1"/>
  <c r="C33" i="58" s="1"/>
  <c r="C35" i="58" s="1"/>
  <c r="J132" i="57"/>
  <c r="I132" i="57"/>
  <c r="H132" i="57"/>
  <c r="G132" i="57"/>
  <c r="F132" i="57"/>
  <c r="K131" i="57"/>
  <c r="J131" i="57"/>
  <c r="I131" i="57"/>
  <c r="G131" i="57"/>
  <c r="F131" i="57"/>
  <c r="K130" i="57"/>
  <c r="J130" i="57"/>
  <c r="I130" i="57"/>
  <c r="G130" i="57"/>
  <c r="F130" i="57"/>
  <c r="K129" i="57"/>
  <c r="J129" i="57"/>
  <c r="I129" i="57"/>
  <c r="G129" i="57"/>
  <c r="F129" i="57"/>
  <c r="K128" i="57"/>
  <c r="J128" i="57"/>
  <c r="I128" i="57"/>
  <c r="G128" i="57"/>
  <c r="F128" i="57"/>
  <c r="K127" i="57"/>
  <c r="J127" i="57"/>
  <c r="I127" i="57"/>
  <c r="G127" i="57"/>
  <c r="F127" i="57"/>
  <c r="K126" i="57"/>
  <c r="J126" i="57"/>
  <c r="I126" i="57"/>
  <c r="G126" i="57"/>
  <c r="F126" i="57"/>
  <c r="K125" i="57"/>
  <c r="J125" i="57"/>
  <c r="I125" i="57"/>
  <c r="G125" i="57"/>
  <c r="F125" i="57"/>
  <c r="K124" i="57"/>
  <c r="J124" i="57"/>
  <c r="I124" i="57"/>
  <c r="G124" i="57"/>
  <c r="F124" i="57"/>
  <c r="K123" i="57"/>
  <c r="J123" i="57"/>
  <c r="I123" i="57"/>
  <c r="G123" i="57"/>
  <c r="F123" i="57"/>
  <c r="K122" i="57"/>
  <c r="J122" i="57"/>
  <c r="I122" i="57"/>
  <c r="G122" i="57"/>
  <c r="F122" i="57"/>
  <c r="K121" i="57"/>
  <c r="J121" i="57"/>
  <c r="I121" i="57"/>
  <c r="G121" i="57"/>
  <c r="F121" i="57"/>
  <c r="K120" i="57"/>
  <c r="J120" i="57"/>
  <c r="I120" i="57"/>
  <c r="G120" i="57"/>
  <c r="F120" i="57"/>
  <c r="K119" i="57"/>
  <c r="J119" i="57"/>
  <c r="I119" i="57"/>
  <c r="G119" i="57"/>
  <c r="F119" i="57"/>
  <c r="K118" i="57"/>
  <c r="J118" i="57"/>
  <c r="I118" i="57"/>
  <c r="G118" i="57"/>
  <c r="F118" i="57"/>
  <c r="V103" i="57"/>
  <c r="U103" i="57"/>
  <c r="T103" i="57"/>
  <c r="S103" i="57"/>
  <c r="R103" i="57"/>
  <c r="Q103" i="57"/>
  <c r="P103" i="57"/>
  <c r="O103" i="57"/>
  <c r="N103" i="57"/>
  <c r="A103" i="57"/>
  <c r="V102" i="57"/>
  <c r="U102" i="57"/>
  <c r="T102" i="57"/>
  <c r="S102" i="57"/>
  <c r="R102" i="57"/>
  <c r="Q102" i="57"/>
  <c r="P102" i="57"/>
  <c r="O102" i="57"/>
  <c r="N102" i="57"/>
  <c r="A102" i="57"/>
  <c r="V101" i="57"/>
  <c r="U101" i="57"/>
  <c r="T101" i="57"/>
  <c r="S101" i="57"/>
  <c r="R101" i="57"/>
  <c r="Q101" i="57"/>
  <c r="P101" i="57"/>
  <c r="O101" i="57"/>
  <c r="N101" i="57"/>
  <c r="A101" i="57"/>
  <c r="V100" i="57"/>
  <c r="U100" i="57"/>
  <c r="T100" i="57"/>
  <c r="S100" i="57"/>
  <c r="R100" i="57"/>
  <c r="Q100" i="57"/>
  <c r="P100" i="57"/>
  <c r="O100" i="57"/>
  <c r="N100" i="57"/>
  <c r="A100" i="57"/>
  <c r="V99" i="57"/>
  <c r="U99" i="57"/>
  <c r="T99" i="57"/>
  <c r="S99" i="57"/>
  <c r="R99" i="57"/>
  <c r="Q99" i="57"/>
  <c r="P99" i="57"/>
  <c r="O99" i="57"/>
  <c r="N99" i="57"/>
  <c r="A99" i="57"/>
  <c r="V98" i="57"/>
  <c r="U98" i="57"/>
  <c r="T98" i="57"/>
  <c r="S98" i="57"/>
  <c r="R98" i="57"/>
  <c r="Q98" i="57"/>
  <c r="P98" i="57"/>
  <c r="O98" i="57"/>
  <c r="N98" i="57"/>
  <c r="A98" i="57"/>
  <c r="V97" i="57"/>
  <c r="U97" i="57"/>
  <c r="T97" i="57"/>
  <c r="S97" i="57"/>
  <c r="R97" i="57"/>
  <c r="Q97" i="57"/>
  <c r="P97" i="57"/>
  <c r="O97" i="57"/>
  <c r="N97" i="57"/>
  <c r="A97" i="57"/>
  <c r="V96" i="57"/>
  <c r="U96" i="57"/>
  <c r="T96" i="57"/>
  <c r="S96" i="57"/>
  <c r="R96" i="57"/>
  <c r="Q96" i="57"/>
  <c r="P96" i="57"/>
  <c r="O96" i="57"/>
  <c r="N96" i="57"/>
  <c r="A96" i="57"/>
  <c r="V95" i="57"/>
  <c r="U95" i="57"/>
  <c r="T95" i="57"/>
  <c r="S95" i="57"/>
  <c r="R95" i="57"/>
  <c r="Q95" i="57"/>
  <c r="P95" i="57"/>
  <c r="O95" i="57"/>
  <c r="N95" i="57"/>
  <c r="A95" i="57"/>
  <c r="V94" i="57"/>
  <c r="U94" i="57"/>
  <c r="T94" i="57"/>
  <c r="S94" i="57"/>
  <c r="R94" i="57"/>
  <c r="Q94" i="57"/>
  <c r="P94" i="57"/>
  <c r="O94" i="57"/>
  <c r="N94" i="57"/>
  <c r="A94" i="57"/>
  <c r="V93" i="57"/>
  <c r="U93" i="57"/>
  <c r="T93" i="57"/>
  <c r="S93" i="57"/>
  <c r="R93" i="57"/>
  <c r="Q93" i="57"/>
  <c r="P93" i="57"/>
  <c r="O93" i="57"/>
  <c r="N93" i="57"/>
  <c r="A93" i="57"/>
  <c r="V92" i="57"/>
  <c r="U92" i="57"/>
  <c r="T92" i="57"/>
  <c r="S92" i="57"/>
  <c r="R92" i="57"/>
  <c r="Q92" i="57"/>
  <c r="P92" i="57"/>
  <c r="O92" i="57"/>
  <c r="N92" i="57"/>
  <c r="A92" i="57"/>
  <c r="V91" i="57"/>
  <c r="U91" i="57"/>
  <c r="T91" i="57"/>
  <c r="S91" i="57"/>
  <c r="R91" i="57"/>
  <c r="Q91" i="57"/>
  <c r="P91" i="57"/>
  <c r="O91" i="57"/>
  <c r="N91" i="57"/>
  <c r="A91" i="57"/>
  <c r="V90" i="57"/>
  <c r="U90" i="57"/>
  <c r="T90" i="57"/>
  <c r="S90" i="57"/>
  <c r="R90" i="57"/>
  <c r="Q90" i="57"/>
  <c r="P90" i="57"/>
  <c r="O90" i="57"/>
  <c r="N90" i="57"/>
  <c r="A90" i="57"/>
  <c r="V89" i="57"/>
  <c r="U89" i="57"/>
  <c r="T89" i="57"/>
  <c r="S89" i="57"/>
  <c r="R89" i="57"/>
  <c r="Q89" i="57"/>
  <c r="P89" i="57"/>
  <c r="O89" i="57"/>
  <c r="N89" i="57"/>
  <c r="A89" i="57"/>
  <c r="V88" i="57"/>
  <c r="U88" i="57"/>
  <c r="T88" i="57"/>
  <c r="S88" i="57"/>
  <c r="R88" i="57"/>
  <c r="Q88" i="57"/>
  <c r="P88" i="57"/>
  <c r="O88" i="57"/>
  <c r="N88" i="57"/>
  <c r="A88" i="57"/>
  <c r="V87" i="57"/>
  <c r="U87" i="57"/>
  <c r="T87" i="57"/>
  <c r="S87" i="57"/>
  <c r="R87" i="57"/>
  <c r="Q87" i="57"/>
  <c r="P87" i="57"/>
  <c r="O87" i="57"/>
  <c r="N87" i="57"/>
  <c r="A87" i="57"/>
  <c r="V86" i="57"/>
  <c r="U86" i="57"/>
  <c r="T86" i="57"/>
  <c r="S86" i="57"/>
  <c r="R86" i="57"/>
  <c r="Q86" i="57"/>
  <c r="P86" i="57"/>
  <c r="O86" i="57"/>
  <c r="N86" i="57"/>
  <c r="A86" i="57"/>
  <c r="V85" i="57"/>
  <c r="U85" i="57"/>
  <c r="T85" i="57"/>
  <c r="S85" i="57"/>
  <c r="R85" i="57"/>
  <c r="Q85" i="57"/>
  <c r="P85" i="57"/>
  <c r="O85" i="57"/>
  <c r="N85" i="57"/>
  <c r="A85" i="57"/>
  <c r="V84" i="57"/>
  <c r="U84" i="57"/>
  <c r="T84" i="57"/>
  <c r="S84" i="57"/>
  <c r="R84" i="57"/>
  <c r="Q84" i="57"/>
  <c r="P84" i="57"/>
  <c r="O84" i="57"/>
  <c r="N84" i="57"/>
  <c r="A84" i="57"/>
  <c r="V83" i="57"/>
  <c r="U83" i="57"/>
  <c r="T83" i="57"/>
  <c r="S83" i="57"/>
  <c r="R83" i="57"/>
  <c r="Q83" i="57"/>
  <c r="P83" i="57"/>
  <c r="O83" i="57"/>
  <c r="N83" i="57"/>
  <c r="A83" i="57"/>
  <c r="V82" i="57"/>
  <c r="U82" i="57"/>
  <c r="T82" i="57"/>
  <c r="S82" i="57"/>
  <c r="R82" i="57"/>
  <c r="Q82" i="57"/>
  <c r="P82" i="57"/>
  <c r="O82" i="57"/>
  <c r="N82" i="57"/>
  <c r="L82" i="57"/>
  <c r="K82" i="57"/>
  <c r="J82" i="57"/>
  <c r="I82" i="57"/>
  <c r="H82" i="57"/>
  <c r="G82" i="57"/>
  <c r="F82" i="57"/>
  <c r="A82" i="57"/>
  <c r="V81" i="57"/>
  <c r="U81" i="57"/>
  <c r="T81" i="57"/>
  <c r="S81" i="57"/>
  <c r="R81" i="57"/>
  <c r="Q81" i="57"/>
  <c r="P81" i="57"/>
  <c r="O81" i="57"/>
  <c r="N81" i="57"/>
  <c r="A81" i="57"/>
  <c r="V80" i="57"/>
  <c r="U80" i="57"/>
  <c r="T80" i="57"/>
  <c r="S80" i="57"/>
  <c r="R80" i="57"/>
  <c r="Q80" i="57"/>
  <c r="P80" i="57"/>
  <c r="O80" i="57"/>
  <c r="N80" i="57"/>
  <c r="A80" i="57"/>
  <c r="V79" i="57"/>
  <c r="U79" i="57"/>
  <c r="T79" i="57"/>
  <c r="S79" i="57"/>
  <c r="R79" i="57"/>
  <c r="Q79" i="57"/>
  <c r="P79" i="57"/>
  <c r="O79" i="57"/>
  <c r="N79" i="57"/>
  <c r="A79" i="57"/>
  <c r="V78" i="57"/>
  <c r="U78" i="57"/>
  <c r="T78" i="57"/>
  <c r="S78" i="57"/>
  <c r="R78" i="57"/>
  <c r="Q78" i="57"/>
  <c r="P78" i="57"/>
  <c r="O78" i="57"/>
  <c r="N78" i="57"/>
  <c r="A78" i="57"/>
  <c r="V77" i="57"/>
  <c r="U77" i="57"/>
  <c r="T77" i="57"/>
  <c r="S77" i="57"/>
  <c r="R77" i="57"/>
  <c r="Q77" i="57"/>
  <c r="P77" i="57"/>
  <c r="O77" i="57"/>
  <c r="N77" i="57"/>
  <c r="A77" i="57"/>
  <c r="V76" i="57"/>
  <c r="U76" i="57"/>
  <c r="T76" i="57"/>
  <c r="S76" i="57"/>
  <c r="R76" i="57"/>
  <c r="Q76" i="57"/>
  <c r="P76" i="57"/>
  <c r="O76" i="57"/>
  <c r="N76" i="57"/>
  <c r="A76" i="57"/>
  <c r="V75" i="57"/>
  <c r="U75" i="57"/>
  <c r="T75" i="57"/>
  <c r="S75" i="57"/>
  <c r="R75" i="57"/>
  <c r="Q75" i="57"/>
  <c r="P75" i="57"/>
  <c r="O75" i="57"/>
  <c r="N75" i="57"/>
  <c r="A75" i="57"/>
  <c r="V74" i="57"/>
  <c r="U74" i="57"/>
  <c r="T74" i="57"/>
  <c r="S74" i="57"/>
  <c r="R74" i="57"/>
  <c r="Q74" i="57"/>
  <c r="P74" i="57"/>
  <c r="O74" i="57"/>
  <c r="N74" i="57"/>
  <c r="A74" i="57"/>
  <c r="V73" i="57"/>
  <c r="U73" i="57"/>
  <c r="T73" i="57"/>
  <c r="S73" i="57"/>
  <c r="R73" i="57"/>
  <c r="Q73" i="57"/>
  <c r="P73" i="57"/>
  <c r="O73" i="57"/>
  <c r="N73" i="57"/>
  <c r="A73" i="57"/>
  <c r="V72" i="57"/>
  <c r="U72" i="57"/>
  <c r="T72" i="57"/>
  <c r="S72" i="57"/>
  <c r="R72" i="57"/>
  <c r="Q72" i="57"/>
  <c r="P72" i="57"/>
  <c r="O72" i="57"/>
  <c r="N72" i="57"/>
  <c r="A72" i="57"/>
  <c r="V71" i="57"/>
  <c r="U71" i="57"/>
  <c r="T71" i="57"/>
  <c r="S71" i="57"/>
  <c r="R71" i="57"/>
  <c r="Q71" i="57"/>
  <c r="P71" i="57"/>
  <c r="O71" i="57"/>
  <c r="N71" i="57"/>
  <c r="L71" i="57"/>
  <c r="K71" i="57"/>
  <c r="J71" i="57"/>
  <c r="I71" i="57"/>
  <c r="H71" i="57"/>
  <c r="G71" i="57"/>
  <c r="F71" i="57"/>
  <c r="E71" i="57"/>
  <c r="D71" i="57"/>
  <c r="C71" i="57"/>
  <c r="A71" i="57"/>
  <c r="V70" i="57"/>
  <c r="U70" i="57"/>
  <c r="T70" i="57"/>
  <c r="S70" i="57"/>
  <c r="R70" i="57"/>
  <c r="Q70" i="57"/>
  <c r="P70" i="57"/>
  <c r="O70" i="57"/>
  <c r="N70" i="57"/>
  <c r="A70" i="57"/>
  <c r="V69" i="57"/>
  <c r="U69" i="57"/>
  <c r="T69" i="57"/>
  <c r="S69" i="57"/>
  <c r="R69" i="57"/>
  <c r="Q69" i="57"/>
  <c r="P69" i="57"/>
  <c r="O69" i="57"/>
  <c r="N69" i="57"/>
  <c r="L69" i="57"/>
  <c r="K69" i="57"/>
  <c r="J69" i="57"/>
  <c r="I69" i="57"/>
  <c r="H69" i="57"/>
  <c r="G69" i="57"/>
  <c r="F69" i="57"/>
  <c r="E69" i="57"/>
  <c r="D69" i="57"/>
  <c r="C69" i="57"/>
  <c r="A69" i="57"/>
  <c r="V68" i="57"/>
  <c r="U68" i="57"/>
  <c r="T68" i="57"/>
  <c r="S68" i="57"/>
  <c r="R68" i="57"/>
  <c r="Q68" i="57"/>
  <c r="P68" i="57"/>
  <c r="O68" i="57"/>
  <c r="N68" i="57"/>
  <c r="C68" i="57"/>
  <c r="A68" i="57"/>
  <c r="V67" i="57"/>
  <c r="U67" i="57"/>
  <c r="T67" i="57"/>
  <c r="S67" i="57"/>
  <c r="R67" i="57"/>
  <c r="Q67" i="57"/>
  <c r="P67" i="57"/>
  <c r="O67" i="57"/>
  <c r="N67" i="57"/>
  <c r="A67" i="57"/>
  <c r="V66" i="57"/>
  <c r="U66" i="57"/>
  <c r="T66" i="57"/>
  <c r="S66" i="57"/>
  <c r="R66" i="57"/>
  <c r="Q66" i="57"/>
  <c r="P66" i="57"/>
  <c r="O66" i="57"/>
  <c r="N66" i="57"/>
  <c r="A66" i="57"/>
  <c r="V65" i="57"/>
  <c r="U65" i="57"/>
  <c r="T65" i="57"/>
  <c r="S65" i="57"/>
  <c r="R65" i="57"/>
  <c r="Q65" i="57"/>
  <c r="P65" i="57"/>
  <c r="O65" i="57"/>
  <c r="N65" i="57"/>
  <c r="C65" i="57"/>
  <c r="A65" i="57"/>
  <c r="V64" i="57"/>
  <c r="U64" i="57"/>
  <c r="T64" i="57"/>
  <c r="S64" i="57"/>
  <c r="R64" i="57"/>
  <c r="Q64" i="57"/>
  <c r="P64" i="57"/>
  <c r="O64" i="57"/>
  <c r="N64" i="57"/>
  <c r="C64" i="57"/>
  <c r="A64" i="57"/>
  <c r="V63" i="57"/>
  <c r="U63" i="57"/>
  <c r="T63" i="57"/>
  <c r="S63" i="57"/>
  <c r="R63" i="57"/>
  <c r="Q63" i="57"/>
  <c r="P63" i="57"/>
  <c r="O63" i="57"/>
  <c r="N63" i="57"/>
  <c r="A63" i="57"/>
  <c r="V62" i="57"/>
  <c r="U62" i="57"/>
  <c r="T62" i="57"/>
  <c r="S62" i="57"/>
  <c r="R62" i="57"/>
  <c r="Q62" i="57"/>
  <c r="P62" i="57"/>
  <c r="O62" i="57"/>
  <c r="N62" i="57"/>
  <c r="A62" i="57"/>
  <c r="V61" i="57"/>
  <c r="U61" i="57"/>
  <c r="T61" i="57"/>
  <c r="S61" i="57"/>
  <c r="R61" i="57"/>
  <c r="Q61" i="57"/>
  <c r="P61" i="57"/>
  <c r="O61" i="57"/>
  <c r="N61" i="57"/>
  <c r="A61" i="57"/>
  <c r="V60" i="57"/>
  <c r="U60" i="57"/>
  <c r="T60" i="57"/>
  <c r="S60" i="57"/>
  <c r="R60" i="57"/>
  <c r="Q60" i="57"/>
  <c r="P60" i="57"/>
  <c r="O60" i="57"/>
  <c r="N60" i="57"/>
  <c r="A60" i="57"/>
  <c r="V59" i="57"/>
  <c r="U59" i="57"/>
  <c r="T59" i="57"/>
  <c r="S59" i="57"/>
  <c r="R59" i="57"/>
  <c r="Q59" i="57"/>
  <c r="P59" i="57"/>
  <c r="O59" i="57"/>
  <c r="N59" i="57"/>
  <c r="A59" i="57"/>
  <c r="V58" i="57"/>
  <c r="U58" i="57"/>
  <c r="T58" i="57"/>
  <c r="S58" i="57"/>
  <c r="R58" i="57"/>
  <c r="Q58" i="57"/>
  <c r="P58" i="57"/>
  <c r="O58" i="57"/>
  <c r="N58" i="57"/>
  <c r="C58" i="57"/>
  <c r="A58" i="57"/>
  <c r="V57" i="57"/>
  <c r="U57" i="57"/>
  <c r="T57" i="57"/>
  <c r="S57" i="57"/>
  <c r="R57" i="57"/>
  <c r="Q57" i="57"/>
  <c r="P57" i="57"/>
  <c r="O57" i="57"/>
  <c r="N57" i="57"/>
  <c r="C57" i="57"/>
  <c r="A57" i="57"/>
  <c r="V56" i="57"/>
  <c r="U56" i="57"/>
  <c r="T56" i="57"/>
  <c r="S56" i="57"/>
  <c r="R56" i="57"/>
  <c r="Q56" i="57"/>
  <c r="P56" i="57"/>
  <c r="O56" i="57"/>
  <c r="N56" i="57"/>
  <c r="A56" i="57"/>
  <c r="V55" i="57"/>
  <c r="U55" i="57"/>
  <c r="T55" i="57"/>
  <c r="S55" i="57"/>
  <c r="R55" i="57"/>
  <c r="Q55" i="57"/>
  <c r="P55" i="57"/>
  <c r="O55" i="57"/>
  <c r="N55" i="57"/>
  <c r="A55" i="57"/>
  <c r="V54" i="57"/>
  <c r="U54" i="57"/>
  <c r="T54" i="57"/>
  <c r="S54" i="57"/>
  <c r="R54" i="57"/>
  <c r="Q54" i="57"/>
  <c r="P54" i="57"/>
  <c r="O54" i="57"/>
  <c r="N54" i="57"/>
  <c r="A54" i="57"/>
  <c r="V53" i="57"/>
  <c r="U53" i="57"/>
  <c r="T53" i="57"/>
  <c r="S53" i="57"/>
  <c r="R53" i="57"/>
  <c r="Q53" i="57"/>
  <c r="P53" i="57"/>
  <c r="O53" i="57"/>
  <c r="N53" i="57"/>
  <c r="L53" i="57"/>
  <c r="K53" i="57"/>
  <c r="J53" i="57"/>
  <c r="I53" i="57"/>
  <c r="H53" i="57"/>
  <c r="G53" i="57"/>
  <c r="F53" i="57"/>
  <c r="E53" i="57"/>
  <c r="D53" i="57"/>
  <c r="C53" i="57"/>
  <c r="A53" i="57"/>
  <c r="V52" i="57"/>
  <c r="U52" i="57"/>
  <c r="T52" i="57"/>
  <c r="S52" i="57"/>
  <c r="R52" i="57"/>
  <c r="Q52" i="57"/>
  <c r="P52" i="57"/>
  <c r="O52" i="57"/>
  <c r="N52" i="57"/>
  <c r="L52" i="57"/>
  <c r="K52" i="57"/>
  <c r="J52" i="57"/>
  <c r="I52" i="57"/>
  <c r="H52" i="57"/>
  <c r="G52" i="57"/>
  <c r="F52" i="57"/>
  <c r="E52" i="57"/>
  <c r="D52" i="57"/>
  <c r="C52" i="57"/>
  <c r="A52" i="57"/>
  <c r="V51" i="57"/>
  <c r="U51" i="57"/>
  <c r="T51" i="57"/>
  <c r="S51" i="57"/>
  <c r="R51" i="57"/>
  <c r="Q51" i="57"/>
  <c r="P51" i="57"/>
  <c r="O51" i="57"/>
  <c r="N51" i="57"/>
  <c r="A51" i="57"/>
  <c r="V50" i="57"/>
  <c r="U50" i="57"/>
  <c r="T50" i="57"/>
  <c r="S50" i="57"/>
  <c r="R50" i="57"/>
  <c r="Q50" i="57"/>
  <c r="P50" i="57"/>
  <c r="O50" i="57"/>
  <c r="N50" i="57"/>
  <c r="A50" i="57"/>
  <c r="V49" i="57"/>
  <c r="U49" i="57"/>
  <c r="T49" i="57"/>
  <c r="S49" i="57"/>
  <c r="R49" i="57"/>
  <c r="Q49" i="57"/>
  <c r="P49" i="57"/>
  <c r="O49" i="57"/>
  <c r="N49" i="57"/>
  <c r="A49" i="57"/>
  <c r="V48" i="57"/>
  <c r="U48" i="57"/>
  <c r="T48" i="57"/>
  <c r="S48" i="57"/>
  <c r="R48" i="57"/>
  <c r="Q48" i="57"/>
  <c r="P48" i="57"/>
  <c r="O48" i="57"/>
  <c r="N48" i="57"/>
  <c r="A48" i="57"/>
  <c r="V47" i="57"/>
  <c r="U47" i="57"/>
  <c r="T47" i="57"/>
  <c r="S47" i="57"/>
  <c r="R47" i="57"/>
  <c r="Q47" i="57"/>
  <c r="P47" i="57"/>
  <c r="O47" i="57"/>
  <c r="N47" i="57"/>
  <c r="A47" i="57"/>
  <c r="V46" i="57"/>
  <c r="U46" i="57"/>
  <c r="T46" i="57"/>
  <c r="S46" i="57"/>
  <c r="R46" i="57"/>
  <c r="Q46" i="57"/>
  <c r="P46" i="57"/>
  <c r="O46" i="57"/>
  <c r="N46" i="57"/>
  <c r="A46" i="57"/>
  <c r="V45" i="57"/>
  <c r="U45" i="57"/>
  <c r="T45" i="57"/>
  <c r="S45" i="57"/>
  <c r="R45" i="57"/>
  <c r="Q45" i="57"/>
  <c r="P45" i="57"/>
  <c r="O45" i="57"/>
  <c r="N45" i="57"/>
  <c r="A45" i="57"/>
  <c r="V44" i="57"/>
  <c r="U44" i="57"/>
  <c r="T44" i="57"/>
  <c r="S44" i="57"/>
  <c r="R44" i="57"/>
  <c r="Q44" i="57"/>
  <c r="P44" i="57"/>
  <c r="O44" i="57"/>
  <c r="N44" i="57"/>
  <c r="A44" i="57"/>
  <c r="V43" i="57"/>
  <c r="U43" i="57"/>
  <c r="T43" i="57"/>
  <c r="S43" i="57"/>
  <c r="R43" i="57"/>
  <c r="Q43" i="57"/>
  <c r="P43" i="57"/>
  <c r="O43" i="57"/>
  <c r="N43" i="57"/>
  <c r="L43" i="57"/>
  <c r="K43" i="57"/>
  <c r="J43" i="57"/>
  <c r="I43" i="57"/>
  <c r="H43" i="57"/>
  <c r="G43" i="57"/>
  <c r="F43" i="57"/>
  <c r="E43" i="57"/>
  <c r="D43" i="57"/>
  <c r="C43" i="57"/>
  <c r="A43" i="57"/>
  <c r="V42" i="57"/>
  <c r="U42" i="57"/>
  <c r="T42" i="57"/>
  <c r="S42" i="57"/>
  <c r="R42" i="57"/>
  <c r="Q42" i="57"/>
  <c r="P42" i="57"/>
  <c r="O42" i="57"/>
  <c r="N42" i="57"/>
  <c r="L42" i="57"/>
  <c r="K42" i="57"/>
  <c r="J42" i="57"/>
  <c r="I42" i="57"/>
  <c r="H42" i="57"/>
  <c r="G42" i="57"/>
  <c r="F42" i="57"/>
  <c r="E42" i="57"/>
  <c r="D42" i="57"/>
  <c r="C42" i="57"/>
  <c r="A42" i="57"/>
  <c r="V41" i="57"/>
  <c r="U41" i="57"/>
  <c r="T41" i="57"/>
  <c r="S41" i="57"/>
  <c r="R41" i="57"/>
  <c r="Q41" i="57"/>
  <c r="P41" i="57"/>
  <c r="O41" i="57"/>
  <c r="N41" i="57"/>
  <c r="L41" i="57"/>
  <c r="K41" i="57"/>
  <c r="J41" i="57"/>
  <c r="I41" i="57"/>
  <c r="H41" i="57"/>
  <c r="G41" i="57"/>
  <c r="F41" i="57"/>
  <c r="E41" i="57"/>
  <c r="D41" i="57"/>
  <c r="C41" i="57"/>
  <c r="A41" i="57"/>
  <c r="V40" i="57"/>
  <c r="U40" i="57"/>
  <c r="T40" i="57"/>
  <c r="S40" i="57"/>
  <c r="R40" i="57"/>
  <c r="Q40" i="57"/>
  <c r="P40" i="57"/>
  <c r="O40" i="57"/>
  <c r="N40" i="57"/>
  <c r="A40" i="57"/>
  <c r="V39" i="57"/>
  <c r="U39" i="57"/>
  <c r="T39" i="57"/>
  <c r="S39" i="57"/>
  <c r="R39" i="57"/>
  <c r="Q39" i="57"/>
  <c r="P39" i="57"/>
  <c r="O39" i="57"/>
  <c r="N39" i="57"/>
  <c r="L39" i="57"/>
  <c r="K39" i="57"/>
  <c r="J39" i="57"/>
  <c r="I39" i="57"/>
  <c r="H39" i="57"/>
  <c r="G39" i="57"/>
  <c r="F39" i="57"/>
  <c r="E39" i="57"/>
  <c r="D39" i="57"/>
  <c r="C39" i="57"/>
  <c r="A39" i="57"/>
  <c r="V38" i="57"/>
  <c r="U38" i="57"/>
  <c r="T38" i="57"/>
  <c r="S38" i="57"/>
  <c r="R38" i="57"/>
  <c r="Q38" i="57"/>
  <c r="P38" i="57"/>
  <c r="O38" i="57"/>
  <c r="N38" i="57"/>
  <c r="A38" i="57"/>
  <c r="V37" i="57"/>
  <c r="U37" i="57"/>
  <c r="T37" i="57"/>
  <c r="S37" i="57"/>
  <c r="R37" i="57"/>
  <c r="Q37" i="57"/>
  <c r="P37" i="57"/>
  <c r="O37" i="57"/>
  <c r="N37" i="57"/>
  <c r="L37" i="57"/>
  <c r="K37" i="57"/>
  <c r="J37" i="57"/>
  <c r="I37" i="57"/>
  <c r="H37" i="57"/>
  <c r="G37" i="57"/>
  <c r="F37" i="57"/>
  <c r="E37" i="57"/>
  <c r="D37" i="57"/>
  <c r="C37" i="57"/>
  <c r="A37" i="57"/>
  <c r="V36" i="57"/>
  <c r="U36" i="57"/>
  <c r="T36" i="57"/>
  <c r="S36" i="57"/>
  <c r="R36" i="57"/>
  <c r="Q36" i="57"/>
  <c r="P36" i="57"/>
  <c r="O36" i="57"/>
  <c r="N36" i="57"/>
  <c r="A36" i="57"/>
  <c r="V35" i="57"/>
  <c r="U35" i="57"/>
  <c r="T35" i="57"/>
  <c r="S35" i="57"/>
  <c r="R35" i="57"/>
  <c r="Q35" i="57"/>
  <c r="P35" i="57"/>
  <c r="O35" i="57"/>
  <c r="N35" i="57"/>
  <c r="A35" i="57"/>
  <c r="V34" i="57"/>
  <c r="U34" i="57"/>
  <c r="T34" i="57"/>
  <c r="S34" i="57"/>
  <c r="R34" i="57"/>
  <c r="Q34" i="57"/>
  <c r="P34" i="57"/>
  <c r="O34" i="57"/>
  <c r="N34" i="57"/>
  <c r="L34" i="57"/>
  <c r="K34" i="57"/>
  <c r="J34" i="57"/>
  <c r="I34" i="57"/>
  <c r="H34" i="57"/>
  <c r="G34" i="57"/>
  <c r="F34" i="57"/>
  <c r="E34" i="57"/>
  <c r="D34" i="57"/>
  <c r="C34" i="57"/>
  <c r="A34" i="57"/>
  <c r="V33" i="57"/>
  <c r="U33" i="57"/>
  <c r="T33" i="57"/>
  <c r="S33" i="57"/>
  <c r="R33" i="57"/>
  <c r="Q33" i="57"/>
  <c r="P33" i="57"/>
  <c r="O33" i="57"/>
  <c r="N33" i="57"/>
  <c r="L33" i="57"/>
  <c r="K33" i="57"/>
  <c r="J33" i="57"/>
  <c r="I33" i="57"/>
  <c r="H33" i="57"/>
  <c r="G33" i="57"/>
  <c r="F33" i="57"/>
  <c r="E33" i="57"/>
  <c r="D33" i="57"/>
  <c r="T32" i="57"/>
  <c r="S32" i="57"/>
  <c r="V31" i="57"/>
  <c r="U31" i="57"/>
  <c r="T31" i="57"/>
  <c r="S31" i="57"/>
  <c r="R31" i="57"/>
  <c r="Q31" i="57"/>
  <c r="P31" i="57"/>
  <c r="O31" i="57"/>
  <c r="N31" i="57"/>
  <c r="M31" i="57"/>
  <c r="J20" i="57"/>
  <c r="I20" i="57"/>
  <c r="H20" i="57"/>
  <c r="G20" i="57"/>
  <c r="J19" i="57"/>
  <c r="I19" i="57"/>
  <c r="H19" i="57"/>
  <c r="G19" i="57"/>
  <c r="J18" i="57"/>
  <c r="I18" i="57"/>
  <c r="H18" i="57"/>
  <c r="G18" i="57"/>
  <c r="J17" i="57"/>
  <c r="I17" i="57"/>
  <c r="H17" i="57"/>
  <c r="G17" i="57"/>
  <c r="J16" i="57"/>
  <c r="I16" i="57"/>
  <c r="H16" i="57"/>
  <c r="G16" i="57"/>
  <c r="J15" i="57"/>
  <c r="I15" i="57"/>
  <c r="H15" i="57"/>
  <c r="G15" i="57"/>
  <c r="J14" i="57"/>
  <c r="I14" i="57"/>
  <c r="H14" i="57"/>
  <c r="G14" i="57"/>
  <c r="J13" i="57"/>
  <c r="I13" i="57"/>
  <c r="H13" i="57"/>
  <c r="G13" i="57"/>
  <c r="J12" i="57"/>
  <c r="I12" i="57"/>
  <c r="H12" i="57"/>
  <c r="G12" i="57"/>
  <c r="J11" i="57"/>
  <c r="H11" i="57"/>
  <c r="G11" i="57"/>
  <c r="E7" i="57"/>
  <c r="B7" i="57"/>
  <c r="I11" i="57" s="1"/>
  <c r="C33" i="57" s="1"/>
  <c r="F121" i="56"/>
  <c r="E121" i="56"/>
  <c r="D121" i="56"/>
  <c r="C121" i="56"/>
  <c r="F120" i="56"/>
  <c r="F119" i="56"/>
  <c r="V103" i="56"/>
  <c r="U103" i="56"/>
  <c r="T103" i="56"/>
  <c r="S103" i="56"/>
  <c r="R103" i="56"/>
  <c r="Q103" i="56"/>
  <c r="P103" i="56"/>
  <c r="O103" i="56"/>
  <c r="N103" i="56"/>
  <c r="A103" i="56"/>
  <c r="V102" i="56"/>
  <c r="U102" i="56"/>
  <c r="T102" i="56"/>
  <c r="S102" i="56"/>
  <c r="R102" i="56"/>
  <c r="Q102" i="56"/>
  <c r="P102" i="56"/>
  <c r="O102" i="56"/>
  <c r="N102" i="56"/>
  <c r="A102" i="56"/>
  <c r="V101" i="56"/>
  <c r="U101" i="56"/>
  <c r="T101" i="56"/>
  <c r="S101" i="56"/>
  <c r="R101" i="56"/>
  <c r="Q101" i="56"/>
  <c r="P101" i="56"/>
  <c r="O101" i="56"/>
  <c r="N101" i="56"/>
  <c r="A101" i="56"/>
  <c r="V100" i="56"/>
  <c r="U100" i="56"/>
  <c r="T100" i="56"/>
  <c r="S100" i="56"/>
  <c r="R100" i="56"/>
  <c r="Q100" i="56"/>
  <c r="P100" i="56"/>
  <c r="O100" i="56"/>
  <c r="N100" i="56"/>
  <c r="A100" i="56"/>
  <c r="V99" i="56"/>
  <c r="U99" i="56"/>
  <c r="T99" i="56"/>
  <c r="S99" i="56"/>
  <c r="R99" i="56"/>
  <c r="Q99" i="56"/>
  <c r="P99" i="56"/>
  <c r="O99" i="56"/>
  <c r="N99" i="56"/>
  <c r="A99" i="56"/>
  <c r="V98" i="56"/>
  <c r="U98" i="56"/>
  <c r="T98" i="56"/>
  <c r="S98" i="56"/>
  <c r="R98" i="56"/>
  <c r="Q98" i="56"/>
  <c r="P98" i="56"/>
  <c r="O98" i="56"/>
  <c r="N98" i="56"/>
  <c r="A98" i="56"/>
  <c r="V97" i="56"/>
  <c r="U97" i="56"/>
  <c r="T97" i="56"/>
  <c r="S97" i="56"/>
  <c r="R97" i="56"/>
  <c r="Q97" i="56"/>
  <c r="P97" i="56"/>
  <c r="O97" i="56"/>
  <c r="N97" i="56"/>
  <c r="A97" i="56"/>
  <c r="V96" i="56"/>
  <c r="U96" i="56"/>
  <c r="T96" i="56"/>
  <c r="S96" i="56"/>
  <c r="R96" i="56"/>
  <c r="Q96" i="56"/>
  <c r="P96" i="56"/>
  <c r="O96" i="56"/>
  <c r="N96" i="56"/>
  <c r="A96" i="56"/>
  <c r="V95" i="56"/>
  <c r="U95" i="56"/>
  <c r="T95" i="56"/>
  <c r="S95" i="56"/>
  <c r="R95" i="56"/>
  <c r="Q95" i="56"/>
  <c r="P95" i="56"/>
  <c r="O95" i="56"/>
  <c r="N95" i="56"/>
  <c r="A95" i="56"/>
  <c r="V94" i="56"/>
  <c r="U94" i="56"/>
  <c r="T94" i="56"/>
  <c r="S94" i="56"/>
  <c r="R94" i="56"/>
  <c r="Q94" i="56"/>
  <c r="P94" i="56"/>
  <c r="O94" i="56"/>
  <c r="N94" i="56"/>
  <c r="A94" i="56"/>
  <c r="V93" i="56"/>
  <c r="U93" i="56"/>
  <c r="T93" i="56"/>
  <c r="S93" i="56"/>
  <c r="R93" i="56"/>
  <c r="Q93" i="56"/>
  <c r="P93" i="56"/>
  <c r="O93" i="56"/>
  <c r="N93" i="56"/>
  <c r="A93" i="56"/>
  <c r="V92" i="56"/>
  <c r="U92" i="56"/>
  <c r="T92" i="56"/>
  <c r="S92" i="56"/>
  <c r="R92" i="56"/>
  <c r="Q92" i="56"/>
  <c r="P92" i="56"/>
  <c r="O92" i="56"/>
  <c r="N92" i="56"/>
  <c r="A92" i="56"/>
  <c r="V91" i="56"/>
  <c r="U91" i="56"/>
  <c r="T91" i="56"/>
  <c r="S91" i="56"/>
  <c r="R91" i="56"/>
  <c r="Q91" i="56"/>
  <c r="P91" i="56"/>
  <c r="O91" i="56"/>
  <c r="N91" i="56"/>
  <c r="A91" i="56"/>
  <c r="V90" i="56"/>
  <c r="U90" i="56"/>
  <c r="T90" i="56"/>
  <c r="S90" i="56"/>
  <c r="R90" i="56"/>
  <c r="Q90" i="56"/>
  <c r="P90" i="56"/>
  <c r="O90" i="56"/>
  <c r="N90" i="56"/>
  <c r="A90" i="56"/>
  <c r="V89" i="56"/>
  <c r="U89" i="56"/>
  <c r="T89" i="56"/>
  <c r="S89" i="56"/>
  <c r="R89" i="56"/>
  <c r="Q89" i="56"/>
  <c r="P89" i="56"/>
  <c r="O89" i="56"/>
  <c r="N89" i="56"/>
  <c r="A89" i="56"/>
  <c r="V88" i="56"/>
  <c r="U88" i="56"/>
  <c r="T88" i="56"/>
  <c r="S88" i="56"/>
  <c r="R88" i="56"/>
  <c r="Q88" i="56"/>
  <c r="P88" i="56"/>
  <c r="O88" i="56"/>
  <c r="N88" i="56"/>
  <c r="A88" i="56"/>
  <c r="V87" i="56"/>
  <c r="U87" i="56"/>
  <c r="T87" i="56"/>
  <c r="S87" i="56"/>
  <c r="R87" i="56"/>
  <c r="Q87" i="56"/>
  <c r="P87" i="56"/>
  <c r="O87" i="56"/>
  <c r="N87" i="56"/>
  <c r="A87" i="56"/>
  <c r="V86" i="56"/>
  <c r="U86" i="56"/>
  <c r="T86" i="56"/>
  <c r="S86" i="56"/>
  <c r="R86" i="56"/>
  <c r="Q86" i="56"/>
  <c r="P86" i="56"/>
  <c r="O86" i="56"/>
  <c r="N86" i="56"/>
  <c r="A86" i="56"/>
  <c r="V85" i="56"/>
  <c r="U85" i="56"/>
  <c r="T85" i="56"/>
  <c r="S85" i="56"/>
  <c r="R85" i="56"/>
  <c r="Q85" i="56"/>
  <c r="P85" i="56"/>
  <c r="O85" i="56"/>
  <c r="N85" i="56"/>
  <c r="A85" i="56"/>
  <c r="V84" i="56"/>
  <c r="U84" i="56"/>
  <c r="T84" i="56"/>
  <c r="S84" i="56"/>
  <c r="R84" i="56"/>
  <c r="Q84" i="56"/>
  <c r="P84" i="56"/>
  <c r="O84" i="56"/>
  <c r="N84" i="56"/>
  <c r="A84" i="56"/>
  <c r="V83" i="56"/>
  <c r="U83" i="56"/>
  <c r="T83" i="56"/>
  <c r="S83" i="56"/>
  <c r="R83" i="56"/>
  <c r="Q83" i="56"/>
  <c r="P83" i="56"/>
  <c r="O83" i="56"/>
  <c r="N83" i="56"/>
  <c r="A83" i="56"/>
  <c r="V82" i="56"/>
  <c r="U82" i="56"/>
  <c r="T82" i="56"/>
  <c r="S82" i="56"/>
  <c r="R82" i="56"/>
  <c r="Q82" i="56"/>
  <c r="P82" i="56"/>
  <c r="O82" i="56"/>
  <c r="N82" i="56"/>
  <c r="L82" i="56"/>
  <c r="K82" i="56"/>
  <c r="J82" i="56"/>
  <c r="I82" i="56"/>
  <c r="H82" i="56"/>
  <c r="G82" i="56"/>
  <c r="F82" i="56"/>
  <c r="A82" i="56"/>
  <c r="V81" i="56"/>
  <c r="U81" i="56"/>
  <c r="T81" i="56"/>
  <c r="S81" i="56"/>
  <c r="R81" i="56"/>
  <c r="Q81" i="56"/>
  <c r="P81" i="56"/>
  <c r="O81" i="56"/>
  <c r="N81" i="56"/>
  <c r="A81" i="56"/>
  <c r="V80" i="56"/>
  <c r="U80" i="56"/>
  <c r="T80" i="56"/>
  <c r="S80" i="56"/>
  <c r="R80" i="56"/>
  <c r="Q80" i="56"/>
  <c r="P80" i="56"/>
  <c r="O80" i="56"/>
  <c r="N80" i="56"/>
  <c r="A80" i="56"/>
  <c r="V79" i="56"/>
  <c r="U79" i="56"/>
  <c r="T79" i="56"/>
  <c r="S79" i="56"/>
  <c r="R79" i="56"/>
  <c r="Q79" i="56"/>
  <c r="P79" i="56"/>
  <c r="O79" i="56"/>
  <c r="N79" i="56"/>
  <c r="A79" i="56"/>
  <c r="V78" i="56"/>
  <c r="U78" i="56"/>
  <c r="T78" i="56"/>
  <c r="S78" i="56"/>
  <c r="R78" i="56"/>
  <c r="Q78" i="56"/>
  <c r="P78" i="56"/>
  <c r="O78" i="56"/>
  <c r="N78" i="56"/>
  <c r="A78" i="56"/>
  <c r="V77" i="56"/>
  <c r="U77" i="56"/>
  <c r="T77" i="56"/>
  <c r="S77" i="56"/>
  <c r="R77" i="56"/>
  <c r="Q77" i="56"/>
  <c r="P77" i="56"/>
  <c r="O77" i="56"/>
  <c r="N77" i="56"/>
  <c r="A77" i="56"/>
  <c r="V76" i="56"/>
  <c r="U76" i="56"/>
  <c r="T76" i="56"/>
  <c r="S76" i="56"/>
  <c r="R76" i="56"/>
  <c r="Q76" i="56"/>
  <c r="P76" i="56"/>
  <c r="O76" i="56"/>
  <c r="N76" i="56"/>
  <c r="A76" i="56"/>
  <c r="V75" i="56"/>
  <c r="U75" i="56"/>
  <c r="T75" i="56"/>
  <c r="S75" i="56"/>
  <c r="R75" i="56"/>
  <c r="Q75" i="56"/>
  <c r="P75" i="56"/>
  <c r="O75" i="56"/>
  <c r="N75" i="56"/>
  <c r="A75" i="56"/>
  <c r="V74" i="56"/>
  <c r="U74" i="56"/>
  <c r="T74" i="56"/>
  <c r="S74" i="56"/>
  <c r="R74" i="56"/>
  <c r="Q74" i="56"/>
  <c r="P74" i="56"/>
  <c r="O74" i="56"/>
  <c r="N74" i="56"/>
  <c r="A74" i="56"/>
  <c r="V73" i="56"/>
  <c r="U73" i="56"/>
  <c r="T73" i="56"/>
  <c r="S73" i="56"/>
  <c r="R73" i="56"/>
  <c r="Q73" i="56"/>
  <c r="P73" i="56"/>
  <c r="O73" i="56"/>
  <c r="N73" i="56"/>
  <c r="A73" i="56"/>
  <c r="V72" i="56"/>
  <c r="U72" i="56"/>
  <c r="T72" i="56"/>
  <c r="S72" i="56"/>
  <c r="R72" i="56"/>
  <c r="Q72" i="56"/>
  <c r="P72" i="56"/>
  <c r="O72" i="56"/>
  <c r="N72" i="56"/>
  <c r="A72" i="56"/>
  <c r="V71" i="56"/>
  <c r="U71" i="56"/>
  <c r="T71" i="56"/>
  <c r="S71" i="56"/>
  <c r="R71" i="56"/>
  <c r="Q71" i="56"/>
  <c r="P71" i="56"/>
  <c r="O71" i="56"/>
  <c r="N71" i="56"/>
  <c r="L71" i="56"/>
  <c r="K71" i="56"/>
  <c r="J71" i="56"/>
  <c r="I71" i="56"/>
  <c r="H71" i="56"/>
  <c r="G71" i="56"/>
  <c r="F71" i="56"/>
  <c r="E71" i="56"/>
  <c r="D71" i="56"/>
  <c r="C71" i="56"/>
  <c r="A71" i="56"/>
  <c r="V70" i="56"/>
  <c r="U70" i="56"/>
  <c r="T70" i="56"/>
  <c r="S70" i="56"/>
  <c r="R70" i="56"/>
  <c r="Q70" i="56"/>
  <c r="P70" i="56"/>
  <c r="O70" i="56"/>
  <c r="N70" i="56"/>
  <c r="A70" i="56"/>
  <c r="V69" i="56"/>
  <c r="U69" i="56"/>
  <c r="T69" i="56"/>
  <c r="S69" i="56"/>
  <c r="R69" i="56"/>
  <c r="Q69" i="56"/>
  <c r="P69" i="56"/>
  <c r="O69" i="56"/>
  <c r="N69" i="56"/>
  <c r="L69" i="56"/>
  <c r="K69" i="56"/>
  <c r="J69" i="56"/>
  <c r="I69" i="56"/>
  <c r="H69" i="56"/>
  <c r="G69" i="56"/>
  <c r="F69" i="56"/>
  <c r="E69" i="56"/>
  <c r="D69" i="56"/>
  <c r="C69" i="56"/>
  <c r="A69" i="56"/>
  <c r="V68" i="56"/>
  <c r="U68" i="56"/>
  <c r="T68" i="56"/>
  <c r="S68" i="56"/>
  <c r="R68" i="56"/>
  <c r="Q68" i="56"/>
  <c r="P68" i="56"/>
  <c r="O68" i="56"/>
  <c r="N68" i="56"/>
  <c r="C68" i="56"/>
  <c r="A68" i="56"/>
  <c r="V67" i="56"/>
  <c r="U67" i="56"/>
  <c r="T67" i="56"/>
  <c r="S67" i="56"/>
  <c r="R67" i="56"/>
  <c r="Q67" i="56"/>
  <c r="P67" i="56"/>
  <c r="O67" i="56"/>
  <c r="N67" i="56"/>
  <c r="A67" i="56"/>
  <c r="V66" i="56"/>
  <c r="U66" i="56"/>
  <c r="T66" i="56"/>
  <c r="S66" i="56"/>
  <c r="R66" i="56"/>
  <c r="Q66" i="56"/>
  <c r="P66" i="56"/>
  <c r="O66" i="56"/>
  <c r="N66" i="56"/>
  <c r="A66" i="56"/>
  <c r="V65" i="56"/>
  <c r="U65" i="56"/>
  <c r="T65" i="56"/>
  <c r="S65" i="56"/>
  <c r="R65" i="56"/>
  <c r="Q65" i="56"/>
  <c r="P65" i="56"/>
  <c r="O65" i="56"/>
  <c r="N65" i="56"/>
  <c r="C65" i="56"/>
  <c r="A65" i="56"/>
  <c r="V64" i="56"/>
  <c r="U64" i="56"/>
  <c r="T64" i="56"/>
  <c r="S64" i="56"/>
  <c r="R64" i="56"/>
  <c r="Q64" i="56"/>
  <c r="P64" i="56"/>
  <c r="O64" i="56"/>
  <c r="N64" i="56"/>
  <c r="C64" i="56"/>
  <c r="A64" i="56"/>
  <c r="V63" i="56"/>
  <c r="U63" i="56"/>
  <c r="T63" i="56"/>
  <c r="S63" i="56"/>
  <c r="R63" i="56"/>
  <c r="Q63" i="56"/>
  <c r="P63" i="56"/>
  <c r="O63" i="56"/>
  <c r="N63" i="56"/>
  <c r="A63" i="56"/>
  <c r="V62" i="56"/>
  <c r="U62" i="56"/>
  <c r="T62" i="56"/>
  <c r="S62" i="56"/>
  <c r="R62" i="56"/>
  <c r="Q62" i="56"/>
  <c r="P62" i="56"/>
  <c r="O62" i="56"/>
  <c r="N62" i="56"/>
  <c r="A62" i="56"/>
  <c r="V61" i="56"/>
  <c r="U61" i="56"/>
  <c r="T61" i="56"/>
  <c r="S61" i="56"/>
  <c r="R61" i="56"/>
  <c r="Q61" i="56"/>
  <c r="P61" i="56"/>
  <c r="O61" i="56"/>
  <c r="N61" i="56"/>
  <c r="A61" i="56"/>
  <c r="V60" i="56"/>
  <c r="U60" i="56"/>
  <c r="T60" i="56"/>
  <c r="S60" i="56"/>
  <c r="R60" i="56"/>
  <c r="Q60" i="56"/>
  <c r="P60" i="56"/>
  <c r="O60" i="56"/>
  <c r="N60" i="56"/>
  <c r="A60" i="56"/>
  <c r="V59" i="56"/>
  <c r="U59" i="56"/>
  <c r="T59" i="56"/>
  <c r="S59" i="56"/>
  <c r="R59" i="56"/>
  <c r="Q59" i="56"/>
  <c r="P59" i="56"/>
  <c r="O59" i="56"/>
  <c r="N59" i="56"/>
  <c r="A59" i="56"/>
  <c r="V58" i="56"/>
  <c r="U58" i="56"/>
  <c r="T58" i="56"/>
  <c r="S58" i="56"/>
  <c r="R58" i="56"/>
  <c r="Q58" i="56"/>
  <c r="P58" i="56"/>
  <c r="O58" i="56"/>
  <c r="N58" i="56"/>
  <c r="C58" i="56"/>
  <c r="A58" i="56"/>
  <c r="V57" i="56"/>
  <c r="U57" i="56"/>
  <c r="T57" i="56"/>
  <c r="S57" i="56"/>
  <c r="R57" i="56"/>
  <c r="Q57" i="56"/>
  <c r="P57" i="56"/>
  <c r="O57" i="56"/>
  <c r="N57" i="56"/>
  <c r="C57" i="56"/>
  <c r="A57" i="56"/>
  <c r="V56" i="56"/>
  <c r="U56" i="56"/>
  <c r="T56" i="56"/>
  <c r="S56" i="56"/>
  <c r="R56" i="56"/>
  <c r="Q56" i="56"/>
  <c r="P56" i="56"/>
  <c r="O56" i="56"/>
  <c r="N56" i="56"/>
  <c r="A56" i="56"/>
  <c r="V55" i="56"/>
  <c r="U55" i="56"/>
  <c r="T55" i="56"/>
  <c r="S55" i="56"/>
  <c r="R55" i="56"/>
  <c r="Q55" i="56"/>
  <c r="P55" i="56"/>
  <c r="O55" i="56"/>
  <c r="N55" i="56"/>
  <c r="A55" i="56"/>
  <c r="V54" i="56"/>
  <c r="U54" i="56"/>
  <c r="T54" i="56"/>
  <c r="S54" i="56"/>
  <c r="R54" i="56"/>
  <c r="Q54" i="56"/>
  <c r="P54" i="56"/>
  <c r="O54" i="56"/>
  <c r="N54" i="56"/>
  <c r="A54" i="56"/>
  <c r="V53" i="56"/>
  <c r="U53" i="56"/>
  <c r="T53" i="56"/>
  <c r="S53" i="56"/>
  <c r="R53" i="56"/>
  <c r="Q53" i="56"/>
  <c r="P53" i="56"/>
  <c r="O53" i="56"/>
  <c r="N53" i="56"/>
  <c r="L53" i="56"/>
  <c r="K53" i="56"/>
  <c r="J53" i="56"/>
  <c r="I53" i="56"/>
  <c r="H53" i="56"/>
  <c r="G53" i="56"/>
  <c r="F53" i="56"/>
  <c r="E53" i="56"/>
  <c r="D53" i="56"/>
  <c r="C53" i="56"/>
  <c r="A53" i="56"/>
  <c r="V52" i="56"/>
  <c r="U52" i="56"/>
  <c r="T52" i="56"/>
  <c r="S52" i="56"/>
  <c r="R52" i="56"/>
  <c r="Q52" i="56"/>
  <c r="P52" i="56"/>
  <c r="O52" i="56"/>
  <c r="N52" i="56"/>
  <c r="L52" i="56"/>
  <c r="K52" i="56"/>
  <c r="J52" i="56"/>
  <c r="I52" i="56"/>
  <c r="H52" i="56"/>
  <c r="G52" i="56"/>
  <c r="F52" i="56"/>
  <c r="E52" i="56"/>
  <c r="D52" i="56"/>
  <c r="C52" i="56"/>
  <c r="A52" i="56"/>
  <c r="V51" i="56"/>
  <c r="U51" i="56"/>
  <c r="T51" i="56"/>
  <c r="S51" i="56"/>
  <c r="R51" i="56"/>
  <c r="Q51" i="56"/>
  <c r="P51" i="56"/>
  <c r="O51" i="56"/>
  <c r="N51" i="56"/>
  <c r="A51" i="56"/>
  <c r="V50" i="56"/>
  <c r="U50" i="56"/>
  <c r="T50" i="56"/>
  <c r="S50" i="56"/>
  <c r="R50" i="56"/>
  <c r="Q50" i="56"/>
  <c r="P50" i="56"/>
  <c r="O50" i="56"/>
  <c r="N50" i="56"/>
  <c r="A50" i="56"/>
  <c r="V49" i="56"/>
  <c r="U49" i="56"/>
  <c r="T49" i="56"/>
  <c r="S49" i="56"/>
  <c r="R49" i="56"/>
  <c r="Q49" i="56"/>
  <c r="P49" i="56"/>
  <c r="O49" i="56"/>
  <c r="N49" i="56"/>
  <c r="A49" i="56"/>
  <c r="V48" i="56"/>
  <c r="U48" i="56"/>
  <c r="T48" i="56"/>
  <c r="S48" i="56"/>
  <c r="R48" i="56"/>
  <c r="Q48" i="56"/>
  <c r="P48" i="56"/>
  <c r="O48" i="56"/>
  <c r="N48" i="56"/>
  <c r="A48" i="56"/>
  <c r="V47" i="56"/>
  <c r="U47" i="56"/>
  <c r="T47" i="56"/>
  <c r="S47" i="56"/>
  <c r="R47" i="56"/>
  <c r="Q47" i="56"/>
  <c r="P47" i="56"/>
  <c r="O47" i="56"/>
  <c r="N47" i="56"/>
  <c r="A47" i="56"/>
  <c r="V46" i="56"/>
  <c r="U46" i="56"/>
  <c r="T46" i="56"/>
  <c r="S46" i="56"/>
  <c r="R46" i="56"/>
  <c r="Q46" i="56"/>
  <c r="P46" i="56"/>
  <c r="O46" i="56"/>
  <c r="N46" i="56"/>
  <c r="A46" i="56"/>
  <c r="V45" i="56"/>
  <c r="U45" i="56"/>
  <c r="T45" i="56"/>
  <c r="S45" i="56"/>
  <c r="R45" i="56"/>
  <c r="Q45" i="56"/>
  <c r="P45" i="56"/>
  <c r="O45" i="56"/>
  <c r="N45" i="56"/>
  <c r="A45" i="56"/>
  <c r="V44" i="56"/>
  <c r="U44" i="56"/>
  <c r="T44" i="56"/>
  <c r="S44" i="56"/>
  <c r="R44" i="56"/>
  <c r="Q44" i="56"/>
  <c r="P44" i="56"/>
  <c r="O44" i="56"/>
  <c r="N44" i="56"/>
  <c r="A44" i="56"/>
  <c r="V43" i="56"/>
  <c r="U43" i="56"/>
  <c r="T43" i="56"/>
  <c r="S43" i="56"/>
  <c r="R43" i="56"/>
  <c r="Q43" i="56"/>
  <c r="P43" i="56"/>
  <c r="O43" i="56"/>
  <c r="N43" i="56"/>
  <c r="L43" i="56"/>
  <c r="K43" i="56"/>
  <c r="J43" i="56"/>
  <c r="I43" i="56"/>
  <c r="H43" i="56"/>
  <c r="G43" i="56"/>
  <c r="F43" i="56"/>
  <c r="E43" i="56"/>
  <c r="D43" i="56"/>
  <c r="C43" i="56"/>
  <c r="A43" i="56"/>
  <c r="V42" i="56"/>
  <c r="U42" i="56"/>
  <c r="T42" i="56"/>
  <c r="S42" i="56"/>
  <c r="R42" i="56"/>
  <c r="Q42" i="56"/>
  <c r="P42" i="56"/>
  <c r="O42" i="56"/>
  <c r="N42" i="56"/>
  <c r="L42" i="56"/>
  <c r="K42" i="56"/>
  <c r="J42" i="56"/>
  <c r="I42" i="56"/>
  <c r="H42" i="56"/>
  <c r="G42" i="56"/>
  <c r="F42" i="56"/>
  <c r="E42" i="56"/>
  <c r="D42" i="56"/>
  <c r="C42" i="56"/>
  <c r="A42" i="56"/>
  <c r="V41" i="56"/>
  <c r="U41" i="56"/>
  <c r="T41" i="56"/>
  <c r="S41" i="56"/>
  <c r="R41" i="56"/>
  <c r="Q41" i="56"/>
  <c r="P41" i="56"/>
  <c r="O41" i="56"/>
  <c r="N41" i="56"/>
  <c r="L41" i="56"/>
  <c r="K41" i="56"/>
  <c r="J41" i="56"/>
  <c r="I41" i="56"/>
  <c r="H41" i="56"/>
  <c r="G41" i="56"/>
  <c r="F41" i="56"/>
  <c r="E41" i="56"/>
  <c r="D41" i="56"/>
  <c r="C41" i="56"/>
  <c r="A41" i="56"/>
  <c r="V40" i="56"/>
  <c r="U40" i="56"/>
  <c r="T40" i="56"/>
  <c r="S40" i="56"/>
  <c r="R40" i="56"/>
  <c r="Q40" i="56"/>
  <c r="P40" i="56"/>
  <c r="O40" i="56"/>
  <c r="N40" i="56"/>
  <c r="A40" i="56"/>
  <c r="V39" i="56"/>
  <c r="U39" i="56"/>
  <c r="T39" i="56"/>
  <c r="S39" i="56"/>
  <c r="R39" i="56"/>
  <c r="Q39" i="56"/>
  <c r="P39" i="56"/>
  <c r="O39" i="56"/>
  <c r="N39" i="56"/>
  <c r="L39" i="56"/>
  <c r="K39" i="56"/>
  <c r="J39" i="56"/>
  <c r="I39" i="56"/>
  <c r="H39" i="56"/>
  <c r="G39" i="56"/>
  <c r="F39" i="56"/>
  <c r="E39" i="56"/>
  <c r="D39" i="56"/>
  <c r="C39" i="56"/>
  <c r="A39" i="56"/>
  <c r="V38" i="56"/>
  <c r="U38" i="56"/>
  <c r="T38" i="56"/>
  <c r="S38" i="56"/>
  <c r="R38" i="56"/>
  <c r="Q38" i="56"/>
  <c r="P38" i="56"/>
  <c r="O38" i="56"/>
  <c r="N38" i="56"/>
  <c r="A38" i="56"/>
  <c r="V37" i="56"/>
  <c r="U37" i="56"/>
  <c r="T37" i="56"/>
  <c r="S37" i="56"/>
  <c r="R37" i="56"/>
  <c r="Q37" i="56"/>
  <c r="P37" i="56"/>
  <c r="O37" i="56"/>
  <c r="N37" i="56"/>
  <c r="L37" i="56"/>
  <c r="K37" i="56"/>
  <c r="J37" i="56"/>
  <c r="I37" i="56"/>
  <c r="H37" i="56"/>
  <c r="G37" i="56"/>
  <c r="F37" i="56"/>
  <c r="E37" i="56"/>
  <c r="D37" i="56"/>
  <c r="C37" i="56"/>
  <c r="A37" i="56"/>
  <c r="V36" i="56"/>
  <c r="U36" i="56"/>
  <c r="T36" i="56"/>
  <c r="S36" i="56"/>
  <c r="R36" i="56"/>
  <c r="Q36" i="56"/>
  <c r="P36" i="56"/>
  <c r="O36" i="56"/>
  <c r="N36" i="56"/>
  <c r="A36" i="56"/>
  <c r="V35" i="56"/>
  <c r="U35" i="56"/>
  <c r="T35" i="56"/>
  <c r="S35" i="56"/>
  <c r="R35" i="56"/>
  <c r="Q35" i="56"/>
  <c r="P35" i="56"/>
  <c r="O35" i="56"/>
  <c r="N35" i="56"/>
  <c r="A35" i="56"/>
  <c r="V34" i="56"/>
  <c r="U34" i="56"/>
  <c r="T34" i="56"/>
  <c r="S34" i="56"/>
  <c r="R34" i="56"/>
  <c r="Q34" i="56"/>
  <c r="P34" i="56"/>
  <c r="O34" i="56"/>
  <c r="N34" i="56"/>
  <c r="L34" i="56"/>
  <c r="K34" i="56"/>
  <c r="J34" i="56"/>
  <c r="I34" i="56"/>
  <c r="H34" i="56"/>
  <c r="G34" i="56"/>
  <c r="F34" i="56"/>
  <c r="E34" i="56"/>
  <c r="D34" i="56"/>
  <c r="C34" i="56"/>
  <c r="A34" i="56"/>
  <c r="V33" i="56"/>
  <c r="U33" i="56"/>
  <c r="T33" i="56"/>
  <c r="S33" i="56"/>
  <c r="R33" i="56"/>
  <c r="Q33" i="56"/>
  <c r="P33" i="56"/>
  <c r="O33" i="56"/>
  <c r="N33" i="56"/>
  <c r="L33" i="56"/>
  <c r="K33" i="56"/>
  <c r="J33" i="56"/>
  <c r="I33" i="56"/>
  <c r="H33" i="56"/>
  <c r="G33" i="56"/>
  <c r="F33" i="56"/>
  <c r="E33" i="56"/>
  <c r="D33" i="56"/>
  <c r="T32" i="56"/>
  <c r="S32" i="56"/>
  <c r="V31" i="56"/>
  <c r="U31" i="56"/>
  <c r="T31" i="56"/>
  <c r="S31" i="56"/>
  <c r="R31" i="56"/>
  <c r="Q31" i="56"/>
  <c r="P31" i="56"/>
  <c r="O31" i="56"/>
  <c r="N31" i="56"/>
  <c r="M31" i="56"/>
  <c r="J20" i="56"/>
  <c r="I20" i="56"/>
  <c r="H20" i="56"/>
  <c r="G20" i="56"/>
  <c r="J19" i="56"/>
  <c r="I19" i="56"/>
  <c r="H19" i="56"/>
  <c r="G19" i="56"/>
  <c r="J18" i="56"/>
  <c r="I18" i="56"/>
  <c r="H18" i="56"/>
  <c r="G18" i="56"/>
  <c r="J17" i="56"/>
  <c r="I17" i="56"/>
  <c r="H17" i="56"/>
  <c r="G17" i="56"/>
  <c r="J16" i="56"/>
  <c r="I16" i="56"/>
  <c r="H16" i="56"/>
  <c r="G16" i="56"/>
  <c r="J15" i="56"/>
  <c r="I15" i="56"/>
  <c r="H15" i="56"/>
  <c r="G15" i="56"/>
  <c r="J14" i="56"/>
  <c r="I14" i="56"/>
  <c r="H14" i="56"/>
  <c r="G14" i="56"/>
  <c r="J13" i="56"/>
  <c r="I13" i="56"/>
  <c r="H13" i="56"/>
  <c r="G13" i="56"/>
  <c r="J12" i="56"/>
  <c r="I12" i="56"/>
  <c r="H12" i="56"/>
  <c r="G12" i="56"/>
  <c r="J11" i="56"/>
  <c r="H11" i="56"/>
  <c r="G11" i="56"/>
  <c r="E7" i="56"/>
  <c r="B7" i="56"/>
  <c r="I11" i="56" s="1"/>
  <c r="C33" i="56" s="1"/>
  <c r="S141" i="55"/>
  <c r="R141" i="55"/>
  <c r="Q141" i="55"/>
  <c r="P141" i="55"/>
  <c r="O141" i="55"/>
  <c r="T140" i="55"/>
  <c r="S140" i="55"/>
  <c r="P140" i="55"/>
  <c r="O140" i="55"/>
  <c r="N140" i="55"/>
  <c r="M140" i="55"/>
  <c r="L140" i="55"/>
  <c r="K140" i="55"/>
  <c r="T139" i="55"/>
  <c r="S139" i="55"/>
  <c r="P139" i="55"/>
  <c r="O139" i="55"/>
  <c r="N139" i="55"/>
  <c r="M139" i="55"/>
  <c r="L139" i="55"/>
  <c r="K139" i="55"/>
  <c r="T138" i="55"/>
  <c r="S138" i="55"/>
  <c r="P138" i="55"/>
  <c r="O138" i="55"/>
  <c r="N138" i="55"/>
  <c r="M138" i="55"/>
  <c r="L138" i="55"/>
  <c r="K138" i="55"/>
  <c r="T137" i="55"/>
  <c r="S137" i="55"/>
  <c r="P137" i="55"/>
  <c r="O137" i="55"/>
  <c r="N137" i="55"/>
  <c r="M137" i="55"/>
  <c r="L137" i="55"/>
  <c r="K137" i="55"/>
  <c r="T136" i="55"/>
  <c r="S136" i="55"/>
  <c r="P136" i="55"/>
  <c r="O136" i="55"/>
  <c r="N136" i="55"/>
  <c r="M136" i="55"/>
  <c r="L136" i="55"/>
  <c r="K136" i="55"/>
  <c r="T135" i="55"/>
  <c r="S135" i="55"/>
  <c r="P135" i="55"/>
  <c r="O135" i="55"/>
  <c r="N135" i="55"/>
  <c r="M135" i="55"/>
  <c r="L135" i="55"/>
  <c r="K135" i="55"/>
  <c r="T134" i="55"/>
  <c r="S134" i="55"/>
  <c r="P134" i="55"/>
  <c r="O134" i="55"/>
  <c r="N134" i="55"/>
  <c r="M134" i="55"/>
  <c r="L134" i="55"/>
  <c r="K134" i="55"/>
  <c r="T133" i="55"/>
  <c r="S133" i="55"/>
  <c r="P133" i="55"/>
  <c r="O133" i="55"/>
  <c r="N133" i="55"/>
  <c r="M133" i="55"/>
  <c r="L133" i="55"/>
  <c r="K133" i="55"/>
  <c r="T132" i="55"/>
  <c r="S132" i="55"/>
  <c r="P132" i="55"/>
  <c r="O132" i="55"/>
  <c r="N132" i="55"/>
  <c r="M132" i="55"/>
  <c r="L132" i="55"/>
  <c r="K132" i="55"/>
  <c r="T131" i="55"/>
  <c r="S131" i="55"/>
  <c r="P131" i="55"/>
  <c r="O131" i="55"/>
  <c r="N131" i="55"/>
  <c r="M131" i="55"/>
  <c r="L131" i="55"/>
  <c r="K131" i="55"/>
  <c r="T130" i="55"/>
  <c r="S130" i="55"/>
  <c r="P130" i="55"/>
  <c r="O130" i="55"/>
  <c r="T129" i="55"/>
  <c r="S129" i="55"/>
  <c r="P129" i="55"/>
  <c r="O129" i="55"/>
  <c r="T128" i="55"/>
  <c r="S128" i="55"/>
  <c r="P128" i="55"/>
  <c r="O128" i="55"/>
  <c r="T127" i="55"/>
  <c r="S127" i="55"/>
  <c r="P127" i="55"/>
  <c r="O127" i="55"/>
  <c r="T126" i="55"/>
  <c r="S126" i="55"/>
  <c r="P126" i="55"/>
  <c r="O126" i="55"/>
  <c r="T125" i="55"/>
  <c r="S125" i="55"/>
  <c r="P125" i="55"/>
  <c r="O125" i="55"/>
  <c r="T124" i="55"/>
  <c r="S124" i="55"/>
  <c r="P124" i="55"/>
  <c r="O124" i="55"/>
  <c r="T123" i="55"/>
  <c r="S123" i="55"/>
  <c r="P123" i="55"/>
  <c r="O123" i="55"/>
  <c r="V103" i="55"/>
  <c r="U103" i="55"/>
  <c r="T103" i="55"/>
  <c r="S103" i="55"/>
  <c r="R103" i="55"/>
  <c r="Q103" i="55"/>
  <c r="P103" i="55"/>
  <c r="O103" i="55"/>
  <c r="D103" i="55"/>
  <c r="A103" i="55"/>
  <c r="V102" i="55"/>
  <c r="U102" i="55"/>
  <c r="T102" i="55"/>
  <c r="S102" i="55"/>
  <c r="R102" i="55"/>
  <c r="Q102" i="55"/>
  <c r="P102" i="55"/>
  <c r="O102" i="55"/>
  <c r="D102" i="55"/>
  <c r="A102" i="55"/>
  <c r="V101" i="55"/>
  <c r="U101" i="55"/>
  <c r="T101" i="55"/>
  <c r="S101" i="55"/>
  <c r="R101" i="55"/>
  <c r="Q101" i="55"/>
  <c r="P101" i="55"/>
  <c r="O101" i="55"/>
  <c r="A101" i="55"/>
  <c r="V100" i="55"/>
  <c r="U100" i="55"/>
  <c r="T100" i="55"/>
  <c r="S100" i="55"/>
  <c r="R100" i="55"/>
  <c r="Q100" i="55"/>
  <c r="P100" i="55"/>
  <c r="O100" i="55"/>
  <c r="A100" i="55"/>
  <c r="V99" i="55"/>
  <c r="U99" i="55"/>
  <c r="T99" i="55"/>
  <c r="S99" i="55"/>
  <c r="R99" i="55"/>
  <c r="Q99" i="55"/>
  <c r="P99" i="55"/>
  <c r="O99" i="55"/>
  <c r="A99" i="55"/>
  <c r="V98" i="55"/>
  <c r="U98" i="55"/>
  <c r="T98" i="55"/>
  <c r="S98" i="55"/>
  <c r="R98" i="55"/>
  <c r="Q98" i="55"/>
  <c r="P98" i="55"/>
  <c r="O98" i="55"/>
  <c r="A98" i="55"/>
  <c r="V97" i="55"/>
  <c r="U97" i="55"/>
  <c r="T97" i="55"/>
  <c r="S97" i="55"/>
  <c r="R97" i="55"/>
  <c r="Q97" i="55"/>
  <c r="P97" i="55"/>
  <c r="O97" i="55"/>
  <c r="A97" i="55"/>
  <c r="V96" i="55"/>
  <c r="U96" i="55"/>
  <c r="T96" i="55"/>
  <c r="S96" i="55"/>
  <c r="R96" i="55"/>
  <c r="Q96" i="55"/>
  <c r="P96" i="55"/>
  <c r="O96" i="55"/>
  <c r="A96" i="55"/>
  <c r="V95" i="55"/>
  <c r="U95" i="55"/>
  <c r="T95" i="55"/>
  <c r="S95" i="55"/>
  <c r="R95" i="55"/>
  <c r="Q95" i="55"/>
  <c r="P95" i="55"/>
  <c r="O95" i="55"/>
  <c r="A95" i="55"/>
  <c r="V94" i="55"/>
  <c r="U94" i="55"/>
  <c r="T94" i="55"/>
  <c r="S94" i="55"/>
  <c r="R94" i="55"/>
  <c r="Q94" i="55"/>
  <c r="P94" i="55"/>
  <c r="O94" i="55"/>
  <c r="A94" i="55"/>
  <c r="V93" i="55"/>
  <c r="U93" i="55"/>
  <c r="T93" i="55"/>
  <c r="S93" i="55"/>
  <c r="R93" i="55"/>
  <c r="Q93" i="55"/>
  <c r="P93" i="55"/>
  <c r="O93" i="55"/>
  <c r="A93" i="55"/>
  <c r="V92" i="55"/>
  <c r="U92" i="55"/>
  <c r="T92" i="55"/>
  <c r="S92" i="55"/>
  <c r="R92" i="55"/>
  <c r="Q92" i="55"/>
  <c r="P92" i="55"/>
  <c r="O92" i="55"/>
  <c r="A92" i="55"/>
  <c r="V91" i="55"/>
  <c r="U91" i="55"/>
  <c r="T91" i="55"/>
  <c r="S91" i="55"/>
  <c r="R91" i="55"/>
  <c r="Q91" i="55"/>
  <c r="P91" i="55"/>
  <c r="O91" i="55"/>
  <c r="A91" i="55"/>
  <c r="V90" i="55"/>
  <c r="U90" i="55"/>
  <c r="T90" i="55"/>
  <c r="S90" i="55"/>
  <c r="R90" i="55"/>
  <c r="Q90" i="55"/>
  <c r="P90" i="55"/>
  <c r="O90" i="55"/>
  <c r="A90" i="55"/>
  <c r="V89" i="55"/>
  <c r="U89" i="55"/>
  <c r="T89" i="55"/>
  <c r="S89" i="55"/>
  <c r="R89" i="55"/>
  <c r="Q89" i="55"/>
  <c r="P89" i="55"/>
  <c r="O89" i="55"/>
  <c r="A89" i="55"/>
  <c r="V88" i="55"/>
  <c r="U88" i="55"/>
  <c r="T88" i="55"/>
  <c r="S88" i="55"/>
  <c r="R88" i="55"/>
  <c r="Q88" i="55"/>
  <c r="P88" i="55"/>
  <c r="O88" i="55"/>
  <c r="A88" i="55"/>
  <c r="V87" i="55"/>
  <c r="U87" i="55"/>
  <c r="T87" i="55"/>
  <c r="S87" i="55"/>
  <c r="R87" i="55"/>
  <c r="Q87" i="55"/>
  <c r="P87" i="55"/>
  <c r="O87" i="55"/>
  <c r="A87" i="55"/>
  <c r="V86" i="55"/>
  <c r="U86" i="55"/>
  <c r="T86" i="55"/>
  <c r="S86" i="55"/>
  <c r="R86" i="55"/>
  <c r="Q86" i="55"/>
  <c r="P86" i="55"/>
  <c r="O86" i="55"/>
  <c r="A86" i="55"/>
  <c r="V85" i="55"/>
  <c r="U85" i="55"/>
  <c r="T85" i="55"/>
  <c r="S85" i="55"/>
  <c r="R85" i="55"/>
  <c r="Q85" i="55"/>
  <c r="P85" i="55"/>
  <c r="O85" i="55"/>
  <c r="A85" i="55"/>
  <c r="V84" i="55"/>
  <c r="U84" i="55"/>
  <c r="T84" i="55"/>
  <c r="S84" i="55"/>
  <c r="R84" i="55"/>
  <c r="Q84" i="55"/>
  <c r="P84" i="55"/>
  <c r="O84" i="55"/>
  <c r="A84" i="55"/>
  <c r="V83" i="55"/>
  <c r="U83" i="55"/>
  <c r="T83" i="55"/>
  <c r="S83" i="55"/>
  <c r="R83" i="55"/>
  <c r="Q83" i="55"/>
  <c r="P83" i="55"/>
  <c r="O83" i="55"/>
  <c r="A83" i="55"/>
  <c r="V82" i="55"/>
  <c r="U82" i="55"/>
  <c r="T82" i="55"/>
  <c r="S82" i="55"/>
  <c r="R82" i="55"/>
  <c r="Q82" i="55"/>
  <c r="P82" i="55"/>
  <c r="O82" i="55"/>
  <c r="L82" i="55"/>
  <c r="K82" i="55"/>
  <c r="J82" i="55"/>
  <c r="I82" i="55"/>
  <c r="H82" i="55"/>
  <c r="G82" i="55"/>
  <c r="F82" i="55"/>
  <c r="A82" i="55"/>
  <c r="V81" i="55"/>
  <c r="U81" i="55"/>
  <c r="T81" i="55"/>
  <c r="S81" i="55"/>
  <c r="R81" i="55"/>
  <c r="Q81" i="55"/>
  <c r="P81" i="55"/>
  <c r="O81" i="55"/>
  <c r="A81" i="55"/>
  <c r="V80" i="55"/>
  <c r="U80" i="55"/>
  <c r="T80" i="55"/>
  <c r="S80" i="55"/>
  <c r="R80" i="55"/>
  <c r="Q80" i="55"/>
  <c r="P80" i="55"/>
  <c r="O80" i="55"/>
  <c r="D80" i="55"/>
  <c r="A80" i="55"/>
  <c r="V79" i="55"/>
  <c r="U79" i="55"/>
  <c r="T79" i="55"/>
  <c r="S79" i="55"/>
  <c r="R79" i="55"/>
  <c r="Q79" i="55"/>
  <c r="P79" i="55"/>
  <c r="O79" i="55"/>
  <c r="D79" i="55"/>
  <c r="A79" i="55"/>
  <c r="V78" i="55"/>
  <c r="U78" i="55"/>
  <c r="T78" i="55"/>
  <c r="S78" i="55"/>
  <c r="R78" i="55"/>
  <c r="Q78" i="55"/>
  <c r="P78" i="55"/>
  <c r="O78" i="55"/>
  <c r="A78" i="55"/>
  <c r="V77" i="55"/>
  <c r="U77" i="55"/>
  <c r="T77" i="55"/>
  <c r="S77" i="55"/>
  <c r="R77" i="55"/>
  <c r="Q77" i="55"/>
  <c r="P77" i="55"/>
  <c r="O77" i="55"/>
  <c r="D77" i="55"/>
  <c r="A77" i="55"/>
  <c r="V76" i="55"/>
  <c r="U76" i="55"/>
  <c r="T76" i="55"/>
  <c r="S76" i="55"/>
  <c r="R76" i="55"/>
  <c r="Q76" i="55"/>
  <c r="P76" i="55"/>
  <c r="O76" i="55"/>
  <c r="D76" i="55"/>
  <c r="A76" i="55"/>
  <c r="V75" i="55"/>
  <c r="U75" i="55"/>
  <c r="T75" i="55"/>
  <c r="S75" i="55"/>
  <c r="R75" i="55"/>
  <c r="Q75" i="55"/>
  <c r="P75" i="55"/>
  <c r="O75" i="55"/>
  <c r="A75" i="55"/>
  <c r="V74" i="55"/>
  <c r="U74" i="55"/>
  <c r="T74" i="55"/>
  <c r="S74" i="55"/>
  <c r="R74" i="55"/>
  <c r="Q74" i="55"/>
  <c r="P74" i="55"/>
  <c r="O74" i="55"/>
  <c r="A74" i="55"/>
  <c r="V73" i="55"/>
  <c r="U73" i="55"/>
  <c r="T73" i="55"/>
  <c r="S73" i="55"/>
  <c r="R73" i="55"/>
  <c r="Q73" i="55"/>
  <c r="P73" i="55"/>
  <c r="O73" i="55"/>
  <c r="D73" i="55"/>
  <c r="C73" i="55"/>
  <c r="A73" i="55"/>
  <c r="V72" i="55"/>
  <c r="U72" i="55"/>
  <c r="T72" i="55"/>
  <c r="S72" i="55"/>
  <c r="R72" i="55"/>
  <c r="Q72" i="55"/>
  <c r="P72" i="55"/>
  <c r="O72" i="55"/>
  <c r="D72" i="55"/>
  <c r="A72" i="55"/>
  <c r="V71" i="55"/>
  <c r="U71" i="55"/>
  <c r="T71" i="55"/>
  <c r="S71" i="55"/>
  <c r="R71" i="55"/>
  <c r="Q71" i="55"/>
  <c r="P71" i="55"/>
  <c r="O71" i="55"/>
  <c r="L71" i="55"/>
  <c r="K71" i="55"/>
  <c r="J71" i="55"/>
  <c r="I71" i="55"/>
  <c r="H71" i="55"/>
  <c r="G71" i="55"/>
  <c r="F71" i="55"/>
  <c r="E71" i="55"/>
  <c r="D71" i="55"/>
  <c r="C71" i="55"/>
  <c r="A71" i="55"/>
  <c r="V70" i="55"/>
  <c r="U70" i="55"/>
  <c r="T70" i="55"/>
  <c r="S70" i="55"/>
  <c r="R70" i="55"/>
  <c r="Q70" i="55"/>
  <c r="P70" i="55"/>
  <c r="O70" i="55"/>
  <c r="A70" i="55"/>
  <c r="L69" i="55"/>
  <c r="K69" i="55"/>
  <c r="J69" i="55"/>
  <c r="I69" i="55"/>
  <c r="H69" i="55"/>
  <c r="G69" i="55"/>
  <c r="F69" i="55"/>
  <c r="E69" i="55"/>
  <c r="D69" i="55"/>
  <c r="C69" i="55"/>
  <c r="A69" i="55"/>
  <c r="V68" i="55"/>
  <c r="U68" i="55"/>
  <c r="T68" i="55"/>
  <c r="S68" i="55"/>
  <c r="R68" i="55"/>
  <c r="Q68" i="55"/>
  <c r="P68" i="55"/>
  <c r="O68" i="55"/>
  <c r="C68" i="55"/>
  <c r="A68" i="55"/>
  <c r="V67" i="55"/>
  <c r="U67" i="55"/>
  <c r="T67" i="55"/>
  <c r="S67" i="55"/>
  <c r="R67" i="55"/>
  <c r="Q67" i="55"/>
  <c r="P67" i="55"/>
  <c r="O67" i="55"/>
  <c r="A67" i="55"/>
  <c r="V66" i="55"/>
  <c r="U66" i="55"/>
  <c r="T66" i="55"/>
  <c r="S66" i="55"/>
  <c r="R66" i="55"/>
  <c r="Q66" i="55"/>
  <c r="P66" i="55"/>
  <c r="O66" i="55"/>
  <c r="A66" i="55"/>
  <c r="D65" i="55"/>
  <c r="C65" i="55"/>
  <c r="A65" i="55"/>
  <c r="V64" i="55"/>
  <c r="U64" i="55"/>
  <c r="T64" i="55"/>
  <c r="S64" i="55"/>
  <c r="R64" i="55"/>
  <c r="Q64" i="55"/>
  <c r="P64" i="55"/>
  <c r="O64" i="55"/>
  <c r="C64" i="55"/>
  <c r="A64" i="55"/>
  <c r="V63" i="55"/>
  <c r="U63" i="55"/>
  <c r="T63" i="55"/>
  <c r="S63" i="55"/>
  <c r="R63" i="55"/>
  <c r="Q63" i="55"/>
  <c r="P63" i="55"/>
  <c r="O63" i="55"/>
  <c r="A63" i="55"/>
  <c r="V62" i="55"/>
  <c r="U62" i="55"/>
  <c r="T62" i="55"/>
  <c r="S62" i="55"/>
  <c r="R62" i="55"/>
  <c r="Q62" i="55"/>
  <c r="P62" i="55"/>
  <c r="O62" i="55"/>
  <c r="A62" i="55"/>
  <c r="V61" i="55"/>
  <c r="U61" i="55"/>
  <c r="T61" i="55"/>
  <c r="S61" i="55"/>
  <c r="R61" i="55"/>
  <c r="Q61" i="55"/>
  <c r="P61" i="55"/>
  <c r="O61" i="55"/>
  <c r="A61" i="55"/>
  <c r="V60" i="55"/>
  <c r="U60" i="55"/>
  <c r="T60" i="55"/>
  <c r="S60" i="55"/>
  <c r="R60" i="55"/>
  <c r="Q60" i="55"/>
  <c r="P60" i="55"/>
  <c r="O60" i="55"/>
  <c r="A60" i="55"/>
  <c r="V59" i="55"/>
  <c r="U59" i="55"/>
  <c r="T59" i="55"/>
  <c r="S59" i="55"/>
  <c r="R59" i="55"/>
  <c r="Q59" i="55"/>
  <c r="P59" i="55"/>
  <c r="O59" i="55"/>
  <c r="D59" i="55"/>
  <c r="A59" i="55"/>
  <c r="V58" i="55"/>
  <c r="U58" i="55"/>
  <c r="T58" i="55"/>
  <c r="S58" i="55"/>
  <c r="R58" i="55"/>
  <c r="Q58" i="55"/>
  <c r="P58" i="55"/>
  <c r="O58" i="55"/>
  <c r="C58" i="55"/>
  <c r="D58" i="55" s="1"/>
  <c r="A58" i="55"/>
  <c r="V57" i="55"/>
  <c r="U57" i="55"/>
  <c r="T57" i="55"/>
  <c r="S57" i="55"/>
  <c r="R57" i="55"/>
  <c r="Q57" i="55"/>
  <c r="P57" i="55"/>
  <c r="O57" i="55"/>
  <c r="D57" i="55"/>
  <c r="C57" i="55"/>
  <c r="A57" i="55"/>
  <c r="V56" i="55"/>
  <c r="U56" i="55"/>
  <c r="T56" i="55"/>
  <c r="S56" i="55"/>
  <c r="R56" i="55"/>
  <c r="Q56" i="55"/>
  <c r="P56" i="55"/>
  <c r="O56" i="55"/>
  <c r="A56" i="55"/>
  <c r="V55" i="55"/>
  <c r="U55" i="55"/>
  <c r="T55" i="55"/>
  <c r="S55" i="55"/>
  <c r="R55" i="55"/>
  <c r="Q55" i="55"/>
  <c r="P55" i="55"/>
  <c r="O55" i="55"/>
  <c r="A55" i="55"/>
  <c r="V54" i="55"/>
  <c r="U54" i="55"/>
  <c r="T54" i="55"/>
  <c r="S54" i="55"/>
  <c r="R54" i="55"/>
  <c r="Q54" i="55"/>
  <c r="P54" i="55"/>
  <c r="O54" i="55"/>
  <c r="A54" i="55"/>
  <c r="V53" i="55"/>
  <c r="U53" i="55"/>
  <c r="T53" i="55"/>
  <c r="S53" i="55"/>
  <c r="R53" i="55"/>
  <c r="Q53" i="55"/>
  <c r="P53" i="55"/>
  <c r="O53" i="55"/>
  <c r="L53" i="55"/>
  <c r="K53" i="55"/>
  <c r="J53" i="55"/>
  <c r="I53" i="55"/>
  <c r="H53" i="55"/>
  <c r="G53" i="55"/>
  <c r="F53" i="55"/>
  <c r="E53" i="55"/>
  <c r="D53" i="55"/>
  <c r="C53" i="55"/>
  <c r="A53" i="55"/>
  <c r="V52" i="55"/>
  <c r="U52" i="55"/>
  <c r="T52" i="55"/>
  <c r="S52" i="55"/>
  <c r="R52" i="55"/>
  <c r="Q52" i="55"/>
  <c r="P52" i="55"/>
  <c r="O52" i="55"/>
  <c r="L52" i="55"/>
  <c r="K52" i="55"/>
  <c r="J52" i="55"/>
  <c r="I52" i="55"/>
  <c r="H52" i="55"/>
  <c r="G52" i="55"/>
  <c r="F52" i="55"/>
  <c r="E52" i="55"/>
  <c r="D52" i="55"/>
  <c r="C52" i="55"/>
  <c r="A52" i="55"/>
  <c r="V51" i="55"/>
  <c r="U51" i="55"/>
  <c r="T51" i="55"/>
  <c r="S51" i="55"/>
  <c r="R51" i="55"/>
  <c r="Q51" i="55"/>
  <c r="P51" i="55"/>
  <c r="O51" i="55"/>
  <c r="A51" i="55"/>
  <c r="V50" i="55"/>
  <c r="U50" i="55"/>
  <c r="T50" i="55"/>
  <c r="S50" i="55"/>
  <c r="R50" i="55"/>
  <c r="Q50" i="55"/>
  <c r="P50" i="55"/>
  <c r="O50" i="55"/>
  <c r="A50" i="55"/>
  <c r="V49" i="55"/>
  <c r="U49" i="55"/>
  <c r="T49" i="55"/>
  <c r="S49" i="55"/>
  <c r="R49" i="55"/>
  <c r="Q49" i="55"/>
  <c r="P49" i="55"/>
  <c r="O49" i="55"/>
  <c r="A49" i="55"/>
  <c r="V48" i="55"/>
  <c r="U48" i="55"/>
  <c r="T48" i="55"/>
  <c r="S48" i="55"/>
  <c r="R48" i="55"/>
  <c r="Q48" i="55"/>
  <c r="P48" i="55"/>
  <c r="O48" i="55"/>
  <c r="A48" i="55"/>
  <c r="V47" i="55"/>
  <c r="U47" i="55"/>
  <c r="T47" i="55"/>
  <c r="S47" i="55"/>
  <c r="R47" i="55"/>
  <c r="Q47" i="55"/>
  <c r="P47" i="55"/>
  <c r="O47" i="55"/>
  <c r="A47" i="55"/>
  <c r="V46" i="55"/>
  <c r="U46" i="55"/>
  <c r="T46" i="55"/>
  <c r="S46" i="55"/>
  <c r="R46" i="55"/>
  <c r="Q46" i="55"/>
  <c r="P46" i="55"/>
  <c r="O46" i="55"/>
  <c r="A46" i="55"/>
  <c r="V45" i="55"/>
  <c r="U45" i="55"/>
  <c r="T45" i="55"/>
  <c r="S45" i="55"/>
  <c r="R45" i="55"/>
  <c r="Q45" i="55"/>
  <c r="P45" i="55"/>
  <c r="O45" i="55"/>
  <c r="A45" i="55"/>
  <c r="V44" i="55"/>
  <c r="U44" i="55"/>
  <c r="T44" i="55"/>
  <c r="S44" i="55"/>
  <c r="R44" i="55"/>
  <c r="Q44" i="55"/>
  <c r="P44" i="55"/>
  <c r="O44" i="55"/>
  <c r="A44" i="55"/>
  <c r="V43" i="55"/>
  <c r="U43" i="55"/>
  <c r="T43" i="55"/>
  <c r="S43" i="55"/>
  <c r="R43" i="55"/>
  <c r="Q43" i="55"/>
  <c r="P43" i="55"/>
  <c r="O43" i="55"/>
  <c r="L43" i="55"/>
  <c r="K43" i="55"/>
  <c r="J43" i="55"/>
  <c r="I43" i="55"/>
  <c r="H43" i="55"/>
  <c r="G43" i="55"/>
  <c r="F43" i="55"/>
  <c r="E43" i="55"/>
  <c r="D43" i="55"/>
  <c r="C43" i="55"/>
  <c r="A43" i="55"/>
  <c r="V42" i="55"/>
  <c r="U42" i="55"/>
  <c r="T42" i="55"/>
  <c r="S42" i="55"/>
  <c r="R42" i="55"/>
  <c r="Q42" i="55"/>
  <c r="P42" i="55"/>
  <c r="O42" i="55"/>
  <c r="L42" i="55"/>
  <c r="K42" i="55"/>
  <c r="J42" i="55"/>
  <c r="I42" i="55"/>
  <c r="H42" i="55"/>
  <c r="G42" i="55"/>
  <c r="F42" i="55"/>
  <c r="E42" i="55"/>
  <c r="D42" i="55"/>
  <c r="C42" i="55"/>
  <c r="A42" i="55"/>
  <c r="V41" i="55"/>
  <c r="U41" i="55"/>
  <c r="T41" i="55"/>
  <c r="S41" i="55"/>
  <c r="R41" i="55"/>
  <c r="Q41" i="55"/>
  <c r="P41" i="55"/>
  <c r="O41" i="55"/>
  <c r="L41" i="55"/>
  <c r="K41" i="55"/>
  <c r="J41" i="55"/>
  <c r="I41" i="55"/>
  <c r="H41" i="55"/>
  <c r="G41" i="55"/>
  <c r="F41" i="55"/>
  <c r="E41" i="55"/>
  <c r="D41" i="55"/>
  <c r="C41" i="55"/>
  <c r="A41" i="55"/>
  <c r="V40" i="55"/>
  <c r="U40" i="55"/>
  <c r="T40" i="55"/>
  <c r="S40" i="55"/>
  <c r="R40" i="55"/>
  <c r="Q40" i="55"/>
  <c r="P40" i="55"/>
  <c r="O40" i="55"/>
  <c r="A40" i="55"/>
  <c r="V39" i="55"/>
  <c r="U39" i="55"/>
  <c r="T39" i="55"/>
  <c r="S39" i="55"/>
  <c r="R39" i="55"/>
  <c r="Q39" i="55"/>
  <c r="P39" i="55"/>
  <c r="O39" i="55"/>
  <c r="L39" i="55"/>
  <c r="K39" i="55"/>
  <c r="J39" i="55"/>
  <c r="I39" i="55"/>
  <c r="H39" i="55"/>
  <c r="G39" i="55"/>
  <c r="F39" i="55"/>
  <c r="E39" i="55"/>
  <c r="D39" i="55"/>
  <c r="C39" i="55"/>
  <c r="A39" i="55"/>
  <c r="V38" i="55"/>
  <c r="U38" i="55"/>
  <c r="T38" i="55"/>
  <c r="S38" i="55"/>
  <c r="R38" i="55"/>
  <c r="Q38" i="55"/>
  <c r="P38" i="55"/>
  <c r="O38" i="55"/>
  <c r="A38" i="55"/>
  <c r="V37" i="55"/>
  <c r="U37" i="55"/>
  <c r="T37" i="55"/>
  <c r="S37" i="55"/>
  <c r="R37" i="55"/>
  <c r="Q37" i="55"/>
  <c r="P37" i="55"/>
  <c r="O37" i="55"/>
  <c r="L37" i="55"/>
  <c r="K37" i="55"/>
  <c r="J37" i="55"/>
  <c r="I37" i="55"/>
  <c r="H37" i="55"/>
  <c r="G37" i="55"/>
  <c r="F37" i="55"/>
  <c r="E37" i="55"/>
  <c r="D37" i="55"/>
  <c r="C37" i="55"/>
  <c r="A37" i="55"/>
  <c r="V36" i="55"/>
  <c r="U36" i="55"/>
  <c r="T36" i="55"/>
  <c r="S36" i="55"/>
  <c r="R36" i="55"/>
  <c r="Q36" i="55"/>
  <c r="P36" i="55"/>
  <c r="O36" i="55"/>
  <c r="D36" i="55"/>
  <c r="C36" i="55"/>
  <c r="A36" i="55"/>
  <c r="V35" i="55"/>
  <c r="U35" i="55"/>
  <c r="T35" i="55"/>
  <c r="S35" i="55"/>
  <c r="R35" i="55"/>
  <c r="Q35" i="55"/>
  <c r="P35" i="55"/>
  <c r="O35" i="55"/>
  <c r="A35" i="55"/>
  <c r="V34" i="55"/>
  <c r="U34" i="55"/>
  <c r="T34" i="55"/>
  <c r="S34" i="55"/>
  <c r="R34" i="55"/>
  <c r="Q34" i="55"/>
  <c r="P34" i="55"/>
  <c r="O34" i="55"/>
  <c r="L34" i="55"/>
  <c r="K34" i="55"/>
  <c r="J34" i="55"/>
  <c r="I34" i="55"/>
  <c r="H34" i="55"/>
  <c r="G34" i="55"/>
  <c r="F34" i="55"/>
  <c r="E34" i="55"/>
  <c r="D34" i="55"/>
  <c r="C34" i="55"/>
  <c r="A34" i="55"/>
  <c r="V33" i="55"/>
  <c r="U33" i="55"/>
  <c r="T33" i="55"/>
  <c r="S33" i="55"/>
  <c r="R33" i="55"/>
  <c r="Q33" i="55"/>
  <c r="P33" i="55"/>
  <c r="O33" i="55"/>
  <c r="L33" i="55"/>
  <c r="K33" i="55"/>
  <c r="J33" i="55"/>
  <c r="I33" i="55"/>
  <c r="H33" i="55"/>
  <c r="G33" i="55"/>
  <c r="F33" i="55"/>
  <c r="E33" i="55"/>
  <c r="T32" i="55"/>
  <c r="S32" i="55"/>
  <c r="V31" i="55"/>
  <c r="U31" i="55"/>
  <c r="T31" i="55"/>
  <c r="S31" i="55"/>
  <c r="R31" i="55"/>
  <c r="Q31" i="55"/>
  <c r="P31" i="55"/>
  <c r="O31" i="55"/>
  <c r="N31" i="55"/>
  <c r="M31" i="55"/>
  <c r="J20" i="55"/>
  <c r="I20" i="55"/>
  <c r="H20" i="55"/>
  <c r="G20" i="55"/>
  <c r="J19" i="55"/>
  <c r="I19" i="55"/>
  <c r="H19" i="55"/>
  <c r="G19" i="55"/>
  <c r="J18" i="55"/>
  <c r="I18" i="55"/>
  <c r="H18" i="55"/>
  <c r="G18" i="55"/>
  <c r="J17" i="55"/>
  <c r="I17" i="55"/>
  <c r="H17" i="55"/>
  <c r="G17" i="55"/>
  <c r="J16" i="55"/>
  <c r="I16" i="55"/>
  <c r="H16" i="55"/>
  <c r="G16" i="55"/>
  <c r="J15" i="55"/>
  <c r="I15" i="55"/>
  <c r="H15" i="55"/>
  <c r="G15" i="55"/>
  <c r="J14" i="55"/>
  <c r="I14" i="55"/>
  <c r="H14" i="55"/>
  <c r="G14" i="55"/>
  <c r="J13" i="55"/>
  <c r="I13" i="55"/>
  <c r="H13" i="55"/>
  <c r="G13" i="55"/>
  <c r="J12" i="55"/>
  <c r="H12" i="55"/>
  <c r="G12" i="55"/>
  <c r="J11" i="55"/>
  <c r="H11" i="55"/>
  <c r="G11" i="55"/>
  <c r="E7" i="55"/>
  <c r="B7" i="55"/>
  <c r="I11" i="55" s="1"/>
  <c r="C33" i="55" s="1"/>
  <c r="N136" i="54"/>
  <c r="M136" i="54"/>
  <c r="L136" i="54"/>
  <c r="K136" i="54"/>
  <c r="J136" i="54"/>
  <c r="O135" i="54"/>
  <c r="N135" i="54"/>
  <c r="L135" i="54"/>
  <c r="K135" i="54"/>
  <c r="J135" i="54"/>
  <c r="I135" i="54"/>
  <c r="H135" i="54"/>
  <c r="O134" i="54"/>
  <c r="N134" i="54"/>
  <c r="L134" i="54"/>
  <c r="K134" i="54"/>
  <c r="J134" i="54"/>
  <c r="I134" i="54"/>
  <c r="H134" i="54"/>
  <c r="O133" i="54"/>
  <c r="N133" i="54"/>
  <c r="L133" i="54"/>
  <c r="K133" i="54"/>
  <c r="J133" i="54"/>
  <c r="I133" i="54"/>
  <c r="H133" i="54"/>
  <c r="O132" i="54"/>
  <c r="N132" i="54"/>
  <c r="L132" i="54"/>
  <c r="K132" i="54"/>
  <c r="J132" i="54"/>
  <c r="I132" i="54"/>
  <c r="H132" i="54"/>
  <c r="O131" i="54"/>
  <c r="N131" i="54"/>
  <c r="L131" i="54"/>
  <c r="K131" i="54"/>
  <c r="J131" i="54"/>
  <c r="I131" i="54"/>
  <c r="H131" i="54"/>
  <c r="O130" i="54"/>
  <c r="N130" i="54"/>
  <c r="L130" i="54"/>
  <c r="K130" i="54"/>
  <c r="J130" i="54"/>
  <c r="I130" i="54"/>
  <c r="H130" i="54"/>
  <c r="O129" i="54"/>
  <c r="N129" i="54"/>
  <c r="L129" i="54"/>
  <c r="K129" i="54"/>
  <c r="J129" i="54"/>
  <c r="I129" i="54"/>
  <c r="H129" i="54"/>
  <c r="O128" i="54"/>
  <c r="N128" i="54"/>
  <c r="L128" i="54"/>
  <c r="K128" i="54"/>
  <c r="J128" i="54"/>
  <c r="I128" i="54"/>
  <c r="H128" i="54"/>
  <c r="O127" i="54"/>
  <c r="N127" i="54"/>
  <c r="L127" i="54"/>
  <c r="K127" i="54"/>
  <c r="J127" i="54"/>
  <c r="I127" i="54"/>
  <c r="H127" i="54"/>
  <c r="O126" i="54"/>
  <c r="N126" i="54"/>
  <c r="L126" i="54"/>
  <c r="K126" i="54"/>
  <c r="J126" i="54"/>
  <c r="I126" i="54"/>
  <c r="H126" i="54"/>
  <c r="O125" i="54"/>
  <c r="N125" i="54"/>
  <c r="L125" i="54"/>
  <c r="K125" i="54"/>
  <c r="J125" i="54"/>
  <c r="I125" i="54"/>
  <c r="H125" i="54"/>
  <c r="O124" i="54"/>
  <c r="N124" i="54"/>
  <c r="L124" i="54"/>
  <c r="K124" i="54"/>
  <c r="J124" i="54"/>
  <c r="I124" i="54"/>
  <c r="H124" i="54"/>
  <c r="O123" i="54"/>
  <c r="N123" i="54"/>
  <c r="L123" i="54"/>
  <c r="K123" i="54"/>
  <c r="J123" i="54"/>
  <c r="I123" i="54"/>
  <c r="H123" i="54"/>
  <c r="O122" i="54"/>
  <c r="N122" i="54"/>
  <c r="L122" i="54"/>
  <c r="K122" i="54"/>
  <c r="J122" i="54"/>
  <c r="I122" i="54"/>
  <c r="H122" i="54"/>
  <c r="O121" i="54"/>
  <c r="N121" i="54"/>
  <c r="L121" i="54"/>
  <c r="K121" i="54"/>
  <c r="J121" i="54"/>
  <c r="I121" i="54"/>
  <c r="H121" i="54"/>
  <c r="O120" i="54"/>
  <c r="N120" i="54"/>
  <c r="L120" i="54"/>
  <c r="K120" i="54"/>
  <c r="J120" i="54"/>
  <c r="I120" i="54"/>
  <c r="H120" i="54"/>
  <c r="V103" i="54"/>
  <c r="U103" i="54"/>
  <c r="T103" i="54"/>
  <c r="S103" i="54"/>
  <c r="R103" i="54"/>
  <c r="Q103" i="54"/>
  <c r="P103" i="54"/>
  <c r="O103" i="54"/>
  <c r="N103" i="54"/>
  <c r="A103" i="54"/>
  <c r="V102" i="54"/>
  <c r="U102" i="54"/>
  <c r="T102" i="54"/>
  <c r="S102" i="54"/>
  <c r="R102" i="54"/>
  <c r="Q102" i="54"/>
  <c r="P102" i="54"/>
  <c r="O102" i="54"/>
  <c r="N102" i="54"/>
  <c r="A102" i="54"/>
  <c r="V101" i="54"/>
  <c r="U101" i="54"/>
  <c r="T101" i="54"/>
  <c r="S101" i="54"/>
  <c r="R101" i="54"/>
  <c r="Q101" i="54"/>
  <c r="P101" i="54"/>
  <c r="O101" i="54"/>
  <c r="N101" i="54"/>
  <c r="A101" i="54"/>
  <c r="V100" i="54"/>
  <c r="U100" i="54"/>
  <c r="T100" i="54"/>
  <c r="S100" i="54"/>
  <c r="R100" i="54"/>
  <c r="Q100" i="54"/>
  <c r="P100" i="54"/>
  <c r="O100" i="54"/>
  <c r="N100" i="54"/>
  <c r="A100" i="54"/>
  <c r="V99" i="54"/>
  <c r="U99" i="54"/>
  <c r="T99" i="54"/>
  <c r="S99" i="54"/>
  <c r="R99" i="54"/>
  <c r="Q99" i="54"/>
  <c r="P99" i="54"/>
  <c r="O99" i="54"/>
  <c r="N99" i="54"/>
  <c r="A99" i="54"/>
  <c r="V98" i="54"/>
  <c r="U98" i="54"/>
  <c r="T98" i="54"/>
  <c r="S98" i="54"/>
  <c r="R98" i="54"/>
  <c r="Q98" i="54"/>
  <c r="P98" i="54"/>
  <c r="O98" i="54"/>
  <c r="N98" i="54"/>
  <c r="A98" i="54"/>
  <c r="V97" i="54"/>
  <c r="U97" i="54"/>
  <c r="T97" i="54"/>
  <c r="S97" i="54"/>
  <c r="R97" i="54"/>
  <c r="Q97" i="54"/>
  <c r="P97" i="54"/>
  <c r="O97" i="54"/>
  <c r="N97" i="54"/>
  <c r="A97" i="54"/>
  <c r="V96" i="54"/>
  <c r="U96" i="54"/>
  <c r="T96" i="54"/>
  <c r="S96" i="54"/>
  <c r="R96" i="54"/>
  <c r="Q96" i="54"/>
  <c r="P96" i="54"/>
  <c r="O96" i="54"/>
  <c r="N96" i="54"/>
  <c r="A96" i="54"/>
  <c r="V95" i="54"/>
  <c r="U95" i="54"/>
  <c r="T95" i="54"/>
  <c r="S95" i="54"/>
  <c r="R95" i="54"/>
  <c r="Q95" i="54"/>
  <c r="P95" i="54"/>
  <c r="O95" i="54"/>
  <c r="N95" i="54"/>
  <c r="A95" i="54"/>
  <c r="V94" i="54"/>
  <c r="U94" i="54"/>
  <c r="T94" i="54"/>
  <c r="S94" i="54"/>
  <c r="R94" i="54"/>
  <c r="Q94" i="54"/>
  <c r="P94" i="54"/>
  <c r="O94" i="54"/>
  <c r="N94" i="54"/>
  <c r="A94" i="54"/>
  <c r="V93" i="54"/>
  <c r="U93" i="54"/>
  <c r="T93" i="54"/>
  <c r="S93" i="54"/>
  <c r="R93" i="54"/>
  <c r="Q93" i="54"/>
  <c r="P93" i="54"/>
  <c r="O93" i="54"/>
  <c r="N93" i="54"/>
  <c r="A93" i="54"/>
  <c r="V92" i="54"/>
  <c r="U92" i="54"/>
  <c r="T92" i="54"/>
  <c r="S92" i="54"/>
  <c r="R92" i="54"/>
  <c r="Q92" i="54"/>
  <c r="P92" i="54"/>
  <c r="O92" i="54"/>
  <c r="N92" i="54"/>
  <c r="A92" i="54"/>
  <c r="V91" i="54"/>
  <c r="U91" i="54"/>
  <c r="T91" i="54"/>
  <c r="S91" i="54"/>
  <c r="R91" i="54"/>
  <c r="Q91" i="54"/>
  <c r="P91" i="54"/>
  <c r="O91" i="54"/>
  <c r="N91" i="54"/>
  <c r="A91" i="54"/>
  <c r="V90" i="54"/>
  <c r="U90" i="54"/>
  <c r="T90" i="54"/>
  <c r="S90" i="54"/>
  <c r="R90" i="54"/>
  <c r="Q90" i="54"/>
  <c r="P90" i="54"/>
  <c r="O90" i="54"/>
  <c r="N90" i="54"/>
  <c r="A90" i="54"/>
  <c r="V89" i="54"/>
  <c r="U89" i="54"/>
  <c r="T89" i="54"/>
  <c r="S89" i="54"/>
  <c r="R89" i="54"/>
  <c r="Q89" i="54"/>
  <c r="P89" i="54"/>
  <c r="O89" i="54"/>
  <c r="N89" i="54"/>
  <c r="A89" i="54"/>
  <c r="V88" i="54"/>
  <c r="U88" i="54"/>
  <c r="T88" i="54"/>
  <c r="S88" i="54"/>
  <c r="R88" i="54"/>
  <c r="Q88" i="54"/>
  <c r="P88" i="54"/>
  <c r="O88" i="54"/>
  <c r="N88" i="54"/>
  <c r="A88" i="54"/>
  <c r="V87" i="54"/>
  <c r="U87" i="54"/>
  <c r="T87" i="54"/>
  <c r="S87" i="54"/>
  <c r="R87" i="54"/>
  <c r="Q87" i="54"/>
  <c r="P87" i="54"/>
  <c r="O87" i="54"/>
  <c r="N87" i="54"/>
  <c r="A87" i="54"/>
  <c r="V86" i="54"/>
  <c r="U86" i="54"/>
  <c r="T86" i="54"/>
  <c r="S86" i="54"/>
  <c r="R86" i="54"/>
  <c r="Q86" i="54"/>
  <c r="P86" i="54"/>
  <c r="O86" i="54"/>
  <c r="N86" i="54"/>
  <c r="A86" i="54"/>
  <c r="V85" i="54"/>
  <c r="U85" i="54"/>
  <c r="T85" i="54"/>
  <c r="S85" i="54"/>
  <c r="R85" i="54"/>
  <c r="Q85" i="54"/>
  <c r="P85" i="54"/>
  <c r="O85" i="54"/>
  <c r="N85" i="54"/>
  <c r="A85" i="54"/>
  <c r="V84" i="54"/>
  <c r="U84" i="54"/>
  <c r="T84" i="54"/>
  <c r="S84" i="54"/>
  <c r="R84" i="54"/>
  <c r="Q84" i="54"/>
  <c r="P84" i="54"/>
  <c r="O84" i="54"/>
  <c r="N84" i="54"/>
  <c r="A84" i="54"/>
  <c r="V83" i="54"/>
  <c r="U83" i="54"/>
  <c r="T83" i="54"/>
  <c r="S83" i="54"/>
  <c r="R83" i="54"/>
  <c r="Q83" i="54"/>
  <c r="P83" i="54"/>
  <c r="O83" i="54"/>
  <c r="N83" i="54"/>
  <c r="A83" i="54"/>
  <c r="V82" i="54"/>
  <c r="U82" i="54"/>
  <c r="T82" i="54"/>
  <c r="S82" i="54"/>
  <c r="R82" i="54"/>
  <c r="Q82" i="54"/>
  <c r="P82" i="54"/>
  <c r="O82" i="54"/>
  <c r="N82" i="54"/>
  <c r="L82" i="54"/>
  <c r="K82" i="54"/>
  <c r="J82" i="54"/>
  <c r="I82" i="54"/>
  <c r="H82" i="54"/>
  <c r="G82" i="54"/>
  <c r="F82" i="54"/>
  <c r="A82" i="54"/>
  <c r="V81" i="54"/>
  <c r="U81" i="54"/>
  <c r="T81" i="54"/>
  <c r="S81" i="54"/>
  <c r="R81" i="54"/>
  <c r="Q81" i="54"/>
  <c r="P81" i="54"/>
  <c r="O81" i="54"/>
  <c r="N81" i="54"/>
  <c r="A81" i="54"/>
  <c r="V80" i="54"/>
  <c r="U80" i="54"/>
  <c r="T80" i="54"/>
  <c r="S80" i="54"/>
  <c r="R80" i="54"/>
  <c r="Q80" i="54"/>
  <c r="P80" i="54"/>
  <c r="O80" i="54"/>
  <c r="N80" i="54"/>
  <c r="A80" i="54"/>
  <c r="V79" i="54"/>
  <c r="U79" i="54"/>
  <c r="T79" i="54"/>
  <c r="S79" i="54"/>
  <c r="R79" i="54"/>
  <c r="Q79" i="54"/>
  <c r="P79" i="54"/>
  <c r="O79" i="54"/>
  <c r="N79" i="54"/>
  <c r="A79" i="54"/>
  <c r="V78" i="54"/>
  <c r="U78" i="54"/>
  <c r="T78" i="54"/>
  <c r="S78" i="54"/>
  <c r="R78" i="54"/>
  <c r="Q78" i="54"/>
  <c r="P78" i="54"/>
  <c r="O78" i="54"/>
  <c r="N78" i="54"/>
  <c r="A78" i="54"/>
  <c r="V77" i="54"/>
  <c r="U77" i="54"/>
  <c r="T77" i="54"/>
  <c r="S77" i="54"/>
  <c r="R77" i="54"/>
  <c r="Q77" i="54"/>
  <c r="P77" i="54"/>
  <c r="O77" i="54"/>
  <c r="N77" i="54"/>
  <c r="A77" i="54"/>
  <c r="V76" i="54"/>
  <c r="U76" i="54"/>
  <c r="T76" i="54"/>
  <c r="S76" i="54"/>
  <c r="R76" i="54"/>
  <c r="Q76" i="54"/>
  <c r="P76" i="54"/>
  <c r="O76" i="54"/>
  <c r="N76" i="54"/>
  <c r="A76" i="54"/>
  <c r="V75" i="54"/>
  <c r="U75" i="54"/>
  <c r="T75" i="54"/>
  <c r="S75" i="54"/>
  <c r="R75" i="54"/>
  <c r="Q75" i="54"/>
  <c r="P75" i="54"/>
  <c r="O75" i="54"/>
  <c r="N75" i="54"/>
  <c r="A75" i="54"/>
  <c r="V74" i="54"/>
  <c r="U74" i="54"/>
  <c r="T74" i="54"/>
  <c r="S74" i="54"/>
  <c r="R74" i="54"/>
  <c r="Q74" i="54"/>
  <c r="P74" i="54"/>
  <c r="O74" i="54"/>
  <c r="N74" i="54"/>
  <c r="A74" i="54"/>
  <c r="V73" i="54"/>
  <c r="U73" i="54"/>
  <c r="T73" i="54"/>
  <c r="S73" i="54"/>
  <c r="R73" i="54"/>
  <c r="Q73" i="54"/>
  <c r="P73" i="54"/>
  <c r="O73" i="54"/>
  <c r="N73" i="54"/>
  <c r="A73" i="54"/>
  <c r="V72" i="54"/>
  <c r="U72" i="54"/>
  <c r="T72" i="54"/>
  <c r="S72" i="54"/>
  <c r="R72" i="54"/>
  <c r="Q72" i="54"/>
  <c r="P72" i="54"/>
  <c r="O72" i="54"/>
  <c r="N72" i="54"/>
  <c r="A72" i="54"/>
  <c r="V71" i="54"/>
  <c r="U71" i="54"/>
  <c r="T71" i="54"/>
  <c r="S71" i="54"/>
  <c r="R71" i="54"/>
  <c r="Q71" i="54"/>
  <c r="P71" i="54"/>
  <c r="O71" i="54"/>
  <c r="N71" i="54"/>
  <c r="L71" i="54"/>
  <c r="K71" i="54"/>
  <c r="J71" i="54"/>
  <c r="I71" i="54"/>
  <c r="H71" i="54"/>
  <c r="G71" i="54"/>
  <c r="F71" i="54"/>
  <c r="E71" i="54"/>
  <c r="D71" i="54"/>
  <c r="C71" i="54"/>
  <c r="A71" i="54"/>
  <c r="V70" i="54"/>
  <c r="U70" i="54"/>
  <c r="T70" i="54"/>
  <c r="S70" i="54"/>
  <c r="R70" i="54"/>
  <c r="Q70" i="54"/>
  <c r="P70" i="54"/>
  <c r="O70" i="54"/>
  <c r="N70" i="54"/>
  <c r="A70" i="54"/>
  <c r="L69" i="54"/>
  <c r="K69" i="54"/>
  <c r="J69" i="54"/>
  <c r="I69" i="54"/>
  <c r="H69" i="54"/>
  <c r="G69" i="54"/>
  <c r="F69" i="54"/>
  <c r="E69" i="54"/>
  <c r="D69" i="54"/>
  <c r="C69" i="54"/>
  <c r="A69" i="54"/>
  <c r="V68" i="54"/>
  <c r="U68" i="54"/>
  <c r="T68" i="54"/>
  <c r="S68" i="54"/>
  <c r="R68" i="54"/>
  <c r="Q68" i="54"/>
  <c r="P68" i="54"/>
  <c r="O68" i="54"/>
  <c r="N68" i="54"/>
  <c r="C68" i="54"/>
  <c r="A68" i="54"/>
  <c r="V67" i="54"/>
  <c r="U67" i="54"/>
  <c r="T67" i="54"/>
  <c r="S67" i="54"/>
  <c r="R67" i="54"/>
  <c r="Q67" i="54"/>
  <c r="P67" i="54"/>
  <c r="O67" i="54"/>
  <c r="N67" i="54"/>
  <c r="A67" i="54"/>
  <c r="V66" i="54"/>
  <c r="U66" i="54"/>
  <c r="T66" i="54"/>
  <c r="S66" i="54"/>
  <c r="R66" i="54"/>
  <c r="Q66" i="54"/>
  <c r="P66" i="54"/>
  <c r="O66" i="54"/>
  <c r="N66" i="54"/>
  <c r="A66" i="54"/>
  <c r="C65" i="54"/>
  <c r="A65" i="54"/>
  <c r="V64" i="54"/>
  <c r="U64" i="54"/>
  <c r="T64" i="54"/>
  <c r="S64" i="54"/>
  <c r="R64" i="54"/>
  <c r="Q64" i="54"/>
  <c r="P64" i="54"/>
  <c r="O64" i="54"/>
  <c r="N64" i="54"/>
  <c r="C64" i="54"/>
  <c r="A64" i="54"/>
  <c r="V63" i="54"/>
  <c r="U63" i="54"/>
  <c r="T63" i="54"/>
  <c r="S63" i="54"/>
  <c r="R63" i="54"/>
  <c r="Q63" i="54"/>
  <c r="P63" i="54"/>
  <c r="O63" i="54"/>
  <c r="N63" i="54"/>
  <c r="A63" i="54"/>
  <c r="V62" i="54"/>
  <c r="U62" i="54"/>
  <c r="T62" i="54"/>
  <c r="S62" i="54"/>
  <c r="R62" i="54"/>
  <c r="Q62" i="54"/>
  <c r="P62" i="54"/>
  <c r="O62" i="54"/>
  <c r="N62" i="54"/>
  <c r="A62" i="54"/>
  <c r="V61" i="54"/>
  <c r="U61" i="54"/>
  <c r="T61" i="54"/>
  <c r="S61" i="54"/>
  <c r="R61" i="54"/>
  <c r="Q61" i="54"/>
  <c r="P61" i="54"/>
  <c r="O61" i="54"/>
  <c r="N61" i="54"/>
  <c r="A61" i="54"/>
  <c r="V60" i="54"/>
  <c r="U60" i="54"/>
  <c r="T60" i="54"/>
  <c r="S60" i="54"/>
  <c r="R60" i="54"/>
  <c r="Q60" i="54"/>
  <c r="P60" i="54"/>
  <c r="O60" i="54"/>
  <c r="N60" i="54"/>
  <c r="A60" i="54"/>
  <c r="V59" i="54"/>
  <c r="U59" i="54"/>
  <c r="T59" i="54"/>
  <c r="S59" i="54"/>
  <c r="R59" i="54"/>
  <c r="Q59" i="54"/>
  <c r="P59" i="54"/>
  <c r="O59" i="54"/>
  <c r="N59" i="54"/>
  <c r="A59" i="54"/>
  <c r="V58" i="54"/>
  <c r="U58" i="54"/>
  <c r="T58" i="54"/>
  <c r="S58" i="54"/>
  <c r="R58" i="54"/>
  <c r="Q58" i="54"/>
  <c r="P58" i="54"/>
  <c r="O58" i="54"/>
  <c r="N58" i="54"/>
  <c r="C58" i="54"/>
  <c r="A58" i="54"/>
  <c r="V57" i="54"/>
  <c r="U57" i="54"/>
  <c r="T57" i="54"/>
  <c r="S57" i="54"/>
  <c r="R57" i="54"/>
  <c r="Q57" i="54"/>
  <c r="P57" i="54"/>
  <c r="O57" i="54"/>
  <c r="N57" i="54"/>
  <c r="C57" i="54"/>
  <c r="A57" i="54"/>
  <c r="V56" i="54"/>
  <c r="U56" i="54"/>
  <c r="T56" i="54"/>
  <c r="S56" i="54"/>
  <c r="R56" i="54"/>
  <c r="Q56" i="54"/>
  <c r="P56" i="54"/>
  <c r="O56" i="54"/>
  <c r="N56" i="54"/>
  <c r="A56" i="54"/>
  <c r="V55" i="54"/>
  <c r="U55" i="54"/>
  <c r="T55" i="54"/>
  <c r="S55" i="54"/>
  <c r="R55" i="54"/>
  <c r="Q55" i="54"/>
  <c r="P55" i="54"/>
  <c r="O55" i="54"/>
  <c r="N55" i="54"/>
  <c r="A55" i="54"/>
  <c r="V54" i="54"/>
  <c r="U54" i="54"/>
  <c r="T54" i="54"/>
  <c r="S54" i="54"/>
  <c r="R54" i="54"/>
  <c r="Q54" i="54"/>
  <c r="P54" i="54"/>
  <c r="O54" i="54"/>
  <c r="N54" i="54"/>
  <c r="A54" i="54"/>
  <c r="V53" i="54"/>
  <c r="U53" i="54"/>
  <c r="T53" i="54"/>
  <c r="S53" i="54"/>
  <c r="R53" i="54"/>
  <c r="Q53" i="54"/>
  <c r="P53" i="54"/>
  <c r="O53" i="54"/>
  <c r="N53" i="54"/>
  <c r="L53" i="54"/>
  <c r="K53" i="54"/>
  <c r="J53" i="54"/>
  <c r="I53" i="54"/>
  <c r="H53" i="54"/>
  <c r="G53" i="54"/>
  <c r="F53" i="54"/>
  <c r="E53" i="54"/>
  <c r="D53" i="54"/>
  <c r="C53" i="54"/>
  <c r="A53" i="54"/>
  <c r="V52" i="54"/>
  <c r="U52" i="54"/>
  <c r="T52" i="54"/>
  <c r="S52" i="54"/>
  <c r="R52" i="54"/>
  <c r="Q52" i="54"/>
  <c r="P52" i="54"/>
  <c r="O52" i="54"/>
  <c r="N52" i="54"/>
  <c r="L52" i="54"/>
  <c r="K52" i="54"/>
  <c r="J52" i="54"/>
  <c r="I52" i="54"/>
  <c r="H52" i="54"/>
  <c r="G52" i="54"/>
  <c r="F52" i="54"/>
  <c r="E52" i="54"/>
  <c r="D52" i="54"/>
  <c r="C52" i="54"/>
  <c r="A52" i="54"/>
  <c r="V51" i="54"/>
  <c r="U51" i="54"/>
  <c r="T51" i="54"/>
  <c r="S51" i="54"/>
  <c r="R51" i="54"/>
  <c r="Q51" i="54"/>
  <c r="P51" i="54"/>
  <c r="O51" i="54"/>
  <c r="N51" i="54"/>
  <c r="A51" i="54"/>
  <c r="V50" i="54"/>
  <c r="U50" i="54"/>
  <c r="T50" i="54"/>
  <c r="S50" i="54"/>
  <c r="R50" i="54"/>
  <c r="Q50" i="54"/>
  <c r="P50" i="54"/>
  <c r="O50" i="54"/>
  <c r="N50" i="54"/>
  <c r="A50" i="54"/>
  <c r="V49" i="54"/>
  <c r="U49" i="54"/>
  <c r="T49" i="54"/>
  <c r="S49" i="54"/>
  <c r="R49" i="54"/>
  <c r="Q49" i="54"/>
  <c r="P49" i="54"/>
  <c r="O49" i="54"/>
  <c r="N49" i="54"/>
  <c r="A49" i="54"/>
  <c r="V48" i="54"/>
  <c r="U48" i="54"/>
  <c r="T48" i="54"/>
  <c r="S48" i="54"/>
  <c r="R48" i="54"/>
  <c r="Q48" i="54"/>
  <c r="P48" i="54"/>
  <c r="O48" i="54"/>
  <c r="N48" i="54"/>
  <c r="A48" i="54"/>
  <c r="V47" i="54"/>
  <c r="U47" i="54"/>
  <c r="T47" i="54"/>
  <c r="S47" i="54"/>
  <c r="R47" i="54"/>
  <c r="Q47" i="54"/>
  <c r="P47" i="54"/>
  <c r="O47" i="54"/>
  <c r="N47" i="54"/>
  <c r="A47" i="54"/>
  <c r="V46" i="54"/>
  <c r="U46" i="54"/>
  <c r="T46" i="54"/>
  <c r="S46" i="54"/>
  <c r="R46" i="54"/>
  <c r="Q46" i="54"/>
  <c r="P46" i="54"/>
  <c r="O46" i="54"/>
  <c r="N46" i="54"/>
  <c r="A46" i="54"/>
  <c r="V45" i="54"/>
  <c r="U45" i="54"/>
  <c r="T45" i="54"/>
  <c r="S45" i="54"/>
  <c r="R45" i="54"/>
  <c r="Q45" i="54"/>
  <c r="P45" i="54"/>
  <c r="O45" i="54"/>
  <c r="N45" i="54"/>
  <c r="A45" i="54"/>
  <c r="V44" i="54"/>
  <c r="U44" i="54"/>
  <c r="T44" i="54"/>
  <c r="S44" i="54"/>
  <c r="R44" i="54"/>
  <c r="Q44" i="54"/>
  <c r="P44" i="54"/>
  <c r="O44" i="54"/>
  <c r="N44" i="54"/>
  <c r="A44" i="54"/>
  <c r="V43" i="54"/>
  <c r="U43" i="54"/>
  <c r="T43" i="54"/>
  <c r="S43" i="54"/>
  <c r="R43" i="54"/>
  <c r="Q43" i="54"/>
  <c r="P43" i="54"/>
  <c r="O43" i="54"/>
  <c r="N43" i="54"/>
  <c r="L43" i="54"/>
  <c r="K43" i="54"/>
  <c r="J43" i="54"/>
  <c r="I43" i="54"/>
  <c r="H43" i="54"/>
  <c r="G43" i="54"/>
  <c r="F43" i="54"/>
  <c r="E43" i="54"/>
  <c r="D43" i="54"/>
  <c r="C43" i="54"/>
  <c r="A43" i="54"/>
  <c r="V42" i="54"/>
  <c r="U42" i="54"/>
  <c r="T42" i="54"/>
  <c r="S42" i="54"/>
  <c r="R42" i="54"/>
  <c r="Q42" i="54"/>
  <c r="P42" i="54"/>
  <c r="O42" i="54"/>
  <c r="N42" i="54"/>
  <c r="L42" i="54"/>
  <c r="K42" i="54"/>
  <c r="J42" i="54"/>
  <c r="I42" i="54"/>
  <c r="H42" i="54"/>
  <c r="G42" i="54"/>
  <c r="F42" i="54"/>
  <c r="E42" i="54"/>
  <c r="D42" i="54"/>
  <c r="C42" i="54"/>
  <c r="A42" i="54"/>
  <c r="V41" i="54"/>
  <c r="U41" i="54"/>
  <c r="T41" i="54"/>
  <c r="S41" i="54"/>
  <c r="R41" i="54"/>
  <c r="Q41" i="54"/>
  <c r="P41" i="54"/>
  <c r="O41" i="54"/>
  <c r="N41" i="54"/>
  <c r="L41" i="54"/>
  <c r="K41" i="54"/>
  <c r="J41" i="54"/>
  <c r="I41" i="54"/>
  <c r="H41" i="54"/>
  <c r="G41" i="54"/>
  <c r="F41" i="54"/>
  <c r="E41" i="54"/>
  <c r="D41" i="54"/>
  <c r="C41" i="54"/>
  <c r="A41" i="54"/>
  <c r="V40" i="54"/>
  <c r="U40" i="54"/>
  <c r="T40" i="54"/>
  <c r="S40" i="54"/>
  <c r="R40" i="54"/>
  <c r="Q40" i="54"/>
  <c r="P40" i="54"/>
  <c r="O40" i="54"/>
  <c r="N40" i="54"/>
  <c r="A40" i="54"/>
  <c r="V39" i="54"/>
  <c r="U39" i="54"/>
  <c r="T39" i="54"/>
  <c r="S39" i="54"/>
  <c r="R39" i="54"/>
  <c r="Q39" i="54"/>
  <c r="P39" i="54"/>
  <c r="O39" i="54"/>
  <c r="N39" i="54"/>
  <c r="L39" i="54"/>
  <c r="K39" i="54"/>
  <c r="J39" i="54"/>
  <c r="I39" i="54"/>
  <c r="H39" i="54"/>
  <c r="G39" i="54"/>
  <c r="F39" i="54"/>
  <c r="E39" i="54"/>
  <c r="D39" i="54"/>
  <c r="C39" i="54"/>
  <c r="A39" i="54"/>
  <c r="V38" i="54"/>
  <c r="U38" i="54"/>
  <c r="T38" i="54"/>
  <c r="S38" i="54"/>
  <c r="R38" i="54"/>
  <c r="Q38" i="54"/>
  <c r="P38" i="54"/>
  <c r="O38" i="54"/>
  <c r="N38" i="54"/>
  <c r="A38" i="54"/>
  <c r="V37" i="54"/>
  <c r="U37" i="54"/>
  <c r="T37" i="54"/>
  <c r="S37" i="54"/>
  <c r="R37" i="54"/>
  <c r="Q37" i="54"/>
  <c r="P37" i="54"/>
  <c r="O37" i="54"/>
  <c r="N37" i="54"/>
  <c r="L37" i="54"/>
  <c r="K37" i="54"/>
  <c r="J37" i="54"/>
  <c r="I37" i="54"/>
  <c r="H37" i="54"/>
  <c r="G37" i="54"/>
  <c r="F37" i="54"/>
  <c r="E37" i="54"/>
  <c r="D37" i="54"/>
  <c r="C37" i="54"/>
  <c r="A37" i="54"/>
  <c r="V36" i="54"/>
  <c r="U36" i="54"/>
  <c r="T36" i="54"/>
  <c r="S36" i="54"/>
  <c r="R36" i="54"/>
  <c r="Q36" i="54"/>
  <c r="P36" i="54"/>
  <c r="O36" i="54"/>
  <c r="N36" i="54"/>
  <c r="C36" i="54"/>
  <c r="A36" i="54"/>
  <c r="V35" i="54"/>
  <c r="U35" i="54"/>
  <c r="T35" i="54"/>
  <c r="S35" i="54"/>
  <c r="R35" i="54"/>
  <c r="Q35" i="54"/>
  <c r="P35" i="54"/>
  <c r="O35" i="54"/>
  <c r="N35" i="54"/>
  <c r="A35" i="54"/>
  <c r="V34" i="54"/>
  <c r="U34" i="54"/>
  <c r="T34" i="54"/>
  <c r="S34" i="54"/>
  <c r="R34" i="54"/>
  <c r="Q34" i="54"/>
  <c r="P34" i="54"/>
  <c r="O34" i="54"/>
  <c r="N34" i="54"/>
  <c r="L34" i="54"/>
  <c r="K34" i="54"/>
  <c r="J34" i="54"/>
  <c r="I34" i="54"/>
  <c r="H34" i="54"/>
  <c r="G34" i="54"/>
  <c r="F34" i="54"/>
  <c r="E34" i="54"/>
  <c r="D34" i="54"/>
  <c r="C34" i="54"/>
  <c r="A34" i="54"/>
  <c r="V33" i="54"/>
  <c r="U33" i="54"/>
  <c r="T33" i="54"/>
  <c r="S33" i="54"/>
  <c r="R33" i="54"/>
  <c r="Q33" i="54"/>
  <c r="P33" i="54"/>
  <c r="O33" i="54"/>
  <c r="N33" i="54"/>
  <c r="L33" i="54"/>
  <c r="K33" i="54"/>
  <c r="J33" i="54"/>
  <c r="I33" i="54"/>
  <c r="H33" i="54"/>
  <c r="G33" i="54"/>
  <c r="F33" i="54"/>
  <c r="E33" i="54"/>
  <c r="D33" i="54"/>
  <c r="T32" i="54"/>
  <c r="S32" i="54"/>
  <c r="V31" i="54"/>
  <c r="U31" i="54"/>
  <c r="T31" i="54"/>
  <c r="S31" i="54"/>
  <c r="R31" i="54"/>
  <c r="Q31" i="54"/>
  <c r="P31" i="54"/>
  <c r="O31" i="54"/>
  <c r="N31" i="54"/>
  <c r="M31" i="54"/>
  <c r="J20" i="54"/>
  <c r="I20" i="54"/>
  <c r="H20" i="54"/>
  <c r="G20" i="54"/>
  <c r="J19" i="54"/>
  <c r="I19" i="54"/>
  <c r="H19" i="54"/>
  <c r="G19" i="54"/>
  <c r="J18" i="54"/>
  <c r="I18" i="54"/>
  <c r="H18" i="54"/>
  <c r="G18" i="54"/>
  <c r="J17" i="54"/>
  <c r="I17" i="54"/>
  <c r="H17" i="54"/>
  <c r="G17" i="54"/>
  <c r="J16" i="54"/>
  <c r="I16" i="54"/>
  <c r="H16" i="54"/>
  <c r="G16" i="54"/>
  <c r="J15" i="54"/>
  <c r="I15" i="54"/>
  <c r="H15" i="54"/>
  <c r="G15" i="54"/>
  <c r="J14" i="54"/>
  <c r="I14" i="54"/>
  <c r="H14" i="54"/>
  <c r="G14" i="54"/>
  <c r="J13" i="54"/>
  <c r="I13" i="54"/>
  <c r="H13" i="54"/>
  <c r="G13" i="54"/>
  <c r="J12" i="54"/>
  <c r="I12" i="54"/>
  <c r="H12" i="54"/>
  <c r="G12" i="54"/>
  <c r="J11" i="54"/>
  <c r="H11" i="54"/>
  <c r="G11" i="54"/>
  <c r="E7" i="54"/>
  <c r="B7" i="54"/>
  <c r="I11" i="54" s="1"/>
  <c r="C33" i="54" s="1"/>
  <c r="F161" i="52"/>
  <c r="E161" i="52"/>
  <c r="C161" i="52"/>
  <c r="B161" i="52"/>
  <c r="I128" i="52"/>
  <c r="H128" i="52"/>
  <c r="G128" i="52"/>
  <c r="F128" i="52"/>
  <c r="E128" i="52"/>
  <c r="J127" i="52"/>
  <c r="I127" i="52"/>
  <c r="F127" i="52"/>
  <c r="E127" i="52"/>
  <c r="J126" i="52"/>
  <c r="I126" i="52"/>
  <c r="F126" i="52"/>
  <c r="E126" i="52"/>
  <c r="J125" i="52"/>
  <c r="I125" i="52"/>
  <c r="F125" i="52"/>
  <c r="E125" i="52"/>
  <c r="J124" i="52"/>
  <c r="I124" i="52"/>
  <c r="F124" i="52"/>
  <c r="E124" i="52"/>
  <c r="J123" i="52"/>
  <c r="I123" i="52"/>
  <c r="F123" i="52"/>
  <c r="E123" i="52"/>
  <c r="J122" i="52"/>
  <c r="I122" i="52"/>
  <c r="F122" i="52"/>
  <c r="E122" i="52"/>
  <c r="V103" i="52"/>
  <c r="U103" i="52"/>
  <c r="T103" i="52"/>
  <c r="S103" i="52"/>
  <c r="R103" i="52"/>
  <c r="Q103" i="52"/>
  <c r="P103" i="52"/>
  <c r="O103" i="52"/>
  <c r="N103" i="52"/>
  <c r="A103" i="52"/>
  <c r="V102" i="52"/>
  <c r="U102" i="52"/>
  <c r="T102" i="52"/>
  <c r="S102" i="52"/>
  <c r="R102" i="52"/>
  <c r="Q102" i="52"/>
  <c r="P102" i="52"/>
  <c r="O102" i="52"/>
  <c r="N102" i="52"/>
  <c r="A102" i="52"/>
  <c r="V101" i="52"/>
  <c r="U101" i="52"/>
  <c r="T101" i="52"/>
  <c r="S101" i="52"/>
  <c r="R101" i="52"/>
  <c r="Q101" i="52"/>
  <c r="P101" i="52"/>
  <c r="O101" i="52"/>
  <c r="N101" i="52"/>
  <c r="A101" i="52"/>
  <c r="V100" i="52"/>
  <c r="U100" i="52"/>
  <c r="T100" i="52"/>
  <c r="S100" i="52"/>
  <c r="R100" i="52"/>
  <c r="Q100" i="52"/>
  <c r="P100" i="52"/>
  <c r="O100" i="52"/>
  <c r="N100" i="52"/>
  <c r="A100" i="52"/>
  <c r="V99" i="52"/>
  <c r="U99" i="52"/>
  <c r="T99" i="52"/>
  <c r="S99" i="52"/>
  <c r="R99" i="52"/>
  <c r="Q99" i="52"/>
  <c r="P99" i="52"/>
  <c r="O99" i="52"/>
  <c r="N99" i="52"/>
  <c r="A99" i="52"/>
  <c r="V98" i="52"/>
  <c r="U98" i="52"/>
  <c r="T98" i="52"/>
  <c r="S98" i="52"/>
  <c r="R98" i="52"/>
  <c r="Q98" i="52"/>
  <c r="P98" i="52"/>
  <c r="O98" i="52"/>
  <c r="N98" i="52"/>
  <c r="A98" i="52"/>
  <c r="V97" i="52"/>
  <c r="U97" i="52"/>
  <c r="T97" i="52"/>
  <c r="S97" i="52"/>
  <c r="R97" i="52"/>
  <c r="Q97" i="52"/>
  <c r="P97" i="52"/>
  <c r="O97" i="52"/>
  <c r="N97" i="52"/>
  <c r="A97" i="52"/>
  <c r="V96" i="52"/>
  <c r="U96" i="52"/>
  <c r="T96" i="52"/>
  <c r="S96" i="52"/>
  <c r="R96" i="52"/>
  <c r="Q96" i="52"/>
  <c r="P96" i="52"/>
  <c r="O96" i="52"/>
  <c r="N96" i="52"/>
  <c r="A96" i="52"/>
  <c r="V95" i="52"/>
  <c r="U95" i="52"/>
  <c r="T95" i="52"/>
  <c r="S95" i="52"/>
  <c r="R95" i="52"/>
  <c r="Q95" i="52"/>
  <c r="P95" i="52"/>
  <c r="O95" i="52"/>
  <c r="N95" i="52"/>
  <c r="A95" i="52"/>
  <c r="V94" i="52"/>
  <c r="U94" i="52"/>
  <c r="T94" i="52"/>
  <c r="S94" i="52"/>
  <c r="R94" i="52"/>
  <c r="Q94" i="52"/>
  <c r="P94" i="52"/>
  <c r="O94" i="52"/>
  <c r="N94" i="52"/>
  <c r="A94" i="52"/>
  <c r="V93" i="52"/>
  <c r="U93" i="52"/>
  <c r="T93" i="52"/>
  <c r="S93" i="52"/>
  <c r="R93" i="52"/>
  <c r="Q93" i="52"/>
  <c r="P93" i="52"/>
  <c r="O93" i="52"/>
  <c r="N93" i="52"/>
  <c r="A93" i="52"/>
  <c r="V92" i="52"/>
  <c r="U92" i="52"/>
  <c r="T92" i="52"/>
  <c r="S92" i="52"/>
  <c r="R92" i="52"/>
  <c r="Q92" i="52"/>
  <c r="P92" i="52"/>
  <c r="O92" i="52"/>
  <c r="N92" i="52"/>
  <c r="A92" i="52"/>
  <c r="V91" i="52"/>
  <c r="U91" i="52"/>
  <c r="T91" i="52"/>
  <c r="S91" i="52"/>
  <c r="R91" i="52"/>
  <c r="Q91" i="52"/>
  <c r="P91" i="52"/>
  <c r="O91" i="52"/>
  <c r="N91" i="52"/>
  <c r="A91" i="52"/>
  <c r="V90" i="52"/>
  <c r="U90" i="52"/>
  <c r="T90" i="52"/>
  <c r="S90" i="52"/>
  <c r="R90" i="52"/>
  <c r="Q90" i="52"/>
  <c r="P90" i="52"/>
  <c r="O90" i="52"/>
  <c r="N90" i="52"/>
  <c r="A90" i="52"/>
  <c r="V89" i="52"/>
  <c r="U89" i="52"/>
  <c r="T89" i="52"/>
  <c r="S89" i="52"/>
  <c r="R89" i="52"/>
  <c r="Q89" i="52"/>
  <c r="P89" i="52"/>
  <c r="O89" i="52"/>
  <c r="N89" i="52"/>
  <c r="A89" i="52"/>
  <c r="V88" i="52"/>
  <c r="U88" i="52"/>
  <c r="T88" i="52"/>
  <c r="S88" i="52"/>
  <c r="R88" i="52"/>
  <c r="Q88" i="52"/>
  <c r="P88" i="52"/>
  <c r="O88" i="52"/>
  <c r="N88" i="52"/>
  <c r="A88" i="52"/>
  <c r="V87" i="52"/>
  <c r="U87" i="52"/>
  <c r="T87" i="52"/>
  <c r="S87" i="52"/>
  <c r="R87" i="52"/>
  <c r="Q87" i="52"/>
  <c r="P87" i="52"/>
  <c r="O87" i="52"/>
  <c r="N87" i="52"/>
  <c r="A87" i="52"/>
  <c r="V86" i="52"/>
  <c r="U86" i="52"/>
  <c r="T86" i="52"/>
  <c r="S86" i="52"/>
  <c r="R86" i="52"/>
  <c r="Q86" i="52"/>
  <c r="P86" i="52"/>
  <c r="O86" i="52"/>
  <c r="N86" i="52"/>
  <c r="A86" i="52"/>
  <c r="V85" i="52"/>
  <c r="U85" i="52"/>
  <c r="T85" i="52"/>
  <c r="S85" i="52"/>
  <c r="R85" i="52"/>
  <c r="Q85" i="52"/>
  <c r="P85" i="52"/>
  <c r="O85" i="52"/>
  <c r="N85" i="52"/>
  <c r="A85" i="52"/>
  <c r="V84" i="52"/>
  <c r="U84" i="52"/>
  <c r="T84" i="52"/>
  <c r="S84" i="52"/>
  <c r="R84" i="52"/>
  <c r="Q84" i="52"/>
  <c r="P84" i="52"/>
  <c r="O84" i="52"/>
  <c r="N84" i="52"/>
  <c r="A84" i="52"/>
  <c r="V83" i="52"/>
  <c r="U83" i="52"/>
  <c r="T83" i="52"/>
  <c r="S83" i="52"/>
  <c r="R83" i="52"/>
  <c r="Q83" i="52"/>
  <c r="P83" i="52"/>
  <c r="O83" i="52"/>
  <c r="N83" i="52"/>
  <c r="A83" i="52"/>
  <c r="V82" i="52"/>
  <c r="U82" i="52"/>
  <c r="T82" i="52"/>
  <c r="S82" i="52"/>
  <c r="R82" i="52"/>
  <c r="Q82" i="52"/>
  <c r="P82" i="52"/>
  <c r="O82" i="52"/>
  <c r="N82" i="52"/>
  <c r="L82" i="52"/>
  <c r="K82" i="52"/>
  <c r="J82" i="52"/>
  <c r="I82" i="52"/>
  <c r="H82" i="52"/>
  <c r="G82" i="52"/>
  <c r="F82" i="52"/>
  <c r="A82" i="52"/>
  <c r="V81" i="52"/>
  <c r="U81" i="52"/>
  <c r="T81" i="52"/>
  <c r="S81" i="52"/>
  <c r="R81" i="52"/>
  <c r="Q81" i="52"/>
  <c r="P81" i="52"/>
  <c r="O81" i="52"/>
  <c r="N81" i="52"/>
  <c r="A81" i="52"/>
  <c r="V80" i="52"/>
  <c r="U80" i="52"/>
  <c r="T80" i="52"/>
  <c r="S80" i="52"/>
  <c r="R80" i="52"/>
  <c r="Q80" i="52"/>
  <c r="P80" i="52"/>
  <c r="O80" i="52"/>
  <c r="N80" i="52"/>
  <c r="A80" i="52"/>
  <c r="V79" i="52"/>
  <c r="U79" i="52"/>
  <c r="T79" i="52"/>
  <c r="S79" i="52"/>
  <c r="R79" i="52"/>
  <c r="Q79" i="52"/>
  <c r="P79" i="52"/>
  <c r="O79" i="52"/>
  <c r="N79" i="52"/>
  <c r="A79" i="52"/>
  <c r="V78" i="52"/>
  <c r="U78" i="52"/>
  <c r="T78" i="52"/>
  <c r="S78" i="52"/>
  <c r="R78" i="52"/>
  <c r="Q78" i="52"/>
  <c r="P78" i="52"/>
  <c r="O78" i="52"/>
  <c r="N78" i="52"/>
  <c r="A78" i="52"/>
  <c r="V77" i="52"/>
  <c r="U77" i="52"/>
  <c r="T77" i="52"/>
  <c r="S77" i="52"/>
  <c r="R77" i="52"/>
  <c r="Q77" i="52"/>
  <c r="P77" i="52"/>
  <c r="O77" i="52"/>
  <c r="N77" i="52"/>
  <c r="A77" i="52"/>
  <c r="V76" i="52"/>
  <c r="U76" i="52"/>
  <c r="T76" i="52"/>
  <c r="S76" i="52"/>
  <c r="R76" i="52"/>
  <c r="Q76" i="52"/>
  <c r="P76" i="52"/>
  <c r="O76" i="52"/>
  <c r="N76" i="52"/>
  <c r="A76" i="52"/>
  <c r="V75" i="52"/>
  <c r="U75" i="52"/>
  <c r="T75" i="52"/>
  <c r="S75" i="52"/>
  <c r="R75" i="52"/>
  <c r="Q75" i="52"/>
  <c r="P75" i="52"/>
  <c r="O75" i="52"/>
  <c r="N75" i="52"/>
  <c r="A75" i="52"/>
  <c r="V74" i="52"/>
  <c r="U74" i="52"/>
  <c r="T74" i="52"/>
  <c r="S74" i="52"/>
  <c r="R74" i="52"/>
  <c r="Q74" i="52"/>
  <c r="P74" i="52"/>
  <c r="O74" i="52"/>
  <c r="N74" i="52"/>
  <c r="A74" i="52"/>
  <c r="V73" i="52"/>
  <c r="U73" i="52"/>
  <c r="T73" i="52"/>
  <c r="S73" i="52"/>
  <c r="R73" i="52"/>
  <c r="Q73" i="52"/>
  <c r="P73" i="52"/>
  <c r="O73" i="52"/>
  <c r="N73" i="52"/>
  <c r="A73" i="52"/>
  <c r="V72" i="52"/>
  <c r="U72" i="52"/>
  <c r="T72" i="52"/>
  <c r="S72" i="52"/>
  <c r="R72" i="52"/>
  <c r="Q72" i="52"/>
  <c r="P72" i="52"/>
  <c r="O72" i="52"/>
  <c r="N72" i="52"/>
  <c r="A72" i="52"/>
  <c r="V71" i="52"/>
  <c r="U71" i="52"/>
  <c r="T71" i="52"/>
  <c r="S71" i="52"/>
  <c r="R71" i="52"/>
  <c r="Q71" i="52"/>
  <c r="P71" i="52"/>
  <c r="O71" i="52"/>
  <c r="N71" i="52"/>
  <c r="L71" i="52"/>
  <c r="K71" i="52"/>
  <c r="J71" i="52"/>
  <c r="I71" i="52"/>
  <c r="H71" i="52"/>
  <c r="G71" i="52"/>
  <c r="F71" i="52"/>
  <c r="E71" i="52"/>
  <c r="D71" i="52"/>
  <c r="C71" i="52"/>
  <c r="A71" i="52"/>
  <c r="V70" i="52"/>
  <c r="U70" i="52"/>
  <c r="T70" i="52"/>
  <c r="S70" i="52"/>
  <c r="R70" i="52"/>
  <c r="Q70" i="52"/>
  <c r="P70" i="52"/>
  <c r="O70" i="52"/>
  <c r="N70" i="52"/>
  <c r="A70" i="52"/>
  <c r="V69" i="52"/>
  <c r="U69" i="52"/>
  <c r="T69" i="52"/>
  <c r="S69" i="52"/>
  <c r="R69" i="52"/>
  <c r="Q69" i="52"/>
  <c r="P69" i="52"/>
  <c r="O69" i="52"/>
  <c r="N69" i="52"/>
  <c r="L69" i="52"/>
  <c r="K69" i="52"/>
  <c r="J69" i="52"/>
  <c r="I69" i="52"/>
  <c r="H69" i="52"/>
  <c r="G69" i="52"/>
  <c r="F69" i="52"/>
  <c r="E69" i="52"/>
  <c r="D69" i="52"/>
  <c r="C69" i="52"/>
  <c r="A69" i="52"/>
  <c r="V68" i="52"/>
  <c r="U68" i="52"/>
  <c r="T68" i="52"/>
  <c r="S68" i="52"/>
  <c r="R68" i="52"/>
  <c r="Q68" i="52"/>
  <c r="P68" i="52"/>
  <c r="O68" i="52"/>
  <c r="N68" i="52"/>
  <c r="C68" i="52"/>
  <c r="A68" i="52"/>
  <c r="V67" i="52"/>
  <c r="U67" i="52"/>
  <c r="T67" i="52"/>
  <c r="S67" i="52"/>
  <c r="R67" i="52"/>
  <c r="Q67" i="52"/>
  <c r="P67" i="52"/>
  <c r="O67" i="52"/>
  <c r="N67" i="52"/>
  <c r="A67" i="52"/>
  <c r="V66" i="52"/>
  <c r="U66" i="52"/>
  <c r="T66" i="52"/>
  <c r="S66" i="52"/>
  <c r="R66" i="52"/>
  <c r="Q66" i="52"/>
  <c r="P66" i="52"/>
  <c r="O66" i="52"/>
  <c r="N66" i="52"/>
  <c r="A66" i="52"/>
  <c r="V65" i="52"/>
  <c r="U65" i="52"/>
  <c r="T65" i="52"/>
  <c r="S65" i="52"/>
  <c r="R65" i="52"/>
  <c r="Q65" i="52"/>
  <c r="P65" i="52"/>
  <c r="O65" i="52"/>
  <c r="N65" i="52"/>
  <c r="C65" i="52"/>
  <c r="A65" i="52"/>
  <c r="V64" i="52"/>
  <c r="U64" i="52"/>
  <c r="T64" i="52"/>
  <c r="S64" i="52"/>
  <c r="R64" i="52"/>
  <c r="Q64" i="52"/>
  <c r="P64" i="52"/>
  <c r="O64" i="52"/>
  <c r="N64" i="52"/>
  <c r="C64" i="52"/>
  <c r="A64" i="52"/>
  <c r="V63" i="52"/>
  <c r="U63" i="52"/>
  <c r="T63" i="52"/>
  <c r="S63" i="52"/>
  <c r="R63" i="52"/>
  <c r="Q63" i="52"/>
  <c r="P63" i="52"/>
  <c r="O63" i="52"/>
  <c r="N63" i="52"/>
  <c r="A63" i="52"/>
  <c r="V62" i="52"/>
  <c r="U62" i="52"/>
  <c r="T62" i="52"/>
  <c r="S62" i="52"/>
  <c r="R62" i="52"/>
  <c r="Q62" i="52"/>
  <c r="P62" i="52"/>
  <c r="O62" i="52"/>
  <c r="N62" i="52"/>
  <c r="A62" i="52"/>
  <c r="V61" i="52"/>
  <c r="U61" i="52"/>
  <c r="T61" i="52"/>
  <c r="S61" i="52"/>
  <c r="R61" i="52"/>
  <c r="Q61" i="52"/>
  <c r="P61" i="52"/>
  <c r="O61" i="52"/>
  <c r="N61" i="52"/>
  <c r="A61" i="52"/>
  <c r="V60" i="52"/>
  <c r="U60" i="52"/>
  <c r="T60" i="52"/>
  <c r="S60" i="52"/>
  <c r="R60" i="52"/>
  <c r="Q60" i="52"/>
  <c r="P60" i="52"/>
  <c r="O60" i="52"/>
  <c r="N60" i="52"/>
  <c r="A60" i="52"/>
  <c r="V59" i="52"/>
  <c r="U59" i="52"/>
  <c r="T59" i="52"/>
  <c r="S59" i="52"/>
  <c r="R59" i="52"/>
  <c r="Q59" i="52"/>
  <c r="P59" i="52"/>
  <c r="O59" i="52"/>
  <c r="N59" i="52"/>
  <c r="A59" i="52"/>
  <c r="V58" i="52"/>
  <c r="U58" i="52"/>
  <c r="T58" i="52"/>
  <c r="S58" i="52"/>
  <c r="R58" i="52"/>
  <c r="Q58" i="52"/>
  <c r="P58" i="52"/>
  <c r="O58" i="52"/>
  <c r="N58" i="52"/>
  <c r="C58" i="52"/>
  <c r="A58" i="52"/>
  <c r="V57" i="52"/>
  <c r="U57" i="52"/>
  <c r="T57" i="52"/>
  <c r="S57" i="52"/>
  <c r="R57" i="52"/>
  <c r="Q57" i="52"/>
  <c r="P57" i="52"/>
  <c r="O57" i="52"/>
  <c r="N57" i="52"/>
  <c r="C57" i="52"/>
  <c r="A57" i="52"/>
  <c r="V56" i="52"/>
  <c r="U56" i="52"/>
  <c r="T56" i="52"/>
  <c r="S56" i="52"/>
  <c r="R56" i="52"/>
  <c r="Q56" i="52"/>
  <c r="P56" i="52"/>
  <c r="O56" i="52"/>
  <c r="N56" i="52"/>
  <c r="A56" i="52"/>
  <c r="V55" i="52"/>
  <c r="U55" i="52"/>
  <c r="T55" i="52"/>
  <c r="S55" i="52"/>
  <c r="R55" i="52"/>
  <c r="Q55" i="52"/>
  <c r="P55" i="52"/>
  <c r="O55" i="52"/>
  <c r="N55" i="52"/>
  <c r="A55" i="52"/>
  <c r="V54" i="52"/>
  <c r="U54" i="52"/>
  <c r="T54" i="52"/>
  <c r="S54" i="52"/>
  <c r="R54" i="52"/>
  <c r="Q54" i="52"/>
  <c r="P54" i="52"/>
  <c r="O54" i="52"/>
  <c r="N54" i="52"/>
  <c r="A54" i="52"/>
  <c r="V53" i="52"/>
  <c r="U53" i="52"/>
  <c r="T53" i="52"/>
  <c r="S53" i="52"/>
  <c r="R53" i="52"/>
  <c r="Q53" i="52"/>
  <c r="P53" i="52"/>
  <c r="O53" i="52"/>
  <c r="N53" i="52"/>
  <c r="L53" i="52"/>
  <c r="K53" i="52"/>
  <c r="J53" i="52"/>
  <c r="I53" i="52"/>
  <c r="H53" i="52"/>
  <c r="G53" i="52"/>
  <c r="F53" i="52"/>
  <c r="E53" i="52"/>
  <c r="D53" i="52"/>
  <c r="C53" i="52"/>
  <c r="A53" i="52"/>
  <c r="V52" i="52"/>
  <c r="U52" i="52"/>
  <c r="T52" i="52"/>
  <c r="S52" i="52"/>
  <c r="R52" i="52"/>
  <c r="Q52" i="52"/>
  <c r="P52" i="52"/>
  <c r="O52" i="52"/>
  <c r="N52" i="52"/>
  <c r="L52" i="52"/>
  <c r="K52" i="52"/>
  <c r="J52" i="52"/>
  <c r="I52" i="52"/>
  <c r="H52" i="52"/>
  <c r="G52" i="52"/>
  <c r="F52" i="52"/>
  <c r="E52" i="52"/>
  <c r="D52" i="52"/>
  <c r="C52" i="52"/>
  <c r="A52" i="52"/>
  <c r="V51" i="52"/>
  <c r="U51" i="52"/>
  <c r="T51" i="52"/>
  <c r="S51" i="52"/>
  <c r="R51" i="52"/>
  <c r="Q51" i="52"/>
  <c r="P51" i="52"/>
  <c r="O51" i="52"/>
  <c r="N51" i="52"/>
  <c r="A51" i="52"/>
  <c r="V50" i="52"/>
  <c r="U50" i="52"/>
  <c r="T50" i="52"/>
  <c r="S50" i="52"/>
  <c r="R50" i="52"/>
  <c r="Q50" i="52"/>
  <c r="P50" i="52"/>
  <c r="O50" i="52"/>
  <c r="N50" i="52"/>
  <c r="A50" i="52"/>
  <c r="V49" i="52"/>
  <c r="U49" i="52"/>
  <c r="T49" i="52"/>
  <c r="S49" i="52"/>
  <c r="R49" i="52"/>
  <c r="Q49" i="52"/>
  <c r="P49" i="52"/>
  <c r="O49" i="52"/>
  <c r="N49" i="52"/>
  <c r="A49" i="52"/>
  <c r="V48" i="52"/>
  <c r="U48" i="52"/>
  <c r="T48" i="52"/>
  <c r="S48" i="52"/>
  <c r="R48" i="52"/>
  <c r="Q48" i="52"/>
  <c r="P48" i="52"/>
  <c r="O48" i="52"/>
  <c r="N48" i="52"/>
  <c r="A48" i="52"/>
  <c r="V47" i="52"/>
  <c r="U47" i="52"/>
  <c r="T47" i="52"/>
  <c r="S47" i="52"/>
  <c r="R47" i="52"/>
  <c r="Q47" i="52"/>
  <c r="P47" i="52"/>
  <c r="O47" i="52"/>
  <c r="N47" i="52"/>
  <c r="A47" i="52"/>
  <c r="V46" i="52"/>
  <c r="U46" i="52"/>
  <c r="T46" i="52"/>
  <c r="S46" i="52"/>
  <c r="R46" i="52"/>
  <c r="Q46" i="52"/>
  <c r="P46" i="52"/>
  <c r="O46" i="52"/>
  <c r="N46" i="52"/>
  <c r="A46" i="52"/>
  <c r="V45" i="52"/>
  <c r="U45" i="52"/>
  <c r="T45" i="52"/>
  <c r="S45" i="52"/>
  <c r="R45" i="52"/>
  <c r="Q45" i="52"/>
  <c r="P45" i="52"/>
  <c r="O45" i="52"/>
  <c r="N45" i="52"/>
  <c r="A45" i="52"/>
  <c r="V44" i="52"/>
  <c r="U44" i="52"/>
  <c r="T44" i="52"/>
  <c r="S44" i="52"/>
  <c r="R44" i="52"/>
  <c r="Q44" i="52"/>
  <c r="P44" i="52"/>
  <c r="O44" i="52"/>
  <c r="N44" i="52"/>
  <c r="A44" i="52"/>
  <c r="V43" i="52"/>
  <c r="U43" i="52"/>
  <c r="T43" i="52"/>
  <c r="S43" i="52"/>
  <c r="R43" i="52"/>
  <c r="Q43" i="52"/>
  <c r="P43" i="52"/>
  <c r="O43" i="52"/>
  <c r="N43" i="52"/>
  <c r="L43" i="52"/>
  <c r="K43" i="52"/>
  <c r="J43" i="52"/>
  <c r="I43" i="52"/>
  <c r="H43" i="52"/>
  <c r="G43" i="52"/>
  <c r="F43" i="52"/>
  <c r="E43" i="52"/>
  <c r="D43" i="52"/>
  <c r="C43" i="52"/>
  <c r="A43" i="52"/>
  <c r="V42" i="52"/>
  <c r="U42" i="52"/>
  <c r="T42" i="52"/>
  <c r="S42" i="52"/>
  <c r="R42" i="52"/>
  <c r="Q42" i="52"/>
  <c r="P42" i="52"/>
  <c r="O42" i="52"/>
  <c r="N42" i="52"/>
  <c r="L42" i="52"/>
  <c r="K42" i="52"/>
  <c r="J42" i="52"/>
  <c r="I42" i="52"/>
  <c r="H42" i="52"/>
  <c r="G42" i="52"/>
  <c r="F42" i="52"/>
  <c r="E42" i="52"/>
  <c r="D42" i="52"/>
  <c r="C42" i="52"/>
  <c r="A42" i="52"/>
  <c r="V41" i="52"/>
  <c r="U41" i="52"/>
  <c r="T41" i="52"/>
  <c r="S41" i="52"/>
  <c r="R41" i="52"/>
  <c r="Q41" i="52"/>
  <c r="P41" i="52"/>
  <c r="O41" i="52"/>
  <c r="N41" i="52"/>
  <c r="L41" i="52"/>
  <c r="K41" i="52"/>
  <c r="J41" i="52"/>
  <c r="I41" i="52"/>
  <c r="H41" i="52"/>
  <c r="G41" i="52"/>
  <c r="F41" i="52"/>
  <c r="E41" i="52"/>
  <c r="D41" i="52"/>
  <c r="C41" i="52"/>
  <c r="A41" i="52"/>
  <c r="V40" i="52"/>
  <c r="U40" i="52"/>
  <c r="T40" i="52"/>
  <c r="S40" i="52"/>
  <c r="R40" i="52"/>
  <c r="Q40" i="52"/>
  <c r="P40" i="52"/>
  <c r="O40" i="52"/>
  <c r="N40" i="52"/>
  <c r="A40" i="52"/>
  <c r="V39" i="52"/>
  <c r="U39" i="52"/>
  <c r="T39" i="52"/>
  <c r="S39" i="52"/>
  <c r="R39" i="52"/>
  <c r="Q39" i="52"/>
  <c r="P39" i="52"/>
  <c r="O39" i="52"/>
  <c r="N39" i="52"/>
  <c r="L39" i="52"/>
  <c r="K39" i="52"/>
  <c r="J39" i="52"/>
  <c r="I39" i="52"/>
  <c r="H39" i="52"/>
  <c r="G39" i="52"/>
  <c r="F39" i="52"/>
  <c r="E39" i="52"/>
  <c r="D39" i="52"/>
  <c r="C39" i="52"/>
  <c r="A39" i="52"/>
  <c r="V38" i="52"/>
  <c r="U38" i="52"/>
  <c r="T38" i="52"/>
  <c r="S38" i="52"/>
  <c r="R38" i="52"/>
  <c r="Q38" i="52"/>
  <c r="P38" i="52"/>
  <c r="O38" i="52"/>
  <c r="N38" i="52"/>
  <c r="A38" i="52"/>
  <c r="V37" i="52"/>
  <c r="U37" i="52"/>
  <c r="T37" i="52"/>
  <c r="S37" i="52"/>
  <c r="R37" i="52"/>
  <c r="Q37" i="52"/>
  <c r="P37" i="52"/>
  <c r="O37" i="52"/>
  <c r="N37" i="52"/>
  <c r="L37" i="52"/>
  <c r="K37" i="52"/>
  <c r="J37" i="52"/>
  <c r="I37" i="52"/>
  <c r="H37" i="52"/>
  <c r="G37" i="52"/>
  <c r="F37" i="52"/>
  <c r="E37" i="52"/>
  <c r="D37" i="52"/>
  <c r="C37" i="52"/>
  <c r="A37" i="52"/>
  <c r="V36" i="52"/>
  <c r="U36" i="52"/>
  <c r="T36" i="52"/>
  <c r="S36" i="52"/>
  <c r="R36" i="52"/>
  <c r="Q36" i="52"/>
  <c r="P36" i="52"/>
  <c r="O36" i="52"/>
  <c r="N36" i="52"/>
  <c r="A36" i="52"/>
  <c r="V35" i="52"/>
  <c r="U35" i="52"/>
  <c r="T35" i="52"/>
  <c r="S35" i="52"/>
  <c r="R35" i="52"/>
  <c r="Q35" i="52"/>
  <c r="P35" i="52"/>
  <c r="O35" i="52"/>
  <c r="N35" i="52"/>
  <c r="A35" i="52"/>
  <c r="V34" i="52"/>
  <c r="U34" i="52"/>
  <c r="T34" i="52"/>
  <c r="S34" i="52"/>
  <c r="R34" i="52"/>
  <c r="Q34" i="52"/>
  <c r="P34" i="52"/>
  <c r="O34" i="52"/>
  <c r="N34" i="52"/>
  <c r="L34" i="52"/>
  <c r="K34" i="52"/>
  <c r="J34" i="52"/>
  <c r="I34" i="52"/>
  <c r="H34" i="52"/>
  <c r="G34" i="52"/>
  <c r="F34" i="52"/>
  <c r="E34" i="52"/>
  <c r="D34" i="52"/>
  <c r="C34" i="52"/>
  <c r="A34" i="52"/>
  <c r="V33" i="52"/>
  <c r="U33" i="52"/>
  <c r="T33" i="52"/>
  <c r="S33" i="52"/>
  <c r="R33" i="52"/>
  <c r="Q33" i="52"/>
  <c r="P33" i="52"/>
  <c r="O33" i="52"/>
  <c r="N33" i="52"/>
  <c r="L33" i="52"/>
  <c r="K33" i="52"/>
  <c r="J33" i="52"/>
  <c r="I33" i="52"/>
  <c r="H33" i="52"/>
  <c r="G33" i="52"/>
  <c r="F33" i="52"/>
  <c r="E33" i="52"/>
  <c r="D33" i="52"/>
  <c r="T32" i="52"/>
  <c r="S32" i="52"/>
  <c r="V31" i="52"/>
  <c r="U31" i="52"/>
  <c r="T31" i="52"/>
  <c r="S31" i="52"/>
  <c r="R31" i="52"/>
  <c r="Q31" i="52"/>
  <c r="P31" i="52"/>
  <c r="O31" i="52"/>
  <c r="N31" i="52"/>
  <c r="M31" i="52"/>
  <c r="J20" i="52"/>
  <c r="I20" i="52"/>
  <c r="H20" i="52"/>
  <c r="G20" i="52"/>
  <c r="J19" i="52"/>
  <c r="I19" i="52"/>
  <c r="H19" i="52"/>
  <c r="G19" i="52"/>
  <c r="J18" i="52"/>
  <c r="I18" i="52"/>
  <c r="H18" i="52"/>
  <c r="G18" i="52"/>
  <c r="J17" i="52"/>
  <c r="I17" i="52"/>
  <c r="H17" i="52"/>
  <c r="G17" i="52"/>
  <c r="J16" i="52"/>
  <c r="I16" i="52"/>
  <c r="H16" i="52"/>
  <c r="G16" i="52"/>
  <c r="J15" i="52"/>
  <c r="I15" i="52"/>
  <c r="H15" i="52"/>
  <c r="G15" i="52"/>
  <c r="J14" i="52"/>
  <c r="I14" i="52"/>
  <c r="H14" i="52"/>
  <c r="G14" i="52"/>
  <c r="J13" i="52"/>
  <c r="I13" i="52"/>
  <c r="H13" i="52"/>
  <c r="G13" i="52"/>
  <c r="J12" i="52"/>
  <c r="I12" i="52"/>
  <c r="H12" i="52"/>
  <c r="G12" i="52"/>
  <c r="J11" i="52"/>
  <c r="H11" i="52"/>
  <c r="G11" i="52"/>
  <c r="E7" i="52"/>
  <c r="B7" i="52"/>
  <c r="I11" i="52" s="1"/>
  <c r="C33" i="52" s="1"/>
  <c r="M33" i="52" s="1"/>
  <c r="M90" i="52" s="1"/>
  <c r="F160" i="51"/>
  <c r="E160" i="51"/>
  <c r="C160" i="51"/>
  <c r="B160" i="51"/>
  <c r="K126" i="51"/>
  <c r="J126" i="51"/>
  <c r="I126" i="51"/>
  <c r="H126" i="51"/>
  <c r="G126" i="51"/>
  <c r="L125" i="51"/>
  <c r="K125" i="51"/>
  <c r="I125" i="51"/>
  <c r="H125" i="51"/>
  <c r="G125" i="51"/>
  <c r="L124" i="51"/>
  <c r="K124" i="51"/>
  <c r="I124" i="51"/>
  <c r="H124" i="51"/>
  <c r="G124" i="51"/>
  <c r="L123" i="51"/>
  <c r="K123" i="51"/>
  <c r="I123" i="51"/>
  <c r="H123" i="51"/>
  <c r="G123" i="51"/>
  <c r="V103" i="51"/>
  <c r="U103" i="51"/>
  <c r="T103" i="51"/>
  <c r="S103" i="51"/>
  <c r="R103" i="51"/>
  <c r="Q103" i="51"/>
  <c r="P103" i="51"/>
  <c r="O103" i="51"/>
  <c r="N103" i="51"/>
  <c r="A103" i="51"/>
  <c r="V102" i="51"/>
  <c r="U102" i="51"/>
  <c r="T102" i="51"/>
  <c r="S102" i="51"/>
  <c r="R102" i="51"/>
  <c r="Q102" i="51"/>
  <c r="P102" i="51"/>
  <c r="O102" i="51"/>
  <c r="N102" i="51"/>
  <c r="A102" i="51"/>
  <c r="V101" i="51"/>
  <c r="U101" i="51"/>
  <c r="T101" i="51"/>
  <c r="S101" i="51"/>
  <c r="R101" i="51"/>
  <c r="Q101" i="51"/>
  <c r="P101" i="51"/>
  <c r="O101" i="51"/>
  <c r="N101" i="51"/>
  <c r="A101" i="51"/>
  <c r="V100" i="51"/>
  <c r="U100" i="51"/>
  <c r="T100" i="51"/>
  <c r="S100" i="51"/>
  <c r="R100" i="51"/>
  <c r="Q100" i="51"/>
  <c r="P100" i="51"/>
  <c r="O100" i="51"/>
  <c r="N100" i="51"/>
  <c r="A100" i="51"/>
  <c r="V99" i="51"/>
  <c r="U99" i="51"/>
  <c r="T99" i="51"/>
  <c r="S99" i="51"/>
  <c r="R99" i="51"/>
  <c r="Q99" i="51"/>
  <c r="P99" i="51"/>
  <c r="O99" i="51"/>
  <c r="N99" i="51"/>
  <c r="A99" i="51"/>
  <c r="V98" i="51"/>
  <c r="U98" i="51"/>
  <c r="T98" i="51"/>
  <c r="S98" i="51"/>
  <c r="R98" i="51"/>
  <c r="Q98" i="51"/>
  <c r="P98" i="51"/>
  <c r="O98" i="51"/>
  <c r="N98" i="51"/>
  <c r="A98" i="51"/>
  <c r="V97" i="51"/>
  <c r="U97" i="51"/>
  <c r="T97" i="51"/>
  <c r="S97" i="51"/>
  <c r="R97" i="51"/>
  <c r="Q97" i="51"/>
  <c r="P97" i="51"/>
  <c r="O97" i="51"/>
  <c r="N97" i="51"/>
  <c r="A97" i="51"/>
  <c r="V96" i="51"/>
  <c r="U96" i="51"/>
  <c r="T96" i="51"/>
  <c r="S96" i="51"/>
  <c r="R96" i="51"/>
  <c r="Q96" i="51"/>
  <c r="P96" i="51"/>
  <c r="O96" i="51"/>
  <c r="N96" i="51"/>
  <c r="A96" i="51"/>
  <c r="V95" i="51"/>
  <c r="U95" i="51"/>
  <c r="T95" i="51"/>
  <c r="S95" i="51"/>
  <c r="R95" i="51"/>
  <c r="Q95" i="51"/>
  <c r="P95" i="51"/>
  <c r="O95" i="51"/>
  <c r="N95" i="51"/>
  <c r="A95" i="51"/>
  <c r="V94" i="51"/>
  <c r="U94" i="51"/>
  <c r="T94" i="51"/>
  <c r="S94" i="51"/>
  <c r="R94" i="51"/>
  <c r="Q94" i="51"/>
  <c r="P94" i="51"/>
  <c r="O94" i="51"/>
  <c r="N94" i="51"/>
  <c r="A94" i="51"/>
  <c r="V93" i="51"/>
  <c r="U93" i="51"/>
  <c r="T93" i="51"/>
  <c r="S93" i="51"/>
  <c r="R93" i="51"/>
  <c r="Q93" i="51"/>
  <c r="P93" i="51"/>
  <c r="O93" i="51"/>
  <c r="N93" i="51"/>
  <c r="A93" i="51"/>
  <c r="V92" i="51"/>
  <c r="U92" i="51"/>
  <c r="T92" i="51"/>
  <c r="S92" i="51"/>
  <c r="R92" i="51"/>
  <c r="Q92" i="51"/>
  <c r="P92" i="51"/>
  <c r="O92" i="51"/>
  <c r="N92" i="51"/>
  <c r="A92" i="51"/>
  <c r="V91" i="51"/>
  <c r="U91" i="51"/>
  <c r="T91" i="51"/>
  <c r="S91" i="51"/>
  <c r="R91" i="51"/>
  <c r="Q91" i="51"/>
  <c r="P91" i="51"/>
  <c r="O91" i="51"/>
  <c r="N91" i="51"/>
  <c r="A91" i="51"/>
  <c r="V90" i="51"/>
  <c r="U90" i="51"/>
  <c r="T90" i="51"/>
  <c r="S90" i="51"/>
  <c r="R90" i="51"/>
  <c r="Q90" i="51"/>
  <c r="P90" i="51"/>
  <c r="O90" i="51"/>
  <c r="N90" i="51"/>
  <c r="A90" i="51"/>
  <c r="V89" i="51"/>
  <c r="U89" i="51"/>
  <c r="T89" i="51"/>
  <c r="S89" i="51"/>
  <c r="R89" i="51"/>
  <c r="Q89" i="51"/>
  <c r="P89" i="51"/>
  <c r="O89" i="51"/>
  <c r="N89" i="51"/>
  <c r="A89" i="51"/>
  <c r="V88" i="51"/>
  <c r="U88" i="51"/>
  <c r="T88" i="51"/>
  <c r="S88" i="51"/>
  <c r="R88" i="51"/>
  <c r="Q88" i="51"/>
  <c r="P88" i="51"/>
  <c r="O88" i="51"/>
  <c r="N88" i="51"/>
  <c r="A88" i="51"/>
  <c r="V87" i="51"/>
  <c r="U87" i="51"/>
  <c r="T87" i="51"/>
  <c r="S87" i="51"/>
  <c r="R87" i="51"/>
  <c r="Q87" i="51"/>
  <c r="P87" i="51"/>
  <c r="O87" i="51"/>
  <c r="N87" i="51"/>
  <c r="A87" i="51"/>
  <c r="V86" i="51"/>
  <c r="U86" i="51"/>
  <c r="T86" i="51"/>
  <c r="S86" i="51"/>
  <c r="R86" i="51"/>
  <c r="Q86" i="51"/>
  <c r="P86" i="51"/>
  <c r="O86" i="51"/>
  <c r="N86" i="51"/>
  <c r="A86" i="51"/>
  <c r="V85" i="51"/>
  <c r="U85" i="51"/>
  <c r="T85" i="51"/>
  <c r="S85" i="51"/>
  <c r="R85" i="51"/>
  <c r="Q85" i="51"/>
  <c r="P85" i="51"/>
  <c r="O85" i="51"/>
  <c r="N85" i="51"/>
  <c r="A85" i="51"/>
  <c r="V84" i="51"/>
  <c r="U84" i="51"/>
  <c r="T84" i="51"/>
  <c r="S84" i="51"/>
  <c r="R84" i="51"/>
  <c r="Q84" i="51"/>
  <c r="P84" i="51"/>
  <c r="O84" i="51"/>
  <c r="N84" i="51"/>
  <c r="A84" i="51"/>
  <c r="V83" i="51"/>
  <c r="U83" i="51"/>
  <c r="T83" i="51"/>
  <c r="S83" i="51"/>
  <c r="R83" i="51"/>
  <c r="Q83" i="51"/>
  <c r="P83" i="51"/>
  <c r="O83" i="51"/>
  <c r="N83" i="51"/>
  <c r="A83" i="51"/>
  <c r="V82" i="51"/>
  <c r="U82" i="51"/>
  <c r="T82" i="51"/>
  <c r="S82" i="51"/>
  <c r="R82" i="51"/>
  <c r="Q82" i="51"/>
  <c r="P82" i="51"/>
  <c r="O82" i="51"/>
  <c r="N82" i="51"/>
  <c r="L82" i="51"/>
  <c r="K82" i="51"/>
  <c r="J82" i="51"/>
  <c r="I82" i="51"/>
  <c r="H82" i="51"/>
  <c r="G82" i="51"/>
  <c r="F82" i="51"/>
  <c r="A82" i="51"/>
  <c r="V81" i="51"/>
  <c r="U81" i="51"/>
  <c r="T81" i="51"/>
  <c r="S81" i="51"/>
  <c r="R81" i="51"/>
  <c r="Q81" i="51"/>
  <c r="P81" i="51"/>
  <c r="O81" i="51"/>
  <c r="N81" i="51"/>
  <c r="A81" i="51"/>
  <c r="V80" i="51"/>
  <c r="U80" i="51"/>
  <c r="T80" i="51"/>
  <c r="S80" i="51"/>
  <c r="R80" i="51"/>
  <c r="Q80" i="51"/>
  <c r="P80" i="51"/>
  <c r="O80" i="51"/>
  <c r="N80" i="51"/>
  <c r="A80" i="51"/>
  <c r="V79" i="51"/>
  <c r="U79" i="51"/>
  <c r="T79" i="51"/>
  <c r="S79" i="51"/>
  <c r="R79" i="51"/>
  <c r="Q79" i="51"/>
  <c r="P79" i="51"/>
  <c r="O79" i="51"/>
  <c r="N79" i="51"/>
  <c r="A79" i="51"/>
  <c r="V78" i="51"/>
  <c r="U78" i="51"/>
  <c r="T78" i="51"/>
  <c r="S78" i="51"/>
  <c r="R78" i="51"/>
  <c r="Q78" i="51"/>
  <c r="P78" i="51"/>
  <c r="O78" i="51"/>
  <c r="N78" i="51"/>
  <c r="A78" i="51"/>
  <c r="V77" i="51"/>
  <c r="U77" i="51"/>
  <c r="T77" i="51"/>
  <c r="S77" i="51"/>
  <c r="R77" i="51"/>
  <c r="Q77" i="51"/>
  <c r="P77" i="51"/>
  <c r="O77" i="51"/>
  <c r="N77" i="51"/>
  <c r="A77" i="51"/>
  <c r="V76" i="51"/>
  <c r="U76" i="51"/>
  <c r="T76" i="51"/>
  <c r="S76" i="51"/>
  <c r="R76" i="51"/>
  <c r="Q76" i="51"/>
  <c r="P76" i="51"/>
  <c r="O76" i="51"/>
  <c r="N76" i="51"/>
  <c r="A76" i="51"/>
  <c r="V75" i="51"/>
  <c r="U75" i="51"/>
  <c r="T75" i="51"/>
  <c r="S75" i="51"/>
  <c r="R75" i="51"/>
  <c r="Q75" i="51"/>
  <c r="P75" i="51"/>
  <c r="O75" i="51"/>
  <c r="N75" i="51"/>
  <c r="A75" i="51"/>
  <c r="V74" i="51"/>
  <c r="U74" i="51"/>
  <c r="T74" i="51"/>
  <c r="S74" i="51"/>
  <c r="R74" i="51"/>
  <c r="Q74" i="51"/>
  <c r="P74" i="51"/>
  <c r="O74" i="51"/>
  <c r="N74" i="51"/>
  <c r="A74" i="51"/>
  <c r="V73" i="51"/>
  <c r="U73" i="51"/>
  <c r="T73" i="51"/>
  <c r="S73" i="51"/>
  <c r="R73" i="51"/>
  <c r="Q73" i="51"/>
  <c r="P73" i="51"/>
  <c r="O73" i="51"/>
  <c r="N73" i="51"/>
  <c r="A73" i="51"/>
  <c r="V72" i="51"/>
  <c r="U72" i="51"/>
  <c r="T72" i="51"/>
  <c r="S72" i="51"/>
  <c r="R72" i="51"/>
  <c r="Q72" i="51"/>
  <c r="P72" i="51"/>
  <c r="O72" i="51"/>
  <c r="N72" i="51"/>
  <c r="A72" i="51"/>
  <c r="V71" i="51"/>
  <c r="U71" i="51"/>
  <c r="T71" i="51"/>
  <c r="S71" i="51"/>
  <c r="R71" i="51"/>
  <c r="Q71" i="51"/>
  <c r="P71" i="51"/>
  <c r="O71" i="51"/>
  <c r="N71" i="51"/>
  <c r="L71" i="51"/>
  <c r="K71" i="51"/>
  <c r="J71" i="51"/>
  <c r="I71" i="51"/>
  <c r="H71" i="51"/>
  <c r="G71" i="51"/>
  <c r="F71" i="51"/>
  <c r="E71" i="51"/>
  <c r="D71" i="51"/>
  <c r="C71" i="51"/>
  <c r="A71" i="51"/>
  <c r="V70" i="51"/>
  <c r="U70" i="51"/>
  <c r="T70" i="51"/>
  <c r="S70" i="51"/>
  <c r="R70" i="51"/>
  <c r="Q70" i="51"/>
  <c r="P70" i="51"/>
  <c r="O70" i="51"/>
  <c r="N70" i="51"/>
  <c r="A70" i="51"/>
  <c r="V69" i="51"/>
  <c r="U69" i="51"/>
  <c r="T69" i="51"/>
  <c r="S69" i="51"/>
  <c r="R69" i="51"/>
  <c r="Q69" i="51"/>
  <c r="P69" i="51"/>
  <c r="O69" i="51"/>
  <c r="N69" i="51"/>
  <c r="L69" i="51"/>
  <c r="K69" i="51"/>
  <c r="J69" i="51"/>
  <c r="I69" i="51"/>
  <c r="H69" i="51"/>
  <c r="G69" i="51"/>
  <c r="F69" i="51"/>
  <c r="E69" i="51"/>
  <c r="D69" i="51"/>
  <c r="C69" i="51"/>
  <c r="A69" i="51"/>
  <c r="V68" i="51"/>
  <c r="U68" i="51"/>
  <c r="T68" i="51"/>
  <c r="S68" i="51"/>
  <c r="R68" i="51"/>
  <c r="Q68" i="51"/>
  <c r="P68" i="51"/>
  <c r="O68" i="51"/>
  <c r="N68" i="51"/>
  <c r="C68" i="51"/>
  <c r="A68" i="51"/>
  <c r="V67" i="51"/>
  <c r="U67" i="51"/>
  <c r="T67" i="51"/>
  <c r="S67" i="51"/>
  <c r="R67" i="51"/>
  <c r="Q67" i="51"/>
  <c r="P67" i="51"/>
  <c r="O67" i="51"/>
  <c r="N67" i="51"/>
  <c r="A67" i="51"/>
  <c r="V66" i="51"/>
  <c r="U66" i="51"/>
  <c r="T66" i="51"/>
  <c r="S66" i="51"/>
  <c r="R66" i="51"/>
  <c r="Q66" i="51"/>
  <c r="P66" i="51"/>
  <c r="O66" i="51"/>
  <c r="N66" i="51"/>
  <c r="A66" i="51"/>
  <c r="V65" i="51"/>
  <c r="U65" i="51"/>
  <c r="T65" i="51"/>
  <c r="S65" i="51"/>
  <c r="R65" i="51"/>
  <c r="Q65" i="51"/>
  <c r="P65" i="51"/>
  <c r="O65" i="51"/>
  <c r="N65" i="51"/>
  <c r="C65" i="51"/>
  <c r="A65" i="51"/>
  <c r="V64" i="51"/>
  <c r="U64" i="51"/>
  <c r="T64" i="51"/>
  <c r="S64" i="51"/>
  <c r="R64" i="51"/>
  <c r="Q64" i="51"/>
  <c r="P64" i="51"/>
  <c r="O64" i="51"/>
  <c r="N64" i="51"/>
  <c r="C64" i="51"/>
  <c r="A64" i="51"/>
  <c r="V63" i="51"/>
  <c r="U63" i="51"/>
  <c r="T63" i="51"/>
  <c r="S63" i="51"/>
  <c r="R63" i="51"/>
  <c r="Q63" i="51"/>
  <c r="P63" i="51"/>
  <c r="O63" i="51"/>
  <c r="N63" i="51"/>
  <c r="A63" i="51"/>
  <c r="V62" i="51"/>
  <c r="U62" i="51"/>
  <c r="T62" i="51"/>
  <c r="S62" i="51"/>
  <c r="R62" i="51"/>
  <c r="Q62" i="51"/>
  <c r="P62" i="51"/>
  <c r="O62" i="51"/>
  <c r="N62" i="51"/>
  <c r="A62" i="51"/>
  <c r="V61" i="51"/>
  <c r="U61" i="51"/>
  <c r="T61" i="51"/>
  <c r="S61" i="51"/>
  <c r="R61" i="51"/>
  <c r="Q61" i="51"/>
  <c r="P61" i="51"/>
  <c r="O61" i="51"/>
  <c r="N61" i="51"/>
  <c r="A61" i="51"/>
  <c r="V60" i="51"/>
  <c r="U60" i="51"/>
  <c r="T60" i="51"/>
  <c r="S60" i="51"/>
  <c r="R60" i="51"/>
  <c r="Q60" i="51"/>
  <c r="P60" i="51"/>
  <c r="O60" i="51"/>
  <c r="N60" i="51"/>
  <c r="A60" i="51"/>
  <c r="V59" i="51"/>
  <c r="U59" i="51"/>
  <c r="T59" i="51"/>
  <c r="S59" i="51"/>
  <c r="R59" i="51"/>
  <c r="Q59" i="51"/>
  <c r="P59" i="51"/>
  <c r="O59" i="51"/>
  <c r="N59" i="51"/>
  <c r="A59" i="51"/>
  <c r="V58" i="51"/>
  <c r="U58" i="51"/>
  <c r="T58" i="51"/>
  <c r="S58" i="51"/>
  <c r="R58" i="51"/>
  <c r="Q58" i="51"/>
  <c r="P58" i="51"/>
  <c r="O58" i="51"/>
  <c r="N58" i="51"/>
  <c r="C58" i="51"/>
  <c r="A58" i="51"/>
  <c r="V57" i="51"/>
  <c r="U57" i="51"/>
  <c r="T57" i="51"/>
  <c r="S57" i="51"/>
  <c r="R57" i="51"/>
  <c r="Q57" i="51"/>
  <c r="P57" i="51"/>
  <c r="O57" i="51"/>
  <c r="N57" i="51"/>
  <c r="C57" i="51"/>
  <c r="A57" i="51"/>
  <c r="V56" i="51"/>
  <c r="U56" i="51"/>
  <c r="T56" i="51"/>
  <c r="S56" i="51"/>
  <c r="R56" i="51"/>
  <c r="Q56" i="51"/>
  <c r="P56" i="51"/>
  <c r="O56" i="51"/>
  <c r="N56" i="51"/>
  <c r="A56" i="51"/>
  <c r="V55" i="51"/>
  <c r="U55" i="51"/>
  <c r="T55" i="51"/>
  <c r="S55" i="51"/>
  <c r="R55" i="51"/>
  <c r="Q55" i="51"/>
  <c r="P55" i="51"/>
  <c r="O55" i="51"/>
  <c r="N55" i="51"/>
  <c r="A55" i="51"/>
  <c r="V54" i="51"/>
  <c r="U54" i="51"/>
  <c r="T54" i="51"/>
  <c r="S54" i="51"/>
  <c r="R54" i="51"/>
  <c r="Q54" i="51"/>
  <c r="P54" i="51"/>
  <c r="O54" i="51"/>
  <c r="N54" i="51"/>
  <c r="A54" i="51"/>
  <c r="V53" i="51"/>
  <c r="U53" i="51"/>
  <c r="T53" i="51"/>
  <c r="S53" i="51"/>
  <c r="R53" i="51"/>
  <c r="Q53" i="51"/>
  <c r="P53" i="51"/>
  <c r="O53" i="51"/>
  <c r="N53" i="51"/>
  <c r="L53" i="51"/>
  <c r="K53" i="51"/>
  <c r="J53" i="51"/>
  <c r="I53" i="51"/>
  <c r="H53" i="51"/>
  <c r="G53" i="51"/>
  <c r="F53" i="51"/>
  <c r="E53" i="51"/>
  <c r="D53" i="51"/>
  <c r="C53" i="51"/>
  <c r="A53" i="51"/>
  <c r="V52" i="51"/>
  <c r="U52" i="51"/>
  <c r="T52" i="51"/>
  <c r="S52" i="51"/>
  <c r="R52" i="51"/>
  <c r="Q52" i="51"/>
  <c r="P52" i="51"/>
  <c r="O52" i="51"/>
  <c r="N52" i="51"/>
  <c r="L52" i="51"/>
  <c r="K52" i="51"/>
  <c r="J52" i="51"/>
  <c r="I52" i="51"/>
  <c r="H52" i="51"/>
  <c r="G52" i="51"/>
  <c r="F52" i="51"/>
  <c r="E52" i="51"/>
  <c r="D52" i="51"/>
  <c r="C52" i="51"/>
  <c r="A52" i="51"/>
  <c r="V51" i="51"/>
  <c r="U51" i="51"/>
  <c r="T51" i="51"/>
  <c r="S51" i="51"/>
  <c r="R51" i="51"/>
  <c r="Q51" i="51"/>
  <c r="P51" i="51"/>
  <c r="O51" i="51"/>
  <c r="N51" i="51"/>
  <c r="A51" i="51"/>
  <c r="V50" i="51"/>
  <c r="U50" i="51"/>
  <c r="T50" i="51"/>
  <c r="S50" i="51"/>
  <c r="R50" i="51"/>
  <c r="Q50" i="51"/>
  <c r="P50" i="51"/>
  <c r="O50" i="51"/>
  <c r="N50" i="51"/>
  <c r="A50" i="51"/>
  <c r="V49" i="51"/>
  <c r="U49" i="51"/>
  <c r="T49" i="51"/>
  <c r="S49" i="51"/>
  <c r="R49" i="51"/>
  <c r="Q49" i="51"/>
  <c r="P49" i="51"/>
  <c r="O49" i="51"/>
  <c r="N49" i="51"/>
  <c r="A49" i="51"/>
  <c r="V48" i="51"/>
  <c r="U48" i="51"/>
  <c r="T48" i="51"/>
  <c r="S48" i="51"/>
  <c r="R48" i="51"/>
  <c r="Q48" i="51"/>
  <c r="P48" i="51"/>
  <c r="O48" i="51"/>
  <c r="N48" i="51"/>
  <c r="A48" i="51"/>
  <c r="V47" i="51"/>
  <c r="U47" i="51"/>
  <c r="T47" i="51"/>
  <c r="S47" i="51"/>
  <c r="R47" i="51"/>
  <c r="Q47" i="51"/>
  <c r="P47" i="51"/>
  <c r="O47" i="51"/>
  <c r="N47" i="51"/>
  <c r="A47" i="51"/>
  <c r="V46" i="51"/>
  <c r="U46" i="51"/>
  <c r="T46" i="51"/>
  <c r="S46" i="51"/>
  <c r="R46" i="51"/>
  <c r="Q46" i="51"/>
  <c r="P46" i="51"/>
  <c r="O46" i="51"/>
  <c r="N46" i="51"/>
  <c r="A46" i="51"/>
  <c r="V45" i="51"/>
  <c r="U45" i="51"/>
  <c r="T45" i="51"/>
  <c r="S45" i="51"/>
  <c r="R45" i="51"/>
  <c r="Q45" i="51"/>
  <c r="P45" i="51"/>
  <c r="O45" i="51"/>
  <c r="N45" i="51"/>
  <c r="A45" i="51"/>
  <c r="V44" i="51"/>
  <c r="U44" i="51"/>
  <c r="T44" i="51"/>
  <c r="S44" i="51"/>
  <c r="R44" i="51"/>
  <c r="Q44" i="51"/>
  <c r="P44" i="51"/>
  <c r="O44" i="51"/>
  <c r="N44" i="51"/>
  <c r="A44" i="51"/>
  <c r="V43" i="51"/>
  <c r="U43" i="51"/>
  <c r="T43" i="51"/>
  <c r="S43" i="51"/>
  <c r="R43" i="51"/>
  <c r="Q43" i="51"/>
  <c r="P43" i="51"/>
  <c r="O43" i="51"/>
  <c r="N43" i="51"/>
  <c r="L43" i="51"/>
  <c r="K43" i="51"/>
  <c r="J43" i="51"/>
  <c r="I43" i="51"/>
  <c r="H43" i="51"/>
  <c r="G43" i="51"/>
  <c r="F43" i="51"/>
  <c r="E43" i="51"/>
  <c r="D43" i="51"/>
  <c r="C43" i="51"/>
  <c r="A43" i="51"/>
  <c r="V42" i="51"/>
  <c r="U42" i="51"/>
  <c r="T42" i="51"/>
  <c r="S42" i="51"/>
  <c r="R42" i="51"/>
  <c r="Q42" i="51"/>
  <c r="P42" i="51"/>
  <c r="O42" i="51"/>
  <c r="N42" i="51"/>
  <c r="L42" i="51"/>
  <c r="K42" i="51"/>
  <c r="J42" i="51"/>
  <c r="I42" i="51"/>
  <c r="H42" i="51"/>
  <c r="G42" i="51"/>
  <c r="F42" i="51"/>
  <c r="E42" i="51"/>
  <c r="D42" i="51"/>
  <c r="C42" i="51"/>
  <c r="A42" i="51"/>
  <c r="V41" i="51"/>
  <c r="U41" i="51"/>
  <c r="T41" i="51"/>
  <c r="S41" i="51"/>
  <c r="R41" i="51"/>
  <c r="Q41" i="51"/>
  <c r="P41" i="51"/>
  <c r="O41" i="51"/>
  <c r="N41" i="51"/>
  <c r="L41" i="51"/>
  <c r="K41" i="51"/>
  <c r="J41" i="51"/>
  <c r="I41" i="51"/>
  <c r="H41" i="51"/>
  <c r="G41" i="51"/>
  <c r="F41" i="51"/>
  <c r="E41" i="51"/>
  <c r="D41" i="51"/>
  <c r="C41" i="51"/>
  <c r="A41" i="51"/>
  <c r="V40" i="51"/>
  <c r="U40" i="51"/>
  <c r="T40" i="51"/>
  <c r="S40" i="51"/>
  <c r="R40" i="51"/>
  <c r="Q40" i="51"/>
  <c r="P40" i="51"/>
  <c r="O40" i="51"/>
  <c r="N40" i="51"/>
  <c r="A40" i="51"/>
  <c r="V39" i="51"/>
  <c r="U39" i="51"/>
  <c r="T39" i="51"/>
  <c r="S39" i="51"/>
  <c r="R39" i="51"/>
  <c r="Q39" i="51"/>
  <c r="P39" i="51"/>
  <c r="O39" i="51"/>
  <c r="N39" i="51"/>
  <c r="L39" i="51"/>
  <c r="K39" i="51"/>
  <c r="J39" i="51"/>
  <c r="I39" i="51"/>
  <c r="H39" i="51"/>
  <c r="G39" i="51"/>
  <c r="F39" i="51"/>
  <c r="E39" i="51"/>
  <c r="D39" i="51"/>
  <c r="C39" i="51"/>
  <c r="A39" i="51"/>
  <c r="V38" i="51"/>
  <c r="U38" i="51"/>
  <c r="T38" i="51"/>
  <c r="S38" i="51"/>
  <c r="R38" i="51"/>
  <c r="Q38" i="51"/>
  <c r="P38" i="51"/>
  <c r="O38" i="51"/>
  <c r="N38" i="51"/>
  <c r="A38" i="51"/>
  <c r="V37" i="51"/>
  <c r="U37" i="51"/>
  <c r="T37" i="51"/>
  <c r="S37" i="51"/>
  <c r="R37" i="51"/>
  <c r="Q37" i="51"/>
  <c r="P37" i="51"/>
  <c r="O37" i="51"/>
  <c r="N37" i="51"/>
  <c r="L37" i="51"/>
  <c r="K37" i="51"/>
  <c r="J37" i="51"/>
  <c r="I37" i="51"/>
  <c r="H37" i="51"/>
  <c r="G37" i="51"/>
  <c r="F37" i="51"/>
  <c r="E37" i="51"/>
  <c r="D37" i="51"/>
  <c r="C37" i="51"/>
  <c r="A37" i="51"/>
  <c r="V36" i="51"/>
  <c r="U36" i="51"/>
  <c r="T36" i="51"/>
  <c r="S36" i="51"/>
  <c r="R36" i="51"/>
  <c r="Q36" i="51"/>
  <c r="P36" i="51"/>
  <c r="O36" i="51"/>
  <c r="N36" i="51"/>
  <c r="A36" i="51"/>
  <c r="V35" i="51"/>
  <c r="U35" i="51"/>
  <c r="T35" i="51"/>
  <c r="S35" i="51"/>
  <c r="R35" i="51"/>
  <c r="Q35" i="51"/>
  <c r="P35" i="51"/>
  <c r="O35" i="51"/>
  <c r="N35" i="51"/>
  <c r="A35" i="51"/>
  <c r="V34" i="51"/>
  <c r="U34" i="51"/>
  <c r="T34" i="51"/>
  <c r="S34" i="51"/>
  <c r="R34" i="51"/>
  <c r="Q34" i="51"/>
  <c r="P34" i="51"/>
  <c r="O34" i="51"/>
  <c r="N34" i="51"/>
  <c r="L34" i="51"/>
  <c r="K34" i="51"/>
  <c r="J34" i="51"/>
  <c r="I34" i="51"/>
  <c r="H34" i="51"/>
  <c r="G34" i="51"/>
  <c r="F34" i="51"/>
  <c r="E34" i="51"/>
  <c r="D34" i="51"/>
  <c r="C34" i="51"/>
  <c r="A34" i="51"/>
  <c r="V33" i="51"/>
  <c r="U33" i="51"/>
  <c r="T33" i="51"/>
  <c r="S33" i="51"/>
  <c r="R33" i="51"/>
  <c r="Q33" i="51"/>
  <c r="P33" i="51"/>
  <c r="O33" i="51"/>
  <c r="N33" i="51"/>
  <c r="L33" i="51"/>
  <c r="K33" i="51"/>
  <c r="J33" i="51"/>
  <c r="I33" i="51"/>
  <c r="H33" i="51"/>
  <c r="G33" i="51"/>
  <c r="F33" i="51"/>
  <c r="E33" i="51"/>
  <c r="D33" i="51"/>
  <c r="T32" i="51"/>
  <c r="S32" i="51"/>
  <c r="V31" i="51"/>
  <c r="U31" i="51"/>
  <c r="T31" i="51"/>
  <c r="S31" i="51"/>
  <c r="R31" i="51"/>
  <c r="Q31" i="51"/>
  <c r="P31" i="51"/>
  <c r="O31" i="51"/>
  <c r="N31" i="51"/>
  <c r="M31" i="51"/>
  <c r="J20" i="51"/>
  <c r="I20" i="51"/>
  <c r="H20" i="51"/>
  <c r="G20" i="51"/>
  <c r="J19" i="51"/>
  <c r="I19" i="51"/>
  <c r="H19" i="51"/>
  <c r="G19" i="51"/>
  <c r="J18" i="51"/>
  <c r="I18" i="51"/>
  <c r="H18" i="51"/>
  <c r="G18" i="51"/>
  <c r="J17" i="51"/>
  <c r="I17" i="51"/>
  <c r="H17" i="51"/>
  <c r="G17" i="51"/>
  <c r="J16" i="51"/>
  <c r="I16" i="51"/>
  <c r="H16" i="51"/>
  <c r="G16" i="51"/>
  <c r="J15" i="51"/>
  <c r="I15" i="51"/>
  <c r="H15" i="51"/>
  <c r="G15" i="51"/>
  <c r="J14" i="51"/>
  <c r="I14" i="51"/>
  <c r="H14" i="51"/>
  <c r="G14" i="51"/>
  <c r="J13" i="51"/>
  <c r="I13" i="51"/>
  <c r="H13" i="51"/>
  <c r="G13" i="51"/>
  <c r="J12" i="51"/>
  <c r="I12" i="51"/>
  <c r="H12" i="51"/>
  <c r="G12" i="51"/>
  <c r="J11" i="51"/>
  <c r="H11" i="51"/>
  <c r="G11" i="51"/>
  <c r="E7" i="51"/>
  <c r="B7" i="51"/>
  <c r="I11" i="51" s="1"/>
  <c r="C33" i="51" s="1"/>
  <c r="M33" i="51" s="1"/>
  <c r="M86" i="51" s="1"/>
  <c r="F189" i="50"/>
  <c r="E189" i="50"/>
  <c r="C189" i="50"/>
  <c r="B189" i="50"/>
  <c r="L150" i="50"/>
  <c r="K150" i="50"/>
  <c r="I150" i="50"/>
  <c r="H150" i="50"/>
  <c r="G150" i="50"/>
  <c r="L149" i="50"/>
  <c r="K149" i="50"/>
  <c r="I149" i="50"/>
  <c r="H149" i="50"/>
  <c r="G149" i="50"/>
  <c r="C133" i="50"/>
  <c r="C128" i="50"/>
  <c r="C123" i="50"/>
  <c r="V103" i="50"/>
  <c r="U103" i="50"/>
  <c r="T103" i="50"/>
  <c r="S103" i="50"/>
  <c r="R103" i="50"/>
  <c r="Q103" i="50"/>
  <c r="P103" i="50"/>
  <c r="O103" i="50"/>
  <c r="N103" i="50"/>
  <c r="A103" i="50"/>
  <c r="V102" i="50"/>
  <c r="U102" i="50"/>
  <c r="T102" i="50"/>
  <c r="S102" i="50"/>
  <c r="R102" i="50"/>
  <c r="Q102" i="50"/>
  <c r="P102" i="50"/>
  <c r="O102" i="50"/>
  <c r="N102" i="50"/>
  <c r="A102" i="50"/>
  <c r="V101" i="50"/>
  <c r="U101" i="50"/>
  <c r="T101" i="50"/>
  <c r="S101" i="50"/>
  <c r="R101" i="50"/>
  <c r="Q101" i="50"/>
  <c r="P101" i="50"/>
  <c r="O101" i="50"/>
  <c r="N101" i="50"/>
  <c r="A101" i="50"/>
  <c r="V100" i="50"/>
  <c r="U100" i="50"/>
  <c r="T100" i="50"/>
  <c r="S100" i="50"/>
  <c r="R100" i="50"/>
  <c r="Q100" i="50"/>
  <c r="P100" i="50"/>
  <c r="O100" i="50"/>
  <c r="N100" i="50"/>
  <c r="A100" i="50"/>
  <c r="V99" i="50"/>
  <c r="U99" i="50"/>
  <c r="T99" i="50"/>
  <c r="S99" i="50"/>
  <c r="R99" i="50"/>
  <c r="Q99" i="50"/>
  <c r="P99" i="50"/>
  <c r="O99" i="50"/>
  <c r="N99" i="50"/>
  <c r="A99" i="50"/>
  <c r="V98" i="50"/>
  <c r="U98" i="50"/>
  <c r="T98" i="50"/>
  <c r="S98" i="50"/>
  <c r="R98" i="50"/>
  <c r="Q98" i="50"/>
  <c r="P98" i="50"/>
  <c r="O98" i="50"/>
  <c r="N98" i="50"/>
  <c r="A98" i="50"/>
  <c r="V97" i="50"/>
  <c r="U97" i="50"/>
  <c r="T97" i="50"/>
  <c r="S97" i="50"/>
  <c r="R97" i="50"/>
  <c r="Q97" i="50"/>
  <c r="P97" i="50"/>
  <c r="O97" i="50"/>
  <c r="N97" i="50"/>
  <c r="A97" i="50"/>
  <c r="V96" i="50"/>
  <c r="U96" i="50"/>
  <c r="T96" i="50"/>
  <c r="S96" i="50"/>
  <c r="R96" i="50"/>
  <c r="Q96" i="50"/>
  <c r="P96" i="50"/>
  <c r="O96" i="50"/>
  <c r="N96" i="50"/>
  <c r="A96" i="50"/>
  <c r="V95" i="50"/>
  <c r="U95" i="50"/>
  <c r="T95" i="50"/>
  <c r="S95" i="50"/>
  <c r="R95" i="50"/>
  <c r="Q95" i="50"/>
  <c r="P95" i="50"/>
  <c r="O95" i="50"/>
  <c r="N95" i="50"/>
  <c r="A95" i="50"/>
  <c r="V94" i="50"/>
  <c r="U94" i="50"/>
  <c r="T94" i="50"/>
  <c r="S94" i="50"/>
  <c r="R94" i="50"/>
  <c r="Q94" i="50"/>
  <c r="P94" i="50"/>
  <c r="O94" i="50"/>
  <c r="N94" i="50"/>
  <c r="A94" i="50"/>
  <c r="V93" i="50"/>
  <c r="U93" i="50"/>
  <c r="T93" i="50"/>
  <c r="S93" i="50"/>
  <c r="R93" i="50"/>
  <c r="Q93" i="50"/>
  <c r="P93" i="50"/>
  <c r="O93" i="50"/>
  <c r="N93" i="50"/>
  <c r="A93" i="50"/>
  <c r="V92" i="50"/>
  <c r="U92" i="50"/>
  <c r="T92" i="50"/>
  <c r="S92" i="50"/>
  <c r="R92" i="50"/>
  <c r="Q92" i="50"/>
  <c r="P92" i="50"/>
  <c r="O92" i="50"/>
  <c r="N92" i="50"/>
  <c r="A92" i="50"/>
  <c r="V91" i="50"/>
  <c r="U91" i="50"/>
  <c r="T91" i="50"/>
  <c r="S91" i="50"/>
  <c r="R91" i="50"/>
  <c r="Q91" i="50"/>
  <c r="P91" i="50"/>
  <c r="O91" i="50"/>
  <c r="N91" i="50"/>
  <c r="A91" i="50"/>
  <c r="V90" i="50"/>
  <c r="U90" i="50"/>
  <c r="T90" i="50"/>
  <c r="S90" i="50"/>
  <c r="R90" i="50"/>
  <c r="Q90" i="50"/>
  <c r="P90" i="50"/>
  <c r="O90" i="50"/>
  <c r="N90" i="50"/>
  <c r="A90" i="50"/>
  <c r="V89" i="50"/>
  <c r="U89" i="50"/>
  <c r="T89" i="50"/>
  <c r="S89" i="50"/>
  <c r="R89" i="50"/>
  <c r="Q89" i="50"/>
  <c r="P89" i="50"/>
  <c r="O89" i="50"/>
  <c r="N89" i="50"/>
  <c r="A89" i="50"/>
  <c r="V88" i="50"/>
  <c r="U88" i="50"/>
  <c r="T88" i="50"/>
  <c r="S88" i="50"/>
  <c r="R88" i="50"/>
  <c r="Q88" i="50"/>
  <c r="P88" i="50"/>
  <c r="O88" i="50"/>
  <c r="N88" i="50"/>
  <c r="A88" i="50"/>
  <c r="V87" i="50"/>
  <c r="U87" i="50"/>
  <c r="T87" i="50"/>
  <c r="S87" i="50"/>
  <c r="R87" i="50"/>
  <c r="Q87" i="50"/>
  <c r="P87" i="50"/>
  <c r="O87" i="50"/>
  <c r="N87" i="50"/>
  <c r="A87" i="50"/>
  <c r="V86" i="50"/>
  <c r="U86" i="50"/>
  <c r="T86" i="50"/>
  <c r="S86" i="50"/>
  <c r="R86" i="50"/>
  <c r="Q86" i="50"/>
  <c r="P86" i="50"/>
  <c r="O86" i="50"/>
  <c r="N86" i="50"/>
  <c r="A86" i="50"/>
  <c r="V85" i="50"/>
  <c r="U85" i="50"/>
  <c r="T85" i="50"/>
  <c r="S85" i="50"/>
  <c r="R85" i="50"/>
  <c r="Q85" i="50"/>
  <c r="P85" i="50"/>
  <c r="O85" i="50"/>
  <c r="N85" i="50"/>
  <c r="A85" i="50"/>
  <c r="V84" i="50"/>
  <c r="U84" i="50"/>
  <c r="T84" i="50"/>
  <c r="S84" i="50"/>
  <c r="R84" i="50"/>
  <c r="Q84" i="50"/>
  <c r="P84" i="50"/>
  <c r="O84" i="50"/>
  <c r="N84" i="50"/>
  <c r="A84" i="50"/>
  <c r="V83" i="50"/>
  <c r="U83" i="50"/>
  <c r="T83" i="50"/>
  <c r="S83" i="50"/>
  <c r="R83" i="50"/>
  <c r="Q83" i="50"/>
  <c r="P83" i="50"/>
  <c r="O83" i="50"/>
  <c r="N83" i="50"/>
  <c r="A83" i="50"/>
  <c r="V82" i="50"/>
  <c r="U82" i="50"/>
  <c r="T82" i="50"/>
  <c r="S82" i="50"/>
  <c r="R82" i="50"/>
  <c r="Q82" i="50"/>
  <c r="P82" i="50"/>
  <c r="O82" i="50"/>
  <c r="N82" i="50"/>
  <c r="L82" i="50"/>
  <c r="K82" i="50"/>
  <c r="J82" i="50"/>
  <c r="I82" i="50"/>
  <c r="H82" i="50"/>
  <c r="G82" i="50"/>
  <c r="F82" i="50"/>
  <c r="A82" i="50"/>
  <c r="V81" i="50"/>
  <c r="U81" i="50"/>
  <c r="T81" i="50"/>
  <c r="S81" i="50"/>
  <c r="R81" i="50"/>
  <c r="Q81" i="50"/>
  <c r="P81" i="50"/>
  <c r="O81" i="50"/>
  <c r="N81" i="50"/>
  <c r="A81" i="50"/>
  <c r="V80" i="50"/>
  <c r="U80" i="50"/>
  <c r="T80" i="50"/>
  <c r="S80" i="50"/>
  <c r="R80" i="50"/>
  <c r="Q80" i="50"/>
  <c r="P80" i="50"/>
  <c r="O80" i="50"/>
  <c r="N80" i="50"/>
  <c r="A80" i="50"/>
  <c r="V79" i="50"/>
  <c r="U79" i="50"/>
  <c r="T79" i="50"/>
  <c r="S79" i="50"/>
  <c r="R79" i="50"/>
  <c r="Q79" i="50"/>
  <c r="P79" i="50"/>
  <c r="O79" i="50"/>
  <c r="N79" i="50"/>
  <c r="A79" i="50"/>
  <c r="V78" i="50"/>
  <c r="U78" i="50"/>
  <c r="T78" i="50"/>
  <c r="S78" i="50"/>
  <c r="R78" i="50"/>
  <c r="Q78" i="50"/>
  <c r="P78" i="50"/>
  <c r="O78" i="50"/>
  <c r="N78" i="50"/>
  <c r="A78" i="50"/>
  <c r="V77" i="50"/>
  <c r="U77" i="50"/>
  <c r="T77" i="50"/>
  <c r="S77" i="50"/>
  <c r="R77" i="50"/>
  <c r="Q77" i="50"/>
  <c r="P77" i="50"/>
  <c r="O77" i="50"/>
  <c r="N77" i="50"/>
  <c r="A77" i="50"/>
  <c r="V76" i="50"/>
  <c r="U76" i="50"/>
  <c r="T76" i="50"/>
  <c r="S76" i="50"/>
  <c r="R76" i="50"/>
  <c r="Q76" i="50"/>
  <c r="P76" i="50"/>
  <c r="O76" i="50"/>
  <c r="N76" i="50"/>
  <c r="A76" i="50"/>
  <c r="V75" i="50"/>
  <c r="U75" i="50"/>
  <c r="T75" i="50"/>
  <c r="S75" i="50"/>
  <c r="R75" i="50"/>
  <c r="Q75" i="50"/>
  <c r="P75" i="50"/>
  <c r="O75" i="50"/>
  <c r="N75" i="50"/>
  <c r="A75" i="50"/>
  <c r="V74" i="50"/>
  <c r="U74" i="50"/>
  <c r="T74" i="50"/>
  <c r="S74" i="50"/>
  <c r="R74" i="50"/>
  <c r="Q74" i="50"/>
  <c r="P74" i="50"/>
  <c r="O74" i="50"/>
  <c r="N74" i="50"/>
  <c r="A74" i="50"/>
  <c r="V73" i="50"/>
  <c r="U73" i="50"/>
  <c r="T73" i="50"/>
  <c r="S73" i="50"/>
  <c r="R73" i="50"/>
  <c r="Q73" i="50"/>
  <c r="P73" i="50"/>
  <c r="O73" i="50"/>
  <c r="N73" i="50"/>
  <c r="A73" i="50"/>
  <c r="V72" i="50"/>
  <c r="U72" i="50"/>
  <c r="T72" i="50"/>
  <c r="S72" i="50"/>
  <c r="R72" i="50"/>
  <c r="Q72" i="50"/>
  <c r="P72" i="50"/>
  <c r="O72" i="50"/>
  <c r="N72" i="50"/>
  <c r="A72" i="50"/>
  <c r="V71" i="50"/>
  <c r="U71" i="50"/>
  <c r="T71" i="50"/>
  <c r="S71" i="50"/>
  <c r="R71" i="50"/>
  <c r="Q71" i="50"/>
  <c r="P71" i="50"/>
  <c r="O71" i="50"/>
  <c r="N71" i="50"/>
  <c r="L71" i="50"/>
  <c r="K71" i="50"/>
  <c r="J71" i="50"/>
  <c r="I71" i="50"/>
  <c r="H71" i="50"/>
  <c r="G71" i="50"/>
  <c r="F71" i="50"/>
  <c r="E71" i="50"/>
  <c r="D71" i="50"/>
  <c r="C71" i="50"/>
  <c r="A71" i="50"/>
  <c r="V70" i="50"/>
  <c r="U70" i="50"/>
  <c r="T70" i="50"/>
  <c r="S70" i="50"/>
  <c r="R70" i="50"/>
  <c r="Q70" i="50"/>
  <c r="P70" i="50"/>
  <c r="O70" i="50"/>
  <c r="N70" i="50"/>
  <c r="A70" i="50"/>
  <c r="V69" i="50"/>
  <c r="U69" i="50"/>
  <c r="T69" i="50"/>
  <c r="S69" i="50"/>
  <c r="R69" i="50"/>
  <c r="Q69" i="50"/>
  <c r="P69" i="50"/>
  <c r="O69" i="50"/>
  <c r="N69" i="50"/>
  <c r="L69" i="50"/>
  <c r="K69" i="50"/>
  <c r="J69" i="50"/>
  <c r="I69" i="50"/>
  <c r="H69" i="50"/>
  <c r="G69" i="50"/>
  <c r="F69" i="50"/>
  <c r="E69" i="50"/>
  <c r="D69" i="50"/>
  <c r="C69" i="50"/>
  <c r="A69" i="50"/>
  <c r="V68" i="50"/>
  <c r="U68" i="50"/>
  <c r="T68" i="50"/>
  <c r="S68" i="50"/>
  <c r="R68" i="50"/>
  <c r="Q68" i="50"/>
  <c r="P68" i="50"/>
  <c r="O68" i="50"/>
  <c r="N68" i="50"/>
  <c r="C68" i="50"/>
  <c r="A68" i="50"/>
  <c r="V67" i="50"/>
  <c r="U67" i="50"/>
  <c r="T67" i="50"/>
  <c r="S67" i="50"/>
  <c r="R67" i="50"/>
  <c r="Q67" i="50"/>
  <c r="P67" i="50"/>
  <c r="O67" i="50"/>
  <c r="N67" i="50"/>
  <c r="A67" i="50"/>
  <c r="V66" i="50"/>
  <c r="U66" i="50"/>
  <c r="T66" i="50"/>
  <c r="S66" i="50"/>
  <c r="R66" i="50"/>
  <c r="Q66" i="50"/>
  <c r="P66" i="50"/>
  <c r="O66" i="50"/>
  <c r="N66" i="50"/>
  <c r="A66" i="50"/>
  <c r="V65" i="50"/>
  <c r="U65" i="50"/>
  <c r="T65" i="50"/>
  <c r="S65" i="50"/>
  <c r="R65" i="50"/>
  <c r="Q65" i="50"/>
  <c r="P65" i="50"/>
  <c r="O65" i="50"/>
  <c r="N65" i="50"/>
  <c r="C65" i="50"/>
  <c r="A65" i="50"/>
  <c r="V64" i="50"/>
  <c r="U64" i="50"/>
  <c r="T64" i="50"/>
  <c r="S64" i="50"/>
  <c r="R64" i="50"/>
  <c r="Q64" i="50"/>
  <c r="P64" i="50"/>
  <c r="O64" i="50"/>
  <c r="N64" i="50"/>
  <c r="C64" i="50"/>
  <c r="A64" i="50"/>
  <c r="V63" i="50"/>
  <c r="U63" i="50"/>
  <c r="T63" i="50"/>
  <c r="S63" i="50"/>
  <c r="R63" i="50"/>
  <c r="Q63" i="50"/>
  <c r="P63" i="50"/>
  <c r="O63" i="50"/>
  <c r="N63" i="50"/>
  <c r="A63" i="50"/>
  <c r="V62" i="50"/>
  <c r="U62" i="50"/>
  <c r="T62" i="50"/>
  <c r="S62" i="50"/>
  <c r="R62" i="50"/>
  <c r="Q62" i="50"/>
  <c r="P62" i="50"/>
  <c r="O62" i="50"/>
  <c r="N62" i="50"/>
  <c r="A62" i="50"/>
  <c r="V61" i="50"/>
  <c r="U61" i="50"/>
  <c r="T61" i="50"/>
  <c r="S61" i="50"/>
  <c r="R61" i="50"/>
  <c r="Q61" i="50"/>
  <c r="P61" i="50"/>
  <c r="O61" i="50"/>
  <c r="N61" i="50"/>
  <c r="A61" i="50"/>
  <c r="V60" i="50"/>
  <c r="U60" i="50"/>
  <c r="T60" i="50"/>
  <c r="S60" i="50"/>
  <c r="R60" i="50"/>
  <c r="Q60" i="50"/>
  <c r="P60" i="50"/>
  <c r="O60" i="50"/>
  <c r="N60" i="50"/>
  <c r="A60" i="50"/>
  <c r="V59" i="50"/>
  <c r="U59" i="50"/>
  <c r="T59" i="50"/>
  <c r="S59" i="50"/>
  <c r="R59" i="50"/>
  <c r="Q59" i="50"/>
  <c r="P59" i="50"/>
  <c r="O59" i="50"/>
  <c r="N59" i="50"/>
  <c r="A59" i="50"/>
  <c r="V58" i="50"/>
  <c r="U58" i="50"/>
  <c r="T58" i="50"/>
  <c r="S58" i="50"/>
  <c r="R58" i="50"/>
  <c r="Q58" i="50"/>
  <c r="P58" i="50"/>
  <c r="O58" i="50"/>
  <c r="N58" i="50"/>
  <c r="C58" i="50"/>
  <c r="A58" i="50"/>
  <c r="V57" i="50"/>
  <c r="U57" i="50"/>
  <c r="T57" i="50"/>
  <c r="S57" i="50"/>
  <c r="R57" i="50"/>
  <c r="Q57" i="50"/>
  <c r="P57" i="50"/>
  <c r="O57" i="50"/>
  <c r="N57" i="50"/>
  <c r="C57" i="50"/>
  <c r="A57" i="50"/>
  <c r="V56" i="50"/>
  <c r="U56" i="50"/>
  <c r="T56" i="50"/>
  <c r="S56" i="50"/>
  <c r="R56" i="50"/>
  <c r="Q56" i="50"/>
  <c r="P56" i="50"/>
  <c r="O56" i="50"/>
  <c r="N56" i="50"/>
  <c r="A56" i="50"/>
  <c r="V55" i="50"/>
  <c r="U55" i="50"/>
  <c r="T55" i="50"/>
  <c r="S55" i="50"/>
  <c r="R55" i="50"/>
  <c r="Q55" i="50"/>
  <c r="P55" i="50"/>
  <c r="O55" i="50"/>
  <c r="N55" i="50"/>
  <c r="A55" i="50"/>
  <c r="V54" i="50"/>
  <c r="U54" i="50"/>
  <c r="T54" i="50"/>
  <c r="S54" i="50"/>
  <c r="R54" i="50"/>
  <c r="Q54" i="50"/>
  <c r="P54" i="50"/>
  <c r="O54" i="50"/>
  <c r="N54" i="50"/>
  <c r="A54" i="50"/>
  <c r="V53" i="50"/>
  <c r="U53" i="50"/>
  <c r="T53" i="50"/>
  <c r="S53" i="50"/>
  <c r="R53" i="50"/>
  <c r="Q53" i="50"/>
  <c r="P53" i="50"/>
  <c r="O53" i="50"/>
  <c r="N53" i="50"/>
  <c r="L53" i="50"/>
  <c r="K53" i="50"/>
  <c r="J53" i="50"/>
  <c r="I53" i="50"/>
  <c r="H53" i="50"/>
  <c r="G53" i="50"/>
  <c r="F53" i="50"/>
  <c r="E53" i="50"/>
  <c r="D53" i="50"/>
  <c r="C53" i="50"/>
  <c r="A53" i="50"/>
  <c r="V52" i="50"/>
  <c r="U52" i="50"/>
  <c r="T52" i="50"/>
  <c r="S52" i="50"/>
  <c r="R52" i="50"/>
  <c r="Q52" i="50"/>
  <c r="P52" i="50"/>
  <c r="O52" i="50"/>
  <c r="N52" i="50"/>
  <c r="L52" i="50"/>
  <c r="K52" i="50"/>
  <c r="J52" i="50"/>
  <c r="I52" i="50"/>
  <c r="H52" i="50"/>
  <c r="G52" i="50"/>
  <c r="F52" i="50"/>
  <c r="E52" i="50"/>
  <c r="D52" i="50"/>
  <c r="C52" i="50"/>
  <c r="A52" i="50"/>
  <c r="V51" i="50"/>
  <c r="U51" i="50"/>
  <c r="T51" i="50"/>
  <c r="S51" i="50"/>
  <c r="R51" i="50"/>
  <c r="Q51" i="50"/>
  <c r="P51" i="50"/>
  <c r="O51" i="50"/>
  <c r="N51" i="50"/>
  <c r="A51" i="50"/>
  <c r="V50" i="50"/>
  <c r="U50" i="50"/>
  <c r="T50" i="50"/>
  <c r="S50" i="50"/>
  <c r="R50" i="50"/>
  <c r="Q50" i="50"/>
  <c r="P50" i="50"/>
  <c r="O50" i="50"/>
  <c r="N50" i="50"/>
  <c r="A50" i="50"/>
  <c r="V49" i="50"/>
  <c r="U49" i="50"/>
  <c r="T49" i="50"/>
  <c r="S49" i="50"/>
  <c r="R49" i="50"/>
  <c r="Q49" i="50"/>
  <c r="P49" i="50"/>
  <c r="O49" i="50"/>
  <c r="N49" i="50"/>
  <c r="A49" i="50"/>
  <c r="V48" i="50"/>
  <c r="U48" i="50"/>
  <c r="T48" i="50"/>
  <c r="S48" i="50"/>
  <c r="R48" i="50"/>
  <c r="Q48" i="50"/>
  <c r="P48" i="50"/>
  <c r="O48" i="50"/>
  <c r="N48" i="50"/>
  <c r="A48" i="50"/>
  <c r="V47" i="50"/>
  <c r="U47" i="50"/>
  <c r="T47" i="50"/>
  <c r="S47" i="50"/>
  <c r="R47" i="50"/>
  <c r="Q47" i="50"/>
  <c r="P47" i="50"/>
  <c r="O47" i="50"/>
  <c r="N47" i="50"/>
  <c r="A47" i="50"/>
  <c r="V46" i="50"/>
  <c r="U46" i="50"/>
  <c r="T46" i="50"/>
  <c r="S46" i="50"/>
  <c r="R46" i="50"/>
  <c r="Q46" i="50"/>
  <c r="P46" i="50"/>
  <c r="O46" i="50"/>
  <c r="N46" i="50"/>
  <c r="A46" i="50"/>
  <c r="V45" i="50"/>
  <c r="U45" i="50"/>
  <c r="T45" i="50"/>
  <c r="S45" i="50"/>
  <c r="R45" i="50"/>
  <c r="Q45" i="50"/>
  <c r="P45" i="50"/>
  <c r="O45" i="50"/>
  <c r="N45" i="50"/>
  <c r="A45" i="50"/>
  <c r="V44" i="50"/>
  <c r="U44" i="50"/>
  <c r="T44" i="50"/>
  <c r="S44" i="50"/>
  <c r="R44" i="50"/>
  <c r="Q44" i="50"/>
  <c r="P44" i="50"/>
  <c r="O44" i="50"/>
  <c r="N44" i="50"/>
  <c r="A44" i="50"/>
  <c r="V43" i="50"/>
  <c r="U43" i="50"/>
  <c r="T43" i="50"/>
  <c r="S43" i="50"/>
  <c r="R43" i="50"/>
  <c r="Q43" i="50"/>
  <c r="P43" i="50"/>
  <c r="O43" i="50"/>
  <c r="N43" i="50"/>
  <c r="L43" i="50"/>
  <c r="K43" i="50"/>
  <c r="J43" i="50"/>
  <c r="I43" i="50"/>
  <c r="H43" i="50"/>
  <c r="G43" i="50"/>
  <c r="F43" i="50"/>
  <c r="E43" i="50"/>
  <c r="D43" i="50"/>
  <c r="C43" i="50"/>
  <c r="A43" i="50"/>
  <c r="V42" i="50"/>
  <c r="U42" i="50"/>
  <c r="T42" i="50"/>
  <c r="S42" i="50"/>
  <c r="R42" i="50"/>
  <c r="Q42" i="50"/>
  <c r="P42" i="50"/>
  <c r="O42" i="50"/>
  <c r="N42" i="50"/>
  <c r="L42" i="50"/>
  <c r="K42" i="50"/>
  <c r="J42" i="50"/>
  <c r="I42" i="50"/>
  <c r="H42" i="50"/>
  <c r="G42" i="50"/>
  <c r="F42" i="50"/>
  <c r="E42" i="50"/>
  <c r="D42" i="50"/>
  <c r="C42" i="50"/>
  <c r="A42" i="50"/>
  <c r="V41" i="50"/>
  <c r="U41" i="50"/>
  <c r="T41" i="50"/>
  <c r="S41" i="50"/>
  <c r="R41" i="50"/>
  <c r="Q41" i="50"/>
  <c r="P41" i="50"/>
  <c r="O41" i="50"/>
  <c r="N41" i="50"/>
  <c r="L41" i="50"/>
  <c r="K41" i="50"/>
  <c r="J41" i="50"/>
  <c r="I41" i="50"/>
  <c r="H41" i="50"/>
  <c r="G41" i="50"/>
  <c r="F41" i="50"/>
  <c r="E41" i="50"/>
  <c r="D41" i="50"/>
  <c r="C41" i="50"/>
  <c r="A41" i="50"/>
  <c r="V40" i="50"/>
  <c r="U40" i="50"/>
  <c r="T40" i="50"/>
  <c r="S40" i="50"/>
  <c r="R40" i="50"/>
  <c r="Q40" i="50"/>
  <c r="P40" i="50"/>
  <c r="O40" i="50"/>
  <c r="N40" i="50"/>
  <c r="A40" i="50"/>
  <c r="V39" i="50"/>
  <c r="U39" i="50"/>
  <c r="T39" i="50"/>
  <c r="S39" i="50"/>
  <c r="R39" i="50"/>
  <c r="Q39" i="50"/>
  <c r="P39" i="50"/>
  <c r="O39" i="50"/>
  <c r="N39" i="50"/>
  <c r="L39" i="50"/>
  <c r="K39" i="50"/>
  <c r="J39" i="50"/>
  <c r="I39" i="50"/>
  <c r="H39" i="50"/>
  <c r="G39" i="50"/>
  <c r="F39" i="50"/>
  <c r="E39" i="50"/>
  <c r="D39" i="50"/>
  <c r="C39" i="50"/>
  <c r="A39" i="50"/>
  <c r="V38" i="50"/>
  <c r="U38" i="50"/>
  <c r="T38" i="50"/>
  <c r="S38" i="50"/>
  <c r="R38" i="50"/>
  <c r="Q38" i="50"/>
  <c r="P38" i="50"/>
  <c r="O38" i="50"/>
  <c r="N38" i="50"/>
  <c r="A38" i="50"/>
  <c r="V37" i="50"/>
  <c r="U37" i="50"/>
  <c r="T37" i="50"/>
  <c r="S37" i="50"/>
  <c r="R37" i="50"/>
  <c r="Q37" i="50"/>
  <c r="P37" i="50"/>
  <c r="O37" i="50"/>
  <c r="N37" i="50"/>
  <c r="L37" i="50"/>
  <c r="K37" i="50"/>
  <c r="J37" i="50"/>
  <c r="I37" i="50"/>
  <c r="H37" i="50"/>
  <c r="G37" i="50"/>
  <c r="F37" i="50"/>
  <c r="E37" i="50"/>
  <c r="D37" i="50"/>
  <c r="C37" i="50"/>
  <c r="A37" i="50"/>
  <c r="V36" i="50"/>
  <c r="U36" i="50"/>
  <c r="T36" i="50"/>
  <c r="S36" i="50"/>
  <c r="R36" i="50"/>
  <c r="Q36" i="50"/>
  <c r="P36" i="50"/>
  <c r="O36" i="50"/>
  <c r="N36" i="50"/>
  <c r="A36" i="50"/>
  <c r="V35" i="50"/>
  <c r="U35" i="50"/>
  <c r="T35" i="50"/>
  <c r="S35" i="50"/>
  <c r="R35" i="50"/>
  <c r="Q35" i="50"/>
  <c r="P35" i="50"/>
  <c r="O35" i="50"/>
  <c r="N35" i="50"/>
  <c r="A35" i="50"/>
  <c r="V34" i="50"/>
  <c r="U34" i="50"/>
  <c r="T34" i="50"/>
  <c r="S34" i="50"/>
  <c r="R34" i="50"/>
  <c r="Q34" i="50"/>
  <c r="P34" i="50"/>
  <c r="O34" i="50"/>
  <c r="N34" i="50"/>
  <c r="L34" i="50"/>
  <c r="K34" i="50"/>
  <c r="J34" i="50"/>
  <c r="I34" i="50"/>
  <c r="H34" i="50"/>
  <c r="G34" i="50"/>
  <c r="F34" i="50"/>
  <c r="E34" i="50"/>
  <c r="D34" i="50"/>
  <c r="C34" i="50"/>
  <c r="A34" i="50"/>
  <c r="V33" i="50"/>
  <c r="U33" i="50"/>
  <c r="T33" i="50"/>
  <c r="S33" i="50"/>
  <c r="R33" i="50"/>
  <c r="Q33" i="50"/>
  <c r="P33" i="50"/>
  <c r="O33" i="50"/>
  <c r="N33" i="50"/>
  <c r="L33" i="50"/>
  <c r="K33" i="50"/>
  <c r="J33" i="50"/>
  <c r="I33" i="50"/>
  <c r="H33" i="50"/>
  <c r="G33" i="50"/>
  <c r="F33" i="50"/>
  <c r="E33" i="50"/>
  <c r="D33" i="50"/>
  <c r="T32" i="50"/>
  <c r="S32" i="50"/>
  <c r="V31" i="50"/>
  <c r="U31" i="50"/>
  <c r="T31" i="50"/>
  <c r="S31" i="50"/>
  <c r="R31" i="50"/>
  <c r="Q31" i="50"/>
  <c r="P31" i="50"/>
  <c r="O31" i="50"/>
  <c r="N31" i="50"/>
  <c r="M31" i="50"/>
  <c r="J20" i="50"/>
  <c r="I20" i="50"/>
  <c r="H20" i="50"/>
  <c r="G20" i="50"/>
  <c r="J19" i="50"/>
  <c r="I19" i="50"/>
  <c r="H19" i="50"/>
  <c r="G19" i="50"/>
  <c r="J18" i="50"/>
  <c r="I18" i="50"/>
  <c r="H18" i="50"/>
  <c r="G18" i="50"/>
  <c r="J17" i="50"/>
  <c r="I17" i="50"/>
  <c r="H17" i="50"/>
  <c r="G17" i="50"/>
  <c r="J16" i="50"/>
  <c r="I16" i="50"/>
  <c r="H16" i="50"/>
  <c r="G16" i="50"/>
  <c r="J15" i="50"/>
  <c r="I15" i="50"/>
  <c r="H15" i="50"/>
  <c r="G15" i="50"/>
  <c r="J14" i="50"/>
  <c r="I14" i="50"/>
  <c r="H14" i="50"/>
  <c r="G14" i="50"/>
  <c r="J13" i="50"/>
  <c r="I13" i="50"/>
  <c r="H13" i="50"/>
  <c r="G13" i="50"/>
  <c r="J12" i="50"/>
  <c r="I12" i="50"/>
  <c r="H12" i="50"/>
  <c r="G12" i="50"/>
  <c r="J11" i="50"/>
  <c r="H11" i="50"/>
  <c r="G11" i="50"/>
  <c r="B7" i="50"/>
  <c r="I11" i="50" s="1"/>
  <c r="C33" i="50" s="1"/>
  <c r="M33" i="50" s="1"/>
  <c r="M88" i="50" s="1"/>
  <c r="F165" i="49"/>
  <c r="E165" i="49"/>
  <c r="D165" i="49"/>
  <c r="C165" i="49"/>
  <c r="B165" i="49"/>
  <c r="T154" i="49"/>
  <c r="O154" i="49"/>
  <c r="T153" i="49"/>
  <c r="O153" i="49"/>
  <c r="T152" i="49"/>
  <c r="O152" i="49"/>
  <c r="T151" i="49"/>
  <c r="O151" i="49"/>
  <c r="T150" i="49"/>
  <c r="O150" i="49"/>
  <c r="C143" i="49"/>
  <c r="C139" i="49"/>
  <c r="C138" i="49"/>
  <c r="C136" i="49"/>
  <c r="C135" i="49"/>
  <c r="C134" i="49"/>
  <c r="C132" i="49"/>
  <c r="C131" i="49"/>
  <c r="C130" i="49"/>
  <c r="C123" i="49"/>
  <c r="C122" i="49"/>
  <c r="C121" i="49"/>
  <c r="C119" i="49"/>
  <c r="V103" i="49"/>
  <c r="U103" i="49"/>
  <c r="T103" i="49"/>
  <c r="S103" i="49"/>
  <c r="R103" i="49"/>
  <c r="Q103" i="49"/>
  <c r="P103" i="49"/>
  <c r="O103" i="49"/>
  <c r="N103" i="49"/>
  <c r="A103" i="49"/>
  <c r="V102" i="49"/>
  <c r="U102" i="49"/>
  <c r="T102" i="49"/>
  <c r="S102" i="49"/>
  <c r="R102" i="49"/>
  <c r="Q102" i="49"/>
  <c r="P102" i="49"/>
  <c r="O102" i="49"/>
  <c r="N102" i="49"/>
  <c r="A102" i="49"/>
  <c r="V101" i="49"/>
  <c r="U101" i="49"/>
  <c r="T101" i="49"/>
  <c r="S101" i="49"/>
  <c r="R101" i="49"/>
  <c r="Q101" i="49"/>
  <c r="P101" i="49"/>
  <c r="O101" i="49"/>
  <c r="N101" i="49"/>
  <c r="A101" i="49"/>
  <c r="V100" i="49"/>
  <c r="U100" i="49"/>
  <c r="T100" i="49"/>
  <c r="S100" i="49"/>
  <c r="R100" i="49"/>
  <c r="Q100" i="49"/>
  <c r="P100" i="49"/>
  <c r="O100" i="49"/>
  <c r="N100" i="49"/>
  <c r="A100" i="49"/>
  <c r="V99" i="49"/>
  <c r="U99" i="49"/>
  <c r="T99" i="49"/>
  <c r="S99" i="49"/>
  <c r="R99" i="49"/>
  <c r="Q99" i="49"/>
  <c r="P99" i="49"/>
  <c r="O99" i="49"/>
  <c r="N99" i="49"/>
  <c r="A99" i="49"/>
  <c r="V98" i="49"/>
  <c r="U98" i="49"/>
  <c r="T98" i="49"/>
  <c r="S98" i="49"/>
  <c r="R98" i="49"/>
  <c r="Q98" i="49"/>
  <c r="P98" i="49"/>
  <c r="O98" i="49"/>
  <c r="N98" i="49"/>
  <c r="A98" i="49"/>
  <c r="V97" i="49"/>
  <c r="U97" i="49"/>
  <c r="T97" i="49"/>
  <c r="S97" i="49"/>
  <c r="R97" i="49"/>
  <c r="Q97" i="49"/>
  <c r="P97" i="49"/>
  <c r="O97" i="49"/>
  <c r="N97" i="49"/>
  <c r="A97" i="49"/>
  <c r="V96" i="49"/>
  <c r="U96" i="49"/>
  <c r="T96" i="49"/>
  <c r="S96" i="49"/>
  <c r="R96" i="49"/>
  <c r="Q96" i="49"/>
  <c r="P96" i="49"/>
  <c r="O96" i="49"/>
  <c r="N96" i="49"/>
  <c r="A96" i="49"/>
  <c r="V95" i="49"/>
  <c r="U95" i="49"/>
  <c r="T95" i="49"/>
  <c r="S95" i="49"/>
  <c r="R95" i="49"/>
  <c r="Q95" i="49"/>
  <c r="P95" i="49"/>
  <c r="O95" i="49"/>
  <c r="N95" i="49"/>
  <c r="A95" i="49"/>
  <c r="V94" i="49"/>
  <c r="U94" i="49"/>
  <c r="T94" i="49"/>
  <c r="S94" i="49"/>
  <c r="R94" i="49"/>
  <c r="Q94" i="49"/>
  <c r="P94" i="49"/>
  <c r="O94" i="49"/>
  <c r="N94" i="49"/>
  <c r="A94" i="49"/>
  <c r="V93" i="49"/>
  <c r="U93" i="49"/>
  <c r="T93" i="49"/>
  <c r="S93" i="49"/>
  <c r="R93" i="49"/>
  <c r="Q93" i="49"/>
  <c r="P93" i="49"/>
  <c r="O93" i="49"/>
  <c r="N93" i="49"/>
  <c r="A93" i="49"/>
  <c r="V92" i="49"/>
  <c r="U92" i="49"/>
  <c r="T92" i="49"/>
  <c r="S92" i="49"/>
  <c r="R92" i="49"/>
  <c r="Q92" i="49"/>
  <c r="P92" i="49"/>
  <c r="O92" i="49"/>
  <c r="N92" i="49"/>
  <c r="A92" i="49"/>
  <c r="V91" i="49"/>
  <c r="U91" i="49"/>
  <c r="T91" i="49"/>
  <c r="S91" i="49"/>
  <c r="R91" i="49"/>
  <c r="Q91" i="49"/>
  <c r="P91" i="49"/>
  <c r="O91" i="49"/>
  <c r="N91" i="49"/>
  <c r="A91" i="49"/>
  <c r="V90" i="49"/>
  <c r="U90" i="49"/>
  <c r="T90" i="49"/>
  <c r="S90" i="49"/>
  <c r="R90" i="49"/>
  <c r="Q90" i="49"/>
  <c r="P90" i="49"/>
  <c r="O90" i="49"/>
  <c r="N90" i="49"/>
  <c r="A90" i="49"/>
  <c r="V89" i="49"/>
  <c r="U89" i="49"/>
  <c r="T89" i="49"/>
  <c r="S89" i="49"/>
  <c r="R89" i="49"/>
  <c r="Q89" i="49"/>
  <c r="P89" i="49"/>
  <c r="O89" i="49"/>
  <c r="N89" i="49"/>
  <c r="A89" i="49"/>
  <c r="V88" i="49"/>
  <c r="U88" i="49"/>
  <c r="T88" i="49"/>
  <c r="S88" i="49"/>
  <c r="R88" i="49"/>
  <c r="Q88" i="49"/>
  <c r="P88" i="49"/>
  <c r="O88" i="49"/>
  <c r="N88" i="49"/>
  <c r="A88" i="49"/>
  <c r="V87" i="49"/>
  <c r="U87" i="49"/>
  <c r="T87" i="49"/>
  <c r="S87" i="49"/>
  <c r="R87" i="49"/>
  <c r="Q87" i="49"/>
  <c r="P87" i="49"/>
  <c r="O87" i="49"/>
  <c r="N87" i="49"/>
  <c r="A87" i="49"/>
  <c r="V86" i="49"/>
  <c r="U86" i="49"/>
  <c r="T86" i="49"/>
  <c r="S86" i="49"/>
  <c r="R86" i="49"/>
  <c r="Q86" i="49"/>
  <c r="P86" i="49"/>
  <c r="O86" i="49"/>
  <c r="N86" i="49"/>
  <c r="A86" i="49"/>
  <c r="V85" i="49"/>
  <c r="U85" i="49"/>
  <c r="T85" i="49"/>
  <c r="S85" i="49"/>
  <c r="R85" i="49"/>
  <c r="Q85" i="49"/>
  <c r="P85" i="49"/>
  <c r="O85" i="49"/>
  <c r="N85" i="49"/>
  <c r="A85" i="49"/>
  <c r="V84" i="49"/>
  <c r="U84" i="49"/>
  <c r="T84" i="49"/>
  <c r="S84" i="49"/>
  <c r="R84" i="49"/>
  <c r="Q84" i="49"/>
  <c r="P84" i="49"/>
  <c r="O84" i="49"/>
  <c r="N84" i="49"/>
  <c r="A84" i="49"/>
  <c r="V83" i="49"/>
  <c r="U83" i="49"/>
  <c r="T83" i="49"/>
  <c r="S83" i="49"/>
  <c r="R83" i="49"/>
  <c r="Q83" i="49"/>
  <c r="P83" i="49"/>
  <c r="O83" i="49"/>
  <c r="N83" i="49"/>
  <c r="A83" i="49"/>
  <c r="V82" i="49"/>
  <c r="U82" i="49"/>
  <c r="T82" i="49"/>
  <c r="S82" i="49"/>
  <c r="R82" i="49"/>
  <c r="Q82" i="49"/>
  <c r="P82" i="49"/>
  <c r="O82" i="49"/>
  <c r="N82" i="49"/>
  <c r="L82" i="49"/>
  <c r="K82" i="49"/>
  <c r="J82" i="49"/>
  <c r="I82" i="49"/>
  <c r="H82" i="49"/>
  <c r="G82" i="49"/>
  <c r="F82" i="49"/>
  <c r="A82" i="49"/>
  <c r="V81" i="49"/>
  <c r="U81" i="49"/>
  <c r="T81" i="49"/>
  <c r="S81" i="49"/>
  <c r="R81" i="49"/>
  <c r="Q81" i="49"/>
  <c r="P81" i="49"/>
  <c r="O81" i="49"/>
  <c r="N81" i="49"/>
  <c r="A81" i="49"/>
  <c r="V80" i="49"/>
  <c r="U80" i="49"/>
  <c r="T80" i="49"/>
  <c r="S80" i="49"/>
  <c r="R80" i="49"/>
  <c r="Q80" i="49"/>
  <c r="P80" i="49"/>
  <c r="O80" i="49"/>
  <c r="N80" i="49"/>
  <c r="A80" i="49"/>
  <c r="V79" i="49"/>
  <c r="U79" i="49"/>
  <c r="T79" i="49"/>
  <c r="S79" i="49"/>
  <c r="R79" i="49"/>
  <c r="Q79" i="49"/>
  <c r="P79" i="49"/>
  <c r="O79" i="49"/>
  <c r="N79" i="49"/>
  <c r="A79" i="49"/>
  <c r="V78" i="49"/>
  <c r="U78" i="49"/>
  <c r="T78" i="49"/>
  <c r="S78" i="49"/>
  <c r="R78" i="49"/>
  <c r="Q78" i="49"/>
  <c r="P78" i="49"/>
  <c r="O78" i="49"/>
  <c r="N78" i="49"/>
  <c r="A78" i="49"/>
  <c r="V77" i="49"/>
  <c r="U77" i="49"/>
  <c r="T77" i="49"/>
  <c r="S77" i="49"/>
  <c r="R77" i="49"/>
  <c r="Q77" i="49"/>
  <c r="P77" i="49"/>
  <c r="O77" i="49"/>
  <c r="N77" i="49"/>
  <c r="A77" i="49"/>
  <c r="V76" i="49"/>
  <c r="U76" i="49"/>
  <c r="T76" i="49"/>
  <c r="S76" i="49"/>
  <c r="R76" i="49"/>
  <c r="Q76" i="49"/>
  <c r="P76" i="49"/>
  <c r="O76" i="49"/>
  <c r="N76" i="49"/>
  <c r="A76" i="49"/>
  <c r="V75" i="49"/>
  <c r="U75" i="49"/>
  <c r="T75" i="49"/>
  <c r="S75" i="49"/>
  <c r="R75" i="49"/>
  <c r="Q75" i="49"/>
  <c r="P75" i="49"/>
  <c r="O75" i="49"/>
  <c r="N75" i="49"/>
  <c r="A75" i="49"/>
  <c r="V74" i="49"/>
  <c r="U74" i="49"/>
  <c r="T74" i="49"/>
  <c r="S74" i="49"/>
  <c r="R74" i="49"/>
  <c r="Q74" i="49"/>
  <c r="P74" i="49"/>
  <c r="O74" i="49"/>
  <c r="N74" i="49"/>
  <c r="A74" i="49"/>
  <c r="V73" i="49"/>
  <c r="U73" i="49"/>
  <c r="T73" i="49"/>
  <c r="S73" i="49"/>
  <c r="R73" i="49"/>
  <c r="Q73" i="49"/>
  <c r="P73" i="49"/>
  <c r="O73" i="49"/>
  <c r="N73" i="49"/>
  <c r="A73" i="49"/>
  <c r="V72" i="49"/>
  <c r="U72" i="49"/>
  <c r="T72" i="49"/>
  <c r="S72" i="49"/>
  <c r="R72" i="49"/>
  <c r="Q72" i="49"/>
  <c r="P72" i="49"/>
  <c r="O72" i="49"/>
  <c r="N72" i="49"/>
  <c r="A72" i="49"/>
  <c r="V71" i="49"/>
  <c r="U71" i="49"/>
  <c r="T71" i="49"/>
  <c r="S71" i="49"/>
  <c r="R71" i="49"/>
  <c r="Q71" i="49"/>
  <c r="P71" i="49"/>
  <c r="O71" i="49"/>
  <c r="N71" i="49"/>
  <c r="L71" i="49"/>
  <c r="K71" i="49"/>
  <c r="J71" i="49"/>
  <c r="I71" i="49"/>
  <c r="H71" i="49"/>
  <c r="G71" i="49"/>
  <c r="F71" i="49"/>
  <c r="E71" i="49"/>
  <c r="D71" i="49"/>
  <c r="C71" i="49"/>
  <c r="A71" i="49"/>
  <c r="V70" i="49"/>
  <c r="U70" i="49"/>
  <c r="T70" i="49"/>
  <c r="S70" i="49"/>
  <c r="R70" i="49"/>
  <c r="Q70" i="49"/>
  <c r="P70" i="49"/>
  <c r="O70" i="49"/>
  <c r="N70" i="49"/>
  <c r="A70" i="49"/>
  <c r="V69" i="49"/>
  <c r="U69" i="49"/>
  <c r="T69" i="49"/>
  <c r="S69" i="49"/>
  <c r="R69" i="49"/>
  <c r="Q69" i="49"/>
  <c r="P69" i="49"/>
  <c r="O69" i="49"/>
  <c r="N69" i="49"/>
  <c r="L69" i="49"/>
  <c r="K69" i="49"/>
  <c r="J69" i="49"/>
  <c r="I69" i="49"/>
  <c r="H69" i="49"/>
  <c r="G69" i="49"/>
  <c r="F69" i="49"/>
  <c r="E69" i="49"/>
  <c r="D69" i="49"/>
  <c r="C69" i="49"/>
  <c r="A69" i="49"/>
  <c r="V68" i="49"/>
  <c r="U68" i="49"/>
  <c r="T68" i="49"/>
  <c r="S68" i="49"/>
  <c r="R68" i="49"/>
  <c r="Q68" i="49"/>
  <c r="P68" i="49"/>
  <c r="O68" i="49"/>
  <c r="N68" i="49"/>
  <c r="C68" i="49"/>
  <c r="A68" i="49"/>
  <c r="V67" i="49"/>
  <c r="U67" i="49"/>
  <c r="T67" i="49"/>
  <c r="S67" i="49"/>
  <c r="R67" i="49"/>
  <c r="Q67" i="49"/>
  <c r="P67" i="49"/>
  <c r="O67" i="49"/>
  <c r="N67" i="49"/>
  <c r="A67" i="49"/>
  <c r="V66" i="49"/>
  <c r="U66" i="49"/>
  <c r="T66" i="49"/>
  <c r="S66" i="49"/>
  <c r="R66" i="49"/>
  <c r="Q66" i="49"/>
  <c r="P66" i="49"/>
  <c r="O66" i="49"/>
  <c r="N66" i="49"/>
  <c r="A66" i="49"/>
  <c r="V65" i="49"/>
  <c r="U65" i="49"/>
  <c r="T65" i="49"/>
  <c r="S65" i="49"/>
  <c r="R65" i="49"/>
  <c r="Q65" i="49"/>
  <c r="P65" i="49"/>
  <c r="O65" i="49"/>
  <c r="N65" i="49"/>
  <c r="C65" i="49"/>
  <c r="A65" i="49"/>
  <c r="V64" i="49"/>
  <c r="U64" i="49"/>
  <c r="T64" i="49"/>
  <c r="S64" i="49"/>
  <c r="R64" i="49"/>
  <c r="Q64" i="49"/>
  <c r="P64" i="49"/>
  <c r="O64" i="49"/>
  <c r="N64" i="49"/>
  <c r="C64" i="49"/>
  <c r="A64" i="49"/>
  <c r="V63" i="49"/>
  <c r="U63" i="49"/>
  <c r="T63" i="49"/>
  <c r="S63" i="49"/>
  <c r="R63" i="49"/>
  <c r="Q63" i="49"/>
  <c r="P63" i="49"/>
  <c r="O63" i="49"/>
  <c r="N63" i="49"/>
  <c r="A63" i="49"/>
  <c r="V62" i="49"/>
  <c r="U62" i="49"/>
  <c r="T62" i="49"/>
  <c r="S62" i="49"/>
  <c r="R62" i="49"/>
  <c r="Q62" i="49"/>
  <c r="P62" i="49"/>
  <c r="O62" i="49"/>
  <c r="N62" i="49"/>
  <c r="A62" i="49"/>
  <c r="V61" i="49"/>
  <c r="U61" i="49"/>
  <c r="T61" i="49"/>
  <c r="S61" i="49"/>
  <c r="R61" i="49"/>
  <c r="Q61" i="49"/>
  <c r="P61" i="49"/>
  <c r="O61" i="49"/>
  <c r="N61" i="49"/>
  <c r="A61" i="49"/>
  <c r="V60" i="49"/>
  <c r="U60" i="49"/>
  <c r="T60" i="49"/>
  <c r="S60" i="49"/>
  <c r="R60" i="49"/>
  <c r="Q60" i="49"/>
  <c r="P60" i="49"/>
  <c r="O60" i="49"/>
  <c r="N60" i="49"/>
  <c r="A60" i="49"/>
  <c r="V59" i="49"/>
  <c r="U59" i="49"/>
  <c r="T59" i="49"/>
  <c r="S59" i="49"/>
  <c r="R59" i="49"/>
  <c r="Q59" i="49"/>
  <c r="P59" i="49"/>
  <c r="O59" i="49"/>
  <c r="N59" i="49"/>
  <c r="A59" i="49"/>
  <c r="V58" i="49"/>
  <c r="U58" i="49"/>
  <c r="T58" i="49"/>
  <c r="S58" i="49"/>
  <c r="R58" i="49"/>
  <c r="Q58" i="49"/>
  <c r="P58" i="49"/>
  <c r="O58" i="49"/>
  <c r="N58" i="49"/>
  <c r="C58" i="49"/>
  <c r="A58" i="49"/>
  <c r="V57" i="49"/>
  <c r="U57" i="49"/>
  <c r="T57" i="49"/>
  <c r="S57" i="49"/>
  <c r="R57" i="49"/>
  <c r="Q57" i="49"/>
  <c r="P57" i="49"/>
  <c r="O57" i="49"/>
  <c r="N57" i="49"/>
  <c r="C57" i="49"/>
  <c r="A57" i="49"/>
  <c r="V56" i="49"/>
  <c r="U56" i="49"/>
  <c r="T56" i="49"/>
  <c r="S56" i="49"/>
  <c r="R56" i="49"/>
  <c r="Q56" i="49"/>
  <c r="P56" i="49"/>
  <c r="O56" i="49"/>
  <c r="N56" i="49"/>
  <c r="A56" i="49"/>
  <c r="V55" i="49"/>
  <c r="U55" i="49"/>
  <c r="T55" i="49"/>
  <c r="S55" i="49"/>
  <c r="R55" i="49"/>
  <c r="Q55" i="49"/>
  <c r="P55" i="49"/>
  <c r="O55" i="49"/>
  <c r="N55" i="49"/>
  <c r="A55" i="49"/>
  <c r="V54" i="49"/>
  <c r="U54" i="49"/>
  <c r="T54" i="49"/>
  <c r="S54" i="49"/>
  <c r="R54" i="49"/>
  <c r="Q54" i="49"/>
  <c r="P54" i="49"/>
  <c r="O54" i="49"/>
  <c r="N54" i="49"/>
  <c r="A54" i="49"/>
  <c r="V53" i="49"/>
  <c r="U53" i="49"/>
  <c r="T53" i="49"/>
  <c r="S53" i="49"/>
  <c r="R53" i="49"/>
  <c r="Q53" i="49"/>
  <c r="P53" i="49"/>
  <c r="O53" i="49"/>
  <c r="N53" i="49"/>
  <c r="L53" i="49"/>
  <c r="K53" i="49"/>
  <c r="J53" i="49"/>
  <c r="I53" i="49"/>
  <c r="H53" i="49"/>
  <c r="G53" i="49"/>
  <c r="F53" i="49"/>
  <c r="E53" i="49"/>
  <c r="D53" i="49"/>
  <c r="C53" i="49"/>
  <c r="A53" i="49"/>
  <c r="V52" i="49"/>
  <c r="U52" i="49"/>
  <c r="T52" i="49"/>
  <c r="S52" i="49"/>
  <c r="R52" i="49"/>
  <c r="Q52" i="49"/>
  <c r="P52" i="49"/>
  <c r="O52" i="49"/>
  <c r="N52" i="49"/>
  <c r="L52" i="49"/>
  <c r="K52" i="49"/>
  <c r="J52" i="49"/>
  <c r="I52" i="49"/>
  <c r="H52" i="49"/>
  <c r="G52" i="49"/>
  <c r="F52" i="49"/>
  <c r="E52" i="49"/>
  <c r="D52" i="49"/>
  <c r="C52" i="49"/>
  <c r="A52" i="49"/>
  <c r="V51" i="49"/>
  <c r="U51" i="49"/>
  <c r="T51" i="49"/>
  <c r="S51" i="49"/>
  <c r="R51" i="49"/>
  <c r="Q51" i="49"/>
  <c r="P51" i="49"/>
  <c r="O51" i="49"/>
  <c r="N51" i="49"/>
  <c r="A51" i="49"/>
  <c r="V50" i="49"/>
  <c r="U50" i="49"/>
  <c r="T50" i="49"/>
  <c r="S50" i="49"/>
  <c r="R50" i="49"/>
  <c r="Q50" i="49"/>
  <c r="P50" i="49"/>
  <c r="O50" i="49"/>
  <c r="N50" i="49"/>
  <c r="A50" i="49"/>
  <c r="V49" i="49"/>
  <c r="U49" i="49"/>
  <c r="T49" i="49"/>
  <c r="S49" i="49"/>
  <c r="R49" i="49"/>
  <c r="Q49" i="49"/>
  <c r="P49" i="49"/>
  <c r="O49" i="49"/>
  <c r="N49" i="49"/>
  <c r="A49" i="49"/>
  <c r="V48" i="49"/>
  <c r="U48" i="49"/>
  <c r="T48" i="49"/>
  <c r="S48" i="49"/>
  <c r="R48" i="49"/>
  <c r="Q48" i="49"/>
  <c r="P48" i="49"/>
  <c r="O48" i="49"/>
  <c r="N48" i="49"/>
  <c r="A48" i="49"/>
  <c r="V47" i="49"/>
  <c r="U47" i="49"/>
  <c r="T47" i="49"/>
  <c r="S47" i="49"/>
  <c r="R47" i="49"/>
  <c r="Q47" i="49"/>
  <c r="P47" i="49"/>
  <c r="O47" i="49"/>
  <c r="N47" i="49"/>
  <c r="A47" i="49"/>
  <c r="V46" i="49"/>
  <c r="U46" i="49"/>
  <c r="T46" i="49"/>
  <c r="S46" i="49"/>
  <c r="R46" i="49"/>
  <c r="Q46" i="49"/>
  <c r="P46" i="49"/>
  <c r="O46" i="49"/>
  <c r="N46" i="49"/>
  <c r="A46" i="49"/>
  <c r="V45" i="49"/>
  <c r="U45" i="49"/>
  <c r="T45" i="49"/>
  <c r="S45" i="49"/>
  <c r="R45" i="49"/>
  <c r="Q45" i="49"/>
  <c r="P45" i="49"/>
  <c r="O45" i="49"/>
  <c r="N45" i="49"/>
  <c r="A45" i="49"/>
  <c r="V44" i="49"/>
  <c r="U44" i="49"/>
  <c r="T44" i="49"/>
  <c r="S44" i="49"/>
  <c r="R44" i="49"/>
  <c r="Q44" i="49"/>
  <c r="P44" i="49"/>
  <c r="O44" i="49"/>
  <c r="N44" i="49"/>
  <c r="A44" i="49"/>
  <c r="V43" i="49"/>
  <c r="U43" i="49"/>
  <c r="T43" i="49"/>
  <c r="S43" i="49"/>
  <c r="R43" i="49"/>
  <c r="Q43" i="49"/>
  <c r="P43" i="49"/>
  <c r="O43" i="49"/>
  <c r="N43" i="49"/>
  <c r="L43" i="49"/>
  <c r="K43" i="49"/>
  <c r="J43" i="49"/>
  <c r="I43" i="49"/>
  <c r="H43" i="49"/>
  <c r="G43" i="49"/>
  <c r="F43" i="49"/>
  <c r="E43" i="49"/>
  <c r="D43" i="49"/>
  <c r="C43" i="49"/>
  <c r="A43" i="49"/>
  <c r="V42" i="49"/>
  <c r="U42" i="49"/>
  <c r="T42" i="49"/>
  <c r="S42" i="49"/>
  <c r="R42" i="49"/>
  <c r="Q42" i="49"/>
  <c r="P42" i="49"/>
  <c r="O42" i="49"/>
  <c r="N42" i="49"/>
  <c r="L42" i="49"/>
  <c r="K42" i="49"/>
  <c r="J42" i="49"/>
  <c r="I42" i="49"/>
  <c r="H42" i="49"/>
  <c r="G42" i="49"/>
  <c r="F42" i="49"/>
  <c r="E42" i="49"/>
  <c r="D42" i="49"/>
  <c r="C42" i="49"/>
  <c r="A42" i="49"/>
  <c r="V41" i="49"/>
  <c r="U41" i="49"/>
  <c r="T41" i="49"/>
  <c r="S41" i="49"/>
  <c r="R41" i="49"/>
  <c r="Q41" i="49"/>
  <c r="P41" i="49"/>
  <c r="O41" i="49"/>
  <c r="N41" i="49"/>
  <c r="L41" i="49"/>
  <c r="K41" i="49"/>
  <c r="J41" i="49"/>
  <c r="I41" i="49"/>
  <c r="H41" i="49"/>
  <c r="G41" i="49"/>
  <c r="F41" i="49"/>
  <c r="E41" i="49"/>
  <c r="D41" i="49"/>
  <c r="C41" i="49"/>
  <c r="A41" i="49"/>
  <c r="V40" i="49"/>
  <c r="U40" i="49"/>
  <c r="T40" i="49"/>
  <c r="S40" i="49"/>
  <c r="R40" i="49"/>
  <c r="Q40" i="49"/>
  <c r="P40" i="49"/>
  <c r="O40" i="49"/>
  <c r="N40" i="49"/>
  <c r="A40" i="49"/>
  <c r="V39" i="49"/>
  <c r="U39" i="49"/>
  <c r="T39" i="49"/>
  <c r="S39" i="49"/>
  <c r="R39" i="49"/>
  <c r="Q39" i="49"/>
  <c r="P39" i="49"/>
  <c r="O39" i="49"/>
  <c r="N39" i="49"/>
  <c r="L39" i="49"/>
  <c r="K39" i="49"/>
  <c r="J39" i="49"/>
  <c r="I39" i="49"/>
  <c r="H39" i="49"/>
  <c r="G39" i="49"/>
  <c r="F39" i="49"/>
  <c r="E39" i="49"/>
  <c r="D39" i="49"/>
  <c r="C39" i="49"/>
  <c r="A39" i="49"/>
  <c r="V38" i="49"/>
  <c r="U38" i="49"/>
  <c r="T38" i="49"/>
  <c r="S38" i="49"/>
  <c r="R38" i="49"/>
  <c r="Q38" i="49"/>
  <c r="P38" i="49"/>
  <c r="O38" i="49"/>
  <c r="N38" i="49"/>
  <c r="A38" i="49"/>
  <c r="V37" i="49"/>
  <c r="U37" i="49"/>
  <c r="T37" i="49"/>
  <c r="S37" i="49"/>
  <c r="R37" i="49"/>
  <c r="Q37" i="49"/>
  <c r="P37" i="49"/>
  <c r="O37" i="49"/>
  <c r="N37" i="49"/>
  <c r="L37" i="49"/>
  <c r="K37" i="49"/>
  <c r="J37" i="49"/>
  <c r="I37" i="49"/>
  <c r="H37" i="49"/>
  <c r="G37" i="49"/>
  <c r="F37" i="49"/>
  <c r="E37" i="49"/>
  <c r="D37" i="49"/>
  <c r="C37" i="49"/>
  <c r="A37" i="49"/>
  <c r="V36" i="49"/>
  <c r="U36" i="49"/>
  <c r="T36" i="49"/>
  <c r="S36" i="49"/>
  <c r="R36" i="49"/>
  <c r="Q36" i="49"/>
  <c r="P36" i="49"/>
  <c r="O36" i="49"/>
  <c r="N36" i="49"/>
  <c r="A36" i="49"/>
  <c r="V35" i="49"/>
  <c r="U35" i="49"/>
  <c r="T35" i="49"/>
  <c r="S35" i="49"/>
  <c r="R35" i="49"/>
  <c r="Q35" i="49"/>
  <c r="P35" i="49"/>
  <c r="O35" i="49"/>
  <c r="N35" i="49"/>
  <c r="A35" i="49"/>
  <c r="V34" i="49"/>
  <c r="U34" i="49"/>
  <c r="T34" i="49"/>
  <c r="S34" i="49"/>
  <c r="R34" i="49"/>
  <c r="Q34" i="49"/>
  <c r="P34" i="49"/>
  <c r="O34" i="49"/>
  <c r="N34" i="49"/>
  <c r="L34" i="49"/>
  <c r="K34" i="49"/>
  <c r="J34" i="49"/>
  <c r="I34" i="49"/>
  <c r="H34" i="49"/>
  <c r="G34" i="49"/>
  <c r="F34" i="49"/>
  <c r="E34" i="49"/>
  <c r="D34" i="49"/>
  <c r="C34" i="49"/>
  <c r="A34" i="49"/>
  <c r="V33" i="49"/>
  <c r="U33" i="49"/>
  <c r="T33" i="49"/>
  <c r="S33" i="49"/>
  <c r="R33" i="49"/>
  <c r="Q33" i="49"/>
  <c r="P33" i="49"/>
  <c r="O33" i="49"/>
  <c r="N33" i="49"/>
  <c r="L33" i="49"/>
  <c r="K33" i="49"/>
  <c r="J33" i="49"/>
  <c r="I33" i="49"/>
  <c r="H33" i="49"/>
  <c r="G33" i="49"/>
  <c r="F33" i="49"/>
  <c r="E33" i="49"/>
  <c r="D33" i="49"/>
  <c r="T32" i="49"/>
  <c r="S32" i="49"/>
  <c r="V31" i="49"/>
  <c r="U31" i="49"/>
  <c r="T31" i="49"/>
  <c r="S31" i="49"/>
  <c r="R31" i="49"/>
  <c r="Q31" i="49"/>
  <c r="P31" i="49"/>
  <c r="O31" i="49"/>
  <c r="N31" i="49"/>
  <c r="M31" i="49"/>
  <c r="J20" i="49"/>
  <c r="I20" i="49"/>
  <c r="H20" i="49"/>
  <c r="G20" i="49"/>
  <c r="J19" i="49"/>
  <c r="I19" i="49"/>
  <c r="H19" i="49"/>
  <c r="G19" i="49"/>
  <c r="J18" i="49"/>
  <c r="I18" i="49"/>
  <c r="H18" i="49"/>
  <c r="G18" i="49"/>
  <c r="J17" i="49"/>
  <c r="I17" i="49"/>
  <c r="H17" i="49"/>
  <c r="G17" i="49"/>
  <c r="J16" i="49"/>
  <c r="I16" i="49"/>
  <c r="H16" i="49"/>
  <c r="G16" i="49"/>
  <c r="J15" i="49"/>
  <c r="I15" i="49"/>
  <c r="H15" i="49"/>
  <c r="G15" i="49"/>
  <c r="J14" i="49"/>
  <c r="I14" i="49"/>
  <c r="H14" i="49"/>
  <c r="G14" i="49"/>
  <c r="J13" i="49"/>
  <c r="I13" i="49"/>
  <c r="H13" i="49"/>
  <c r="G13" i="49"/>
  <c r="J12" i="49"/>
  <c r="I12" i="49"/>
  <c r="H12" i="49"/>
  <c r="G12" i="49"/>
  <c r="J11" i="49"/>
  <c r="H11" i="49"/>
  <c r="G11" i="49"/>
  <c r="E7" i="49"/>
  <c r="B7" i="49"/>
  <c r="I11" i="49" s="1"/>
  <c r="C33" i="49" s="1"/>
  <c r="M33" i="49" s="1"/>
  <c r="M76" i="49" s="1"/>
  <c r="K160" i="64"/>
  <c r="J160" i="64"/>
  <c r="I160" i="64"/>
  <c r="H160" i="64"/>
  <c r="G160" i="64"/>
  <c r="L159" i="64"/>
  <c r="K159" i="64"/>
  <c r="J159" i="64"/>
  <c r="H159" i="64"/>
  <c r="G159" i="64"/>
  <c r="F159" i="64"/>
  <c r="E159" i="64"/>
  <c r="D159" i="64"/>
  <c r="L158" i="64"/>
  <c r="K158" i="64"/>
  <c r="J158" i="64"/>
  <c r="H158" i="64"/>
  <c r="G158" i="64"/>
  <c r="F158" i="64"/>
  <c r="E158" i="64"/>
  <c r="L157" i="64"/>
  <c r="K157" i="64"/>
  <c r="J157" i="64"/>
  <c r="H157" i="64"/>
  <c r="G157" i="64"/>
  <c r="F157" i="64"/>
  <c r="E157" i="64"/>
  <c r="L156" i="64"/>
  <c r="K156" i="64"/>
  <c r="J156" i="64"/>
  <c r="H156" i="64"/>
  <c r="G156" i="64"/>
  <c r="F156" i="64"/>
  <c r="E156" i="64"/>
  <c r="L155" i="64"/>
  <c r="K155" i="64"/>
  <c r="J155" i="64"/>
  <c r="H155" i="64"/>
  <c r="G155" i="64"/>
  <c r="F155" i="64"/>
  <c r="E155" i="64"/>
  <c r="L154" i="64"/>
  <c r="K154" i="64"/>
  <c r="J154" i="64"/>
  <c r="H154" i="64"/>
  <c r="G154" i="64"/>
  <c r="F154" i="64"/>
  <c r="E154" i="64"/>
  <c r="L153" i="64"/>
  <c r="K153" i="64"/>
  <c r="J153" i="64"/>
  <c r="H153" i="64"/>
  <c r="G153" i="64"/>
  <c r="F153" i="64"/>
  <c r="E153" i="64"/>
  <c r="L152" i="64"/>
  <c r="K152" i="64"/>
  <c r="J152" i="64"/>
  <c r="H152" i="64"/>
  <c r="G152" i="64"/>
  <c r="F152" i="64"/>
  <c r="E152" i="64"/>
  <c r="L151" i="64"/>
  <c r="K151" i="64"/>
  <c r="J151" i="64"/>
  <c r="H151" i="64"/>
  <c r="G151" i="64"/>
  <c r="F151" i="64"/>
  <c r="E151" i="64"/>
  <c r="L150" i="64"/>
  <c r="K150" i="64"/>
  <c r="J150" i="64"/>
  <c r="H150" i="64"/>
  <c r="G150" i="64"/>
  <c r="F150" i="64"/>
  <c r="E150" i="64"/>
  <c r="L149" i="64"/>
  <c r="K149" i="64"/>
  <c r="J149" i="64"/>
  <c r="H149" i="64"/>
  <c r="G149" i="64"/>
  <c r="F149" i="64"/>
  <c r="E149" i="64"/>
  <c r="L148" i="64"/>
  <c r="K148" i="64"/>
  <c r="J148" i="64"/>
  <c r="H148" i="64"/>
  <c r="G148" i="64"/>
  <c r="F148" i="64"/>
  <c r="E148" i="64"/>
  <c r="L147" i="64"/>
  <c r="K147" i="64"/>
  <c r="J147" i="64"/>
  <c r="H147" i="64"/>
  <c r="G147" i="64"/>
  <c r="F147" i="64"/>
  <c r="E147" i="64"/>
  <c r="L146" i="64"/>
  <c r="K146" i="64"/>
  <c r="J146" i="64"/>
  <c r="H146" i="64"/>
  <c r="G146" i="64"/>
  <c r="F146" i="64"/>
  <c r="E146" i="64"/>
  <c r="L145" i="64"/>
  <c r="K145" i="64"/>
  <c r="J145" i="64"/>
  <c r="H145" i="64"/>
  <c r="G145" i="64"/>
  <c r="F145" i="64"/>
  <c r="E145" i="64"/>
  <c r="J142" i="64"/>
  <c r="I142" i="64"/>
  <c r="H142" i="64"/>
  <c r="G142" i="64"/>
  <c r="F142" i="64"/>
  <c r="K141" i="64"/>
  <c r="J141" i="64"/>
  <c r="I141" i="64"/>
  <c r="G141" i="64"/>
  <c r="F141" i="64"/>
  <c r="E141" i="64"/>
  <c r="D141" i="64"/>
  <c r="K140" i="64"/>
  <c r="J140" i="64"/>
  <c r="I140" i="64"/>
  <c r="G140" i="64"/>
  <c r="F140" i="64"/>
  <c r="E140" i="64"/>
  <c r="D140" i="64"/>
  <c r="K139" i="64"/>
  <c r="J139" i="64"/>
  <c r="I139" i="64"/>
  <c r="G139" i="64"/>
  <c r="F139" i="64"/>
  <c r="E139" i="64"/>
  <c r="D139" i="64"/>
  <c r="K138" i="64"/>
  <c r="J138" i="64"/>
  <c r="I138" i="64"/>
  <c r="G138" i="64"/>
  <c r="F138" i="64"/>
  <c r="E138" i="64"/>
  <c r="D138" i="64"/>
  <c r="K137" i="64"/>
  <c r="J137" i="64"/>
  <c r="I137" i="64"/>
  <c r="G137" i="64"/>
  <c r="F137" i="64"/>
  <c r="E137" i="64"/>
  <c r="D137" i="64"/>
  <c r="K136" i="64"/>
  <c r="J136" i="64"/>
  <c r="I136" i="64"/>
  <c r="G136" i="64"/>
  <c r="F136" i="64"/>
  <c r="E136" i="64"/>
  <c r="D136" i="64"/>
  <c r="K135" i="64"/>
  <c r="J135" i="64"/>
  <c r="I135" i="64"/>
  <c r="G135" i="64"/>
  <c r="F135" i="64"/>
  <c r="E135" i="64"/>
  <c r="D135" i="64"/>
  <c r="K134" i="64"/>
  <c r="J134" i="64"/>
  <c r="I134" i="64"/>
  <c r="G134" i="64"/>
  <c r="F134" i="64"/>
  <c r="E134" i="64"/>
  <c r="D134" i="64"/>
  <c r="K133" i="64"/>
  <c r="J133" i="64"/>
  <c r="I133" i="64"/>
  <c r="G133" i="64"/>
  <c r="F133" i="64"/>
  <c r="E133" i="64"/>
  <c r="D133" i="64"/>
  <c r="K132" i="64"/>
  <c r="J132" i="64"/>
  <c r="I132" i="64"/>
  <c r="G132" i="64"/>
  <c r="F132" i="64"/>
  <c r="E132" i="64"/>
  <c r="D132" i="64"/>
  <c r="K131" i="64"/>
  <c r="J131" i="64"/>
  <c r="I131" i="64"/>
  <c r="G131" i="64"/>
  <c r="F131" i="64"/>
  <c r="E131" i="64"/>
  <c r="D131" i="64"/>
  <c r="K130" i="64"/>
  <c r="J130" i="64"/>
  <c r="I130" i="64"/>
  <c r="G130" i="64"/>
  <c r="F130" i="64"/>
  <c r="E130" i="64"/>
  <c r="D130" i="64"/>
  <c r="K129" i="64"/>
  <c r="J129" i="64"/>
  <c r="I129" i="64"/>
  <c r="G129" i="64"/>
  <c r="F129" i="64"/>
  <c r="E129" i="64"/>
  <c r="D129" i="64"/>
  <c r="K128" i="64"/>
  <c r="J128" i="64"/>
  <c r="I128" i="64"/>
  <c r="G128" i="64"/>
  <c r="F128" i="64"/>
  <c r="E128" i="64"/>
  <c r="D128" i="64"/>
  <c r="K127" i="64"/>
  <c r="J127" i="64"/>
  <c r="I127" i="64"/>
  <c r="G127" i="64"/>
  <c r="F127" i="64"/>
  <c r="E127" i="64"/>
  <c r="D127" i="64"/>
  <c r="C114" i="64"/>
  <c r="C113" i="64"/>
  <c r="V103" i="64"/>
  <c r="U103" i="64"/>
  <c r="T103" i="64"/>
  <c r="S103" i="64"/>
  <c r="R103" i="64"/>
  <c r="Q103" i="64"/>
  <c r="P103" i="64"/>
  <c r="O103" i="64"/>
  <c r="F103" i="64"/>
  <c r="C103" i="64"/>
  <c r="A103" i="64"/>
  <c r="V102" i="64"/>
  <c r="U102" i="64"/>
  <c r="T102" i="64"/>
  <c r="S102" i="64"/>
  <c r="R102" i="64"/>
  <c r="Q102" i="64"/>
  <c r="P102" i="64"/>
  <c r="O102" i="64"/>
  <c r="F102" i="64"/>
  <c r="C102" i="64"/>
  <c r="A102" i="64"/>
  <c r="V101" i="64"/>
  <c r="U101" i="64"/>
  <c r="T101" i="64"/>
  <c r="S101" i="64"/>
  <c r="R101" i="64"/>
  <c r="Q101" i="64"/>
  <c r="P101" i="64"/>
  <c r="O101" i="64"/>
  <c r="A101" i="64"/>
  <c r="V100" i="64"/>
  <c r="U100" i="64"/>
  <c r="T100" i="64"/>
  <c r="S100" i="64"/>
  <c r="R100" i="64"/>
  <c r="Q100" i="64"/>
  <c r="P100" i="64"/>
  <c r="O100" i="64"/>
  <c r="A100" i="64"/>
  <c r="V99" i="64"/>
  <c r="U99" i="64"/>
  <c r="T99" i="64"/>
  <c r="S99" i="64"/>
  <c r="R99" i="64"/>
  <c r="Q99" i="64"/>
  <c r="P99" i="64"/>
  <c r="O99" i="64"/>
  <c r="A99" i="64"/>
  <c r="V98" i="64"/>
  <c r="U98" i="64"/>
  <c r="T98" i="64"/>
  <c r="S98" i="64"/>
  <c r="R98" i="64"/>
  <c r="Q98" i="64"/>
  <c r="P98" i="64"/>
  <c r="O98" i="64"/>
  <c r="A98" i="64"/>
  <c r="V97" i="64"/>
  <c r="U97" i="64"/>
  <c r="T97" i="64"/>
  <c r="S97" i="64"/>
  <c r="R97" i="64"/>
  <c r="Q97" i="64"/>
  <c r="P97" i="64"/>
  <c r="O97" i="64"/>
  <c r="A97" i="64"/>
  <c r="V96" i="64"/>
  <c r="U96" i="64"/>
  <c r="T96" i="64"/>
  <c r="S96" i="64"/>
  <c r="R96" i="64"/>
  <c r="Q96" i="64"/>
  <c r="P96" i="64"/>
  <c r="O96" i="64"/>
  <c r="A96" i="64"/>
  <c r="V95" i="64"/>
  <c r="U95" i="64"/>
  <c r="T95" i="64"/>
  <c r="S95" i="64"/>
  <c r="R95" i="64"/>
  <c r="Q95" i="64"/>
  <c r="P95" i="64"/>
  <c r="O95" i="64"/>
  <c r="A95" i="64"/>
  <c r="V94" i="64"/>
  <c r="U94" i="64"/>
  <c r="T94" i="64"/>
  <c r="S94" i="64"/>
  <c r="R94" i="64"/>
  <c r="Q94" i="64"/>
  <c r="P94" i="64"/>
  <c r="O94" i="64"/>
  <c r="A94" i="64"/>
  <c r="V93" i="64"/>
  <c r="U93" i="64"/>
  <c r="T93" i="64"/>
  <c r="S93" i="64"/>
  <c r="R93" i="64"/>
  <c r="Q93" i="64"/>
  <c r="P93" i="64"/>
  <c r="O93" i="64"/>
  <c r="A93" i="64"/>
  <c r="V92" i="64"/>
  <c r="U92" i="64"/>
  <c r="T92" i="64"/>
  <c r="S92" i="64"/>
  <c r="R92" i="64"/>
  <c r="Q92" i="64"/>
  <c r="P92" i="64"/>
  <c r="O92" i="64"/>
  <c r="A92" i="64"/>
  <c r="V91" i="64"/>
  <c r="U91" i="64"/>
  <c r="T91" i="64"/>
  <c r="S91" i="64"/>
  <c r="R91" i="64"/>
  <c r="Q91" i="64"/>
  <c r="P91" i="64"/>
  <c r="O91" i="64"/>
  <c r="A91" i="64"/>
  <c r="V90" i="64"/>
  <c r="U90" i="64"/>
  <c r="T90" i="64"/>
  <c r="S90" i="64"/>
  <c r="R90" i="64"/>
  <c r="Q90" i="64"/>
  <c r="P90" i="64"/>
  <c r="O90" i="64"/>
  <c r="A90" i="64"/>
  <c r="V89" i="64"/>
  <c r="U89" i="64"/>
  <c r="T89" i="64"/>
  <c r="S89" i="64"/>
  <c r="R89" i="64"/>
  <c r="Q89" i="64"/>
  <c r="P89" i="64"/>
  <c r="O89" i="64"/>
  <c r="A89" i="64"/>
  <c r="V88" i="64"/>
  <c r="U88" i="64"/>
  <c r="T88" i="64"/>
  <c r="S88" i="64"/>
  <c r="R88" i="64"/>
  <c r="Q88" i="64"/>
  <c r="P88" i="64"/>
  <c r="O88" i="64"/>
  <c r="A88" i="64"/>
  <c r="V87" i="64"/>
  <c r="U87" i="64"/>
  <c r="T87" i="64"/>
  <c r="S87" i="64"/>
  <c r="R87" i="64"/>
  <c r="Q87" i="64"/>
  <c r="P87" i="64"/>
  <c r="O87" i="64"/>
  <c r="A87" i="64"/>
  <c r="V86" i="64"/>
  <c r="U86" i="64"/>
  <c r="T86" i="64"/>
  <c r="S86" i="64"/>
  <c r="R86" i="64"/>
  <c r="Q86" i="64"/>
  <c r="P86" i="64"/>
  <c r="O86" i="64"/>
  <c r="A86" i="64"/>
  <c r="V85" i="64"/>
  <c r="U85" i="64"/>
  <c r="T85" i="64"/>
  <c r="S85" i="64"/>
  <c r="R85" i="64"/>
  <c r="Q85" i="64"/>
  <c r="P85" i="64"/>
  <c r="O85" i="64"/>
  <c r="A85" i="64"/>
  <c r="V84" i="64"/>
  <c r="U84" i="64"/>
  <c r="T84" i="64"/>
  <c r="S84" i="64"/>
  <c r="R84" i="64"/>
  <c r="Q84" i="64"/>
  <c r="P84" i="64"/>
  <c r="O84" i="64"/>
  <c r="A84" i="64"/>
  <c r="V83" i="64"/>
  <c r="U83" i="64"/>
  <c r="T83" i="64"/>
  <c r="S83" i="64"/>
  <c r="R83" i="64"/>
  <c r="Q83" i="64"/>
  <c r="P83" i="64"/>
  <c r="O83" i="64"/>
  <c r="A83" i="64"/>
  <c r="V82" i="64"/>
  <c r="U82" i="64"/>
  <c r="T82" i="64"/>
  <c r="S82" i="64"/>
  <c r="R82" i="64"/>
  <c r="Q82" i="64"/>
  <c r="P82" i="64"/>
  <c r="O82" i="64"/>
  <c r="L82" i="64"/>
  <c r="K82" i="64"/>
  <c r="J82" i="64"/>
  <c r="I82" i="64"/>
  <c r="H82" i="64"/>
  <c r="G82" i="64"/>
  <c r="F82" i="64"/>
  <c r="A82" i="64"/>
  <c r="V81" i="64"/>
  <c r="U81" i="64"/>
  <c r="T81" i="64"/>
  <c r="S81" i="64"/>
  <c r="R81" i="64"/>
  <c r="Q81" i="64"/>
  <c r="P81" i="64"/>
  <c r="O81" i="64"/>
  <c r="A81" i="64"/>
  <c r="V80" i="64"/>
  <c r="U80" i="64"/>
  <c r="T80" i="64"/>
  <c r="S80" i="64"/>
  <c r="R80" i="64"/>
  <c r="Q80" i="64"/>
  <c r="P80" i="64"/>
  <c r="O80" i="64"/>
  <c r="A80" i="64"/>
  <c r="V79" i="64"/>
  <c r="U79" i="64"/>
  <c r="T79" i="64"/>
  <c r="S79" i="64"/>
  <c r="R79" i="64"/>
  <c r="Q79" i="64"/>
  <c r="P79" i="64"/>
  <c r="O79" i="64"/>
  <c r="A79" i="64"/>
  <c r="V78" i="64"/>
  <c r="U78" i="64"/>
  <c r="T78" i="64"/>
  <c r="S78" i="64"/>
  <c r="R78" i="64"/>
  <c r="Q78" i="64"/>
  <c r="P78" i="64"/>
  <c r="O78" i="64"/>
  <c r="A78" i="64"/>
  <c r="V77" i="64"/>
  <c r="U77" i="64"/>
  <c r="T77" i="64"/>
  <c r="S77" i="64"/>
  <c r="R77" i="64"/>
  <c r="Q77" i="64"/>
  <c r="P77" i="64"/>
  <c r="O77" i="64"/>
  <c r="A77" i="64"/>
  <c r="V76" i="64"/>
  <c r="U76" i="64"/>
  <c r="T76" i="64"/>
  <c r="S76" i="64"/>
  <c r="R76" i="64"/>
  <c r="Q76" i="64"/>
  <c r="P76" i="64"/>
  <c r="O76" i="64"/>
  <c r="A76" i="64"/>
  <c r="V75" i="64"/>
  <c r="U75" i="64"/>
  <c r="T75" i="64"/>
  <c r="S75" i="64"/>
  <c r="R75" i="64"/>
  <c r="Q75" i="64"/>
  <c r="P75" i="64"/>
  <c r="O75" i="64"/>
  <c r="A75" i="64"/>
  <c r="V74" i="64"/>
  <c r="U74" i="64"/>
  <c r="T74" i="64"/>
  <c r="S74" i="64"/>
  <c r="R74" i="64"/>
  <c r="Q74" i="64"/>
  <c r="P74" i="64"/>
  <c r="O74" i="64"/>
  <c r="A74" i="64"/>
  <c r="V73" i="64"/>
  <c r="U73" i="64"/>
  <c r="T73" i="64"/>
  <c r="S73" i="64"/>
  <c r="R73" i="64"/>
  <c r="Q73" i="64"/>
  <c r="P73" i="64"/>
  <c r="O73" i="64"/>
  <c r="A73" i="64"/>
  <c r="V72" i="64"/>
  <c r="U72" i="64"/>
  <c r="T72" i="64"/>
  <c r="S72" i="64"/>
  <c r="R72" i="64"/>
  <c r="Q72" i="64"/>
  <c r="P72" i="64"/>
  <c r="O72" i="64"/>
  <c r="A72" i="64"/>
  <c r="V71" i="64"/>
  <c r="U71" i="64"/>
  <c r="T71" i="64"/>
  <c r="S71" i="64"/>
  <c r="R71" i="64"/>
  <c r="Q71" i="64"/>
  <c r="P71" i="64"/>
  <c r="O71" i="64"/>
  <c r="L71" i="64"/>
  <c r="K71" i="64"/>
  <c r="J71" i="64"/>
  <c r="I71" i="64"/>
  <c r="H71" i="64"/>
  <c r="G71" i="64"/>
  <c r="F71" i="64"/>
  <c r="E71" i="64"/>
  <c r="D71" i="64"/>
  <c r="C71" i="64"/>
  <c r="A71" i="64"/>
  <c r="V70" i="64"/>
  <c r="U70" i="64"/>
  <c r="T70" i="64"/>
  <c r="S70" i="64"/>
  <c r="R70" i="64"/>
  <c r="Q70" i="64"/>
  <c r="P70" i="64"/>
  <c r="O70" i="64"/>
  <c r="A70" i="64"/>
  <c r="L69" i="64"/>
  <c r="K69" i="64"/>
  <c r="J69" i="64"/>
  <c r="I69" i="64"/>
  <c r="F69" i="64"/>
  <c r="E69" i="64"/>
  <c r="A69" i="64"/>
  <c r="V68" i="64"/>
  <c r="U68" i="64"/>
  <c r="T68" i="64"/>
  <c r="S68" i="64"/>
  <c r="R68" i="64"/>
  <c r="Q68" i="64"/>
  <c r="P68" i="64"/>
  <c r="O68" i="64"/>
  <c r="A68" i="64"/>
  <c r="V67" i="64"/>
  <c r="U67" i="64"/>
  <c r="T67" i="64"/>
  <c r="S67" i="64"/>
  <c r="R67" i="64"/>
  <c r="Q67" i="64"/>
  <c r="P67" i="64"/>
  <c r="O67" i="64"/>
  <c r="A67" i="64"/>
  <c r="V66" i="64"/>
  <c r="U66" i="64"/>
  <c r="T66" i="64"/>
  <c r="S66" i="64"/>
  <c r="R66" i="64"/>
  <c r="Q66" i="64"/>
  <c r="P66" i="64"/>
  <c r="O66" i="64"/>
  <c r="A66" i="64"/>
  <c r="A65" i="64"/>
  <c r="V64" i="64"/>
  <c r="U64" i="64"/>
  <c r="T64" i="64"/>
  <c r="S64" i="64"/>
  <c r="R64" i="64"/>
  <c r="Q64" i="64"/>
  <c r="P64" i="64"/>
  <c r="O64" i="64"/>
  <c r="A64" i="64"/>
  <c r="V63" i="64"/>
  <c r="U63" i="64"/>
  <c r="T63" i="64"/>
  <c r="S63" i="64"/>
  <c r="R63" i="64"/>
  <c r="Q63" i="64"/>
  <c r="P63" i="64"/>
  <c r="O63" i="64"/>
  <c r="A63" i="64"/>
  <c r="V62" i="64"/>
  <c r="U62" i="64"/>
  <c r="T62" i="64"/>
  <c r="S62" i="64"/>
  <c r="R62" i="64"/>
  <c r="Q62" i="64"/>
  <c r="P62" i="64"/>
  <c r="O62" i="64"/>
  <c r="A62" i="64"/>
  <c r="V61" i="64"/>
  <c r="U61" i="64"/>
  <c r="T61" i="64"/>
  <c r="S61" i="64"/>
  <c r="R61" i="64"/>
  <c r="Q61" i="64"/>
  <c r="P61" i="64"/>
  <c r="O61" i="64"/>
  <c r="A61" i="64"/>
  <c r="V60" i="64"/>
  <c r="U60" i="64"/>
  <c r="T60" i="64"/>
  <c r="S60" i="64"/>
  <c r="R60" i="64"/>
  <c r="Q60" i="64"/>
  <c r="P60" i="64"/>
  <c r="O60" i="64"/>
  <c r="A60" i="64"/>
  <c r="V59" i="64"/>
  <c r="U59" i="64"/>
  <c r="T59" i="64"/>
  <c r="S59" i="64"/>
  <c r="R59" i="64"/>
  <c r="Q59" i="64"/>
  <c r="P59" i="64"/>
  <c r="O59" i="64"/>
  <c r="A59" i="64"/>
  <c r="V58" i="64"/>
  <c r="U58" i="64"/>
  <c r="T58" i="64"/>
  <c r="S58" i="64"/>
  <c r="R58" i="64"/>
  <c r="Q58" i="64"/>
  <c r="P58" i="64"/>
  <c r="O58" i="64"/>
  <c r="D58" i="64"/>
  <c r="C58" i="64"/>
  <c r="A58" i="64"/>
  <c r="V57" i="64"/>
  <c r="U57" i="64"/>
  <c r="T57" i="64"/>
  <c r="S57" i="64"/>
  <c r="R57" i="64"/>
  <c r="Q57" i="64"/>
  <c r="P57" i="64"/>
  <c r="O57" i="64"/>
  <c r="C57" i="64"/>
  <c r="D57" i="64" s="1"/>
  <c r="A57" i="64"/>
  <c r="V56" i="64"/>
  <c r="U56" i="64"/>
  <c r="T56" i="64"/>
  <c r="S56" i="64"/>
  <c r="R56" i="64"/>
  <c r="Q56" i="64"/>
  <c r="P56" i="64"/>
  <c r="O56" i="64"/>
  <c r="A56" i="64"/>
  <c r="V55" i="64"/>
  <c r="U55" i="64"/>
  <c r="T55" i="64"/>
  <c r="S55" i="64"/>
  <c r="R55" i="64"/>
  <c r="Q55" i="64"/>
  <c r="P55" i="64"/>
  <c r="O55" i="64"/>
  <c r="A55" i="64"/>
  <c r="V54" i="64"/>
  <c r="U54" i="64"/>
  <c r="T54" i="64"/>
  <c r="S54" i="64"/>
  <c r="R54" i="64"/>
  <c r="Q54" i="64"/>
  <c r="P54" i="64"/>
  <c r="O54" i="64"/>
  <c r="A54" i="64"/>
  <c r="V53" i="64"/>
  <c r="U53" i="64"/>
  <c r="T53" i="64"/>
  <c r="S53" i="64"/>
  <c r="R53" i="64"/>
  <c r="Q53" i="64"/>
  <c r="P53" i="64"/>
  <c r="O53" i="64"/>
  <c r="L53" i="64"/>
  <c r="K53" i="64"/>
  <c r="J53" i="64"/>
  <c r="I53" i="64"/>
  <c r="H53" i="64"/>
  <c r="G53" i="64"/>
  <c r="F53" i="64"/>
  <c r="E53" i="64"/>
  <c r="D53" i="64"/>
  <c r="C53" i="64"/>
  <c r="A53" i="64"/>
  <c r="V52" i="64"/>
  <c r="U52" i="64"/>
  <c r="T52" i="64"/>
  <c r="S52" i="64"/>
  <c r="R52" i="64"/>
  <c r="Q52" i="64"/>
  <c r="P52" i="64"/>
  <c r="O52" i="64"/>
  <c r="L52" i="64"/>
  <c r="K52" i="64"/>
  <c r="J52" i="64"/>
  <c r="I52" i="64"/>
  <c r="H52" i="64"/>
  <c r="G52" i="64"/>
  <c r="F52" i="64"/>
  <c r="E52" i="64"/>
  <c r="D52" i="64"/>
  <c r="C52" i="64"/>
  <c r="A52" i="64"/>
  <c r="V51" i="64"/>
  <c r="U51" i="64"/>
  <c r="T51" i="64"/>
  <c r="S51" i="64"/>
  <c r="R51" i="64"/>
  <c r="Q51" i="64"/>
  <c r="P51" i="64"/>
  <c r="O51" i="64"/>
  <c r="A51" i="64"/>
  <c r="V50" i="64"/>
  <c r="U50" i="64"/>
  <c r="T50" i="64"/>
  <c r="S50" i="64"/>
  <c r="R50" i="64"/>
  <c r="Q50" i="64"/>
  <c r="P50" i="64"/>
  <c r="O50" i="64"/>
  <c r="A50" i="64"/>
  <c r="V49" i="64"/>
  <c r="U49" i="64"/>
  <c r="T49" i="64"/>
  <c r="S49" i="64"/>
  <c r="R49" i="64"/>
  <c r="Q49" i="64"/>
  <c r="P49" i="64"/>
  <c r="O49" i="64"/>
  <c r="F49" i="64"/>
  <c r="E49" i="64"/>
  <c r="A49" i="64"/>
  <c r="V48" i="64"/>
  <c r="U48" i="64"/>
  <c r="T48" i="64"/>
  <c r="S48" i="64"/>
  <c r="R48" i="64"/>
  <c r="Q48" i="64"/>
  <c r="P48" i="64"/>
  <c r="O48" i="64"/>
  <c r="A48" i="64"/>
  <c r="V47" i="64"/>
  <c r="U47" i="64"/>
  <c r="T47" i="64"/>
  <c r="S47" i="64"/>
  <c r="R47" i="64"/>
  <c r="Q47" i="64"/>
  <c r="P47" i="64"/>
  <c r="O47" i="64"/>
  <c r="A47" i="64"/>
  <c r="V46" i="64"/>
  <c r="U46" i="64"/>
  <c r="T46" i="64"/>
  <c r="S46" i="64"/>
  <c r="R46" i="64"/>
  <c r="Q46" i="64"/>
  <c r="P46" i="64"/>
  <c r="O46" i="64"/>
  <c r="A46" i="64"/>
  <c r="V45" i="64"/>
  <c r="U45" i="64"/>
  <c r="T45" i="64"/>
  <c r="S45" i="64"/>
  <c r="R45" i="64"/>
  <c r="Q45" i="64"/>
  <c r="P45" i="64"/>
  <c r="O45" i="64"/>
  <c r="A45" i="64"/>
  <c r="V44" i="64"/>
  <c r="U44" i="64"/>
  <c r="T44" i="64"/>
  <c r="S44" i="64"/>
  <c r="R44" i="64"/>
  <c r="Q44" i="64"/>
  <c r="P44" i="64"/>
  <c r="O44" i="64"/>
  <c r="A44" i="64"/>
  <c r="V43" i="64"/>
  <c r="U43" i="64"/>
  <c r="T43" i="64"/>
  <c r="S43" i="64"/>
  <c r="R43" i="64"/>
  <c r="Q43" i="64"/>
  <c r="P43" i="64"/>
  <c r="O43" i="64"/>
  <c r="L43" i="64"/>
  <c r="K43" i="64"/>
  <c r="J43" i="64"/>
  <c r="F43" i="64"/>
  <c r="E43" i="64"/>
  <c r="D43" i="64"/>
  <c r="C43" i="64"/>
  <c r="A43" i="64"/>
  <c r="V42" i="64"/>
  <c r="U42" i="64"/>
  <c r="T42" i="64"/>
  <c r="S42" i="64"/>
  <c r="R42" i="64"/>
  <c r="Q42" i="64"/>
  <c r="P42" i="64"/>
  <c r="O42" i="64"/>
  <c r="L42" i="64"/>
  <c r="K42" i="64"/>
  <c r="J42" i="64"/>
  <c r="I42" i="64"/>
  <c r="H42" i="64"/>
  <c r="G42" i="64"/>
  <c r="F42" i="64"/>
  <c r="E42" i="64"/>
  <c r="D42" i="64"/>
  <c r="C42" i="64"/>
  <c r="A42" i="64"/>
  <c r="V41" i="64"/>
  <c r="U41" i="64"/>
  <c r="T41" i="64"/>
  <c r="S41" i="64"/>
  <c r="R41" i="64"/>
  <c r="Q41" i="64"/>
  <c r="P41" i="64"/>
  <c r="O41" i="64"/>
  <c r="L41" i="64"/>
  <c r="K41" i="64"/>
  <c r="J41" i="64"/>
  <c r="I41" i="64"/>
  <c r="H41" i="64"/>
  <c r="G41" i="64"/>
  <c r="D41" i="64"/>
  <c r="C41" i="64"/>
  <c r="A41" i="64"/>
  <c r="V40" i="64"/>
  <c r="U40" i="64"/>
  <c r="T40" i="64"/>
  <c r="S40" i="64"/>
  <c r="R40" i="64"/>
  <c r="Q40" i="64"/>
  <c r="P40" i="64"/>
  <c r="O40" i="64"/>
  <c r="A40" i="64"/>
  <c r="V39" i="64"/>
  <c r="U39" i="64"/>
  <c r="T39" i="64"/>
  <c r="S39" i="64"/>
  <c r="R39" i="64"/>
  <c r="Q39" i="64"/>
  <c r="P39" i="64"/>
  <c r="O39" i="64"/>
  <c r="L39" i="64"/>
  <c r="K39" i="64"/>
  <c r="J39" i="64"/>
  <c r="I39" i="64"/>
  <c r="H39" i="64"/>
  <c r="G39" i="64"/>
  <c r="D39" i="64"/>
  <c r="C39" i="64"/>
  <c r="A39" i="64"/>
  <c r="V38" i="64"/>
  <c r="U38" i="64"/>
  <c r="T38" i="64"/>
  <c r="S38" i="64"/>
  <c r="R38" i="64"/>
  <c r="Q38" i="64"/>
  <c r="P38" i="64"/>
  <c r="O38" i="64"/>
  <c r="A38" i="64"/>
  <c r="V37" i="64"/>
  <c r="U37" i="64"/>
  <c r="T37" i="64"/>
  <c r="S37" i="64"/>
  <c r="R37" i="64"/>
  <c r="Q37" i="64"/>
  <c r="P37" i="64"/>
  <c r="O37" i="64"/>
  <c r="L37" i="64"/>
  <c r="K37" i="64"/>
  <c r="J37" i="64"/>
  <c r="I37" i="64"/>
  <c r="H37" i="64"/>
  <c r="G37" i="64"/>
  <c r="F37" i="64"/>
  <c r="E37" i="64"/>
  <c r="D37" i="64"/>
  <c r="C37" i="64"/>
  <c r="A37" i="64"/>
  <c r="V36" i="64"/>
  <c r="U36" i="64"/>
  <c r="T36" i="64"/>
  <c r="S36" i="64"/>
  <c r="R36" i="64"/>
  <c r="Q36" i="64"/>
  <c r="P36" i="64"/>
  <c r="O36" i="64"/>
  <c r="F36" i="64"/>
  <c r="E36" i="64"/>
  <c r="D36" i="64"/>
  <c r="C36" i="64"/>
  <c r="A36" i="64"/>
  <c r="V35" i="64"/>
  <c r="U35" i="64"/>
  <c r="T35" i="64"/>
  <c r="S35" i="64"/>
  <c r="R35" i="64"/>
  <c r="Q35" i="64"/>
  <c r="P35" i="64"/>
  <c r="O35" i="64"/>
  <c r="F35" i="64"/>
  <c r="E35" i="64"/>
  <c r="A35" i="64"/>
  <c r="V34" i="64"/>
  <c r="U34" i="64"/>
  <c r="T34" i="64"/>
  <c r="S34" i="64"/>
  <c r="R34" i="64"/>
  <c r="Q34" i="64"/>
  <c r="P34" i="64"/>
  <c r="O34" i="64"/>
  <c r="L34" i="64"/>
  <c r="K34" i="64"/>
  <c r="J34" i="64"/>
  <c r="I34" i="64"/>
  <c r="H34" i="64"/>
  <c r="G34" i="64"/>
  <c r="F34" i="64"/>
  <c r="E34" i="64"/>
  <c r="D34" i="64"/>
  <c r="C34" i="64"/>
  <c r="A34" i="64"/>
  <c r="V33" i="64"/>
  <c r="U33" i="64"/>
  <c r="T33" i="64"/>
  <c r="S33" i="64"/>
  <c r="R33" i="64"/>
  <c r="Q33" i="64"/>
  <c r="P33" i="64"/>
  <c r="O33" i="64"/>
  <c r="L33" i="64"/>
  <c r="K33" i="64"/>
  <c r="J33" i="64"/>
  <c r="I33" i="64"/>
  <c r="H33" i="64"/>
  <c r="G33" i="64"/>
  <c r="F33" i="64"/>
  <c r="E33" i="64"/>
  <c r="T32" i="64"/>
  <c r="S32" i="64"/>
  <c r="V31" i="64"/>
  <c r="U31" i="64"/>
  <c r="T31" i="64"/>
  <c r="S31" i="64"/>
  <c r="R31" i="64"/>
  <c r="Q31" i="64"/>
  <c r="P31" i="64"/>
  <c r="O31" i="64"/>
  <c r="N31" i="64"/>
  <c r="M31" i="64"/>
  <c r="J20" i="64"/>
  <c r="I20" i="64"/>
  <c r="H20" i="64"/>
  <c r="G20" i="64"/>
  <c r="J19" i="64"/>
  <c r="I19" i="64"/>
  <c r="H19" i="64"/>
  <c r="G19" i="64"/>
  <c r="J18" i="64"/>
  <c r="I18" i="64"/>
  <c r="H18" i="64"/>
  <c r="G18" i="64"/>
  <c r="J17" i="64"/>
  <c r="I17" i="64"/>
  <c r="H17" i="64"/>
  <c r="G17" i="64"/>
  <c r="J16" i="64"/>
  <c r="I16" i="64"/>
  <c r="H16" i="64"/>
  <c r="G16" i="64"/>
  <c r="J15" i="64"/>
  <c r="I15" i="64"/>
  <c r="H15" i="64"/>
  <c r="G15" i="64"/>
  <c r="J14" i="64"/>
  <c r="I14" i="64"/>
  <c r="H14" i="64"/>
  <c r="G14" i="64"/>
  <c r="J13" i="64"/>
  <c r="I13" i="64"/>
  <c r="H13" i="64"/>
  <c r="G13" i="64"/>
  <c r="J12" i="64"/>
  <c r="H12" i="64"/>
  <c r="G12" i="64"/>
  <c r="J11" i="64"/>
  <c r="H11" i="64"/>
  <c r="G11" i="64"/>
  <c r="E7" i="64"/>
  <c r="B7" i="64"/>
  <c r="J153" i="60"/>
  <c r="I153" i="60"/>
  <c r="H153" i="60"/>
  <c r="G153" i="60"/>
  <c r="F153" i="60"/>
  <c r="K152" i="60"/>
  <c r="J152" i="60"/>
  <c r="F152" i="60"/>
  <c r="E152" i="60"/>
  <c r="D152" i="60"/>
  <c r="K151" i="60"/>
  <c r="J151" i="60"/>
  <c r="F151" i="60"/>
  <c r="E151" i="60"/>
  <c r="D151" i="60"/>
  <c r="K150" i="60"/>
  <c r="J150" i="60"/>
  <c r="F150" i="60"/>
  <c r="E150" i="60"/>
  <c r="D150" i="60"/>
  <c r="K149" i="60"/>
  <c r="J149" i="60"/>
  <c r="F149" i="60"/>
  <c r="E149" i="60"/>
  <c r="D149" i="60"/>
  <c r="K148" i="60"/>
  <c r="J148" i="60"/>
  <c r="F148" i="60"/>
  <c r="E148" i="60"/>
  <c r="D148" i="60"/>
  <c r="K147" i="60"/>
  <c r="J147" i="60"/>
  <c r="F147" i="60"/>
  <c r="E147" i="60"/>
  <c r="D147" i="60"/>
  <c r="J144" i="60"/>
  <c r="I144" i="60"/>
  <c r="H144" i="60"/>
  <c r="G144" i="60"/>
  <c r="F144" i="60"/>
  <c r="K143" i="60"/>
  <c r="J143" i="60"/>
  <c r="F143" i="60"/>
  <c r="E143" i="60"/>
  <c r="D143" i="60"/>
  <c r="K142" i="60"/>
  <c r="J142" i="60"/>
  <c r="F142" i="60"/>
  <c r="E142" i="60"/>
  <c r="D142" i="60"/>
  <c r="K141" i="60"/>
  <c r="J141" i="60"/>
  <c r="F141" i="60"/>
  <c r="E141" i="60"/>
  <c r="D141" i="60"/>
  <c r="K140" i="60"/>
  <c r="J140" i="60"/>
  <c r="F140" i="60"/>
  <c r="E140" i="60"/>
  <c r="D140" i="60"/>
  <c r="K139" i="60"/>
  <c r="J139" i="60"/>
  <c r="F139" i="60"/>
  <c r="E139" i="60"/>
  <c r="D139" i="60"/>
  <c r="K138" i="60"/>
  <c r="J138" i="60"/>
  <c r="F138" i="60"/>
  <c r="E138" i="60"/>
  <c r="D138" i="60"/>
  <c r="C113" i="60"/>
  <c r="V103" i="60"/>
  <c r="U103" i="60"/>
  <c r="T103" i="60"/>
  <c r="S103" i="60"/>
  <c r="R103" i="60"/>
  <c r="Q103" i="60"/>
  <c r="P103" i="60"/>
  <c r="O103" i="60"/>
  <c r="D103" i="60"/>
  <c r="C103" i="60"/>
  <c r="A103" i="60"/>
  <c r="V102" i="60"/>
  <c r="U102" i="60"/>
  <c r="T102" i="60"/>
  <c r="S102" i="60"/>
  <c r="R102" i="60"/>
  <c r="Q102" i="60"/>
  <c r="P102" i="60"/>
  <c r="O102" i="60"/>
  <c r="D102" i="60"/>
  <c r="C102" i="60"/>
  <c r="A102" i="60"/>
  <c r="V101" i="60"/>
  <c r="U101" i="60"/>
  <c r="T101" i="60"/>
  <c r="S101" i="60"/>
  <c r="R101" i="60"/>
  <c r="Q101" i="60"/>
  <c r="P101" i="60"/>
  <c r="O101" i="60"/>
  <c r="A101" i="60"/>
  <c r="V100" i="60"/>
  <c r="U100" i="60"/>
  <c r="T100" i="60"/>
  <c r="S100" i="60"/>
  <c r="R100" i="60"/>
  <c r="Q100" i="60"/>
  <c r="P100" i="60"/>
  <c r="O100" i="60"/>
  <c r="A100" i="60"/>
  <c r="V99" i="60"/>
  <c r="U99" i="60"/>
  <c r="T99" i="60"/>
  <c r="S99" i="60"/>
  <c r="R99" i="60"/>
  <c r="Q99" i="60"/>
  <c r="P99" i="60"/>
  <c r="O99" i="60"/>
  <c r="A99" i="60"/>
  <c r="V98" i="60"/>
  <c r="U98" i="60"/>
  <c r="T98" i="60"/>
  <c r="S98" i="60"/>
  <c r="R98" i="60"/>
  <c r="Q98" i="60"/>
  <c r="P98" i="60"/>
  <c r="O98" i="60"/>
  <c r="A98" i="60"/>
  <c r="V97" i="60"/>
  <c r="U97" i="60"/>
  <c r="T97" i="60"/>
  <c r="S97" i="60"/>
  <c r="R97" i="60"/>
  <c r="Q97" i="60"/>
  <c r="P97" i="60"/>
  <c r="O97" i="60"/>
  <c r="A97" i="60"/>
  <c r="V96" i="60"/>
  <c r="U96" i="60"/>
  <c r="T96" i="60"/>
  <c r="S96" i="60"/>
  <c r="R96" i="60"/>
  <c r="Q96" i="60"/>
  <c r="P96" i="60"/>
  <c r="O96" i="60"/>
  <c r="A96" i="60"/>
  <c r="V95" i="60"/>
  <c r="U95" i="60"/>
  <c r="T95" i="60"/>
  <c r="S95" i="60"/>
  <c r="R95" i="60"/>
  <c r="Q95" i="60"/>
  <c r="P95" i="60"/>
  <c r="O95" i="60"/>
  <c r="A95" i="60"/>
  <c r="V94" i="60"/>
  <c r="U94" i="60"/>
  <c r="T94" i="60"/>
  <c r="S94" i="60"/>
  <c r="R94" i="60"/>
  <c r="Q94" i="60"/>
  <c r="P94" i="60"/>
  <c r="O94" i="60"/>
  <c r="A94" i="60"/>
  <c r="V93" i="60"/>
  <c r="U93" i="60"/>
  <c r="T93" i="60"/>
  <c r="S93" i="60"/>
  <c r="R93" i="60"/>
  <c r="Q93" i="60"/>
  <c r="P93" i="60"/>
  <c r="O93" i="60"/>
  <c r="A93" i="60"/>
  <c r="V92" i="60"/>
  <c r="U92" i="60"/>
  <c r="T92" i="60"/>
  <c r="S92" i="60"/>
  <c r="R92" i="60"/>
  <c r="Q92" i="60"/>
  <c r="P92" i="60"/>
  <c r="O92" i="60"/>
  <c r="A92" i="60"/>
  <c r="V91" i="60"/>
  <c r="U91" i="60"/>
  <c r="T91" i="60"/>
  <c r="S91" i="60"/>
  <c r="R91" i="60"/>
  <c r="Q91" i="60"/>
  <c r="P91" i="60"/>
  <c r="O91" i="60"/>
  <c r="A91" i="60"/>
  <c r="V90" i="60"/>
  <c r="U90" i="60"/>
  <c r="T90" i="60"/>
  <c r="S90" i="60"/>
  <c r="R90" i="60"/>
  <c r="Q90" i="60"/>
  <c r="P90" i="60"/>
  <c r="O90" i="60"/>
  <c r="A90" i="60"/>
  <c r="V89" i="60"/>
  <c r="U89" i="60"/>
  <c r="T89" i="60"/>
  <c r="S89" i="60"/>
  <c r="R89" i="60"/>
  <c r="Q89" i="60"/>
  <c r="P89" i="60"/>
  <c r="O89" i="60"/>
  <c r="A89" i="60"/>
  <c r="V88" i="60"/>
  <c r="U88" i="60"/>
  <c r="T88" i="60"/>
  <c r="S88" i="60"/>
  <c r="R88" i="60"/>
  <c r="Q88" i="60"/>
  <c r="P88" i="60"/>
  <c r="O88" i="60"/>
  <c r="A88" i="60"/>
  <c r="V87" i="60"/>
  <c r="U87" i="60"/>
  <c r="T87" i="60"/>
  <c r="S87" i="60"/>
  <c r="R87" i="60"/>
  <c r="Q87" i="60"/>
  <c r="P87" i="60"/>
  <c r="O87" i="60"/>
  <c r="A87" i="60"/>
  <c r="V86" i="60"/>
  <c r="U86" i="60"/>
  <c r="T86" i="60"/>
  <c r="S86" i="60"/>
  <c r="R86" i="60"/>
  <c r="Q86" i="60"/>
  <c r="P86" i="60"/>
  <c r="O86" i="60"/>
  <c r="A86" i="60"/>
  <c r="V85" i="60"/>
  <c r="U85" i="60"/>
  <c r="T85" i="60"/>
  <c r="S85" i="60"/>
  <c r="R85" i="60"/>
  <c r="Q85" i="60"/>
  <c r="P85" i="60"/>
  <c r="O85" i="60"/>
  <c r="A85" i="60"/>
  <c r="V84" i="60"/>
  <c r="U84" i="60"/>
  <c r="T84" i="60"/>
  <c r="S84" i="60"/>
  <c r="R84" i="60"/>
  <c r="Q84" i="60"/>
  <c r="P84" i="60"/>
  <c r="O84" i="60"/>
  <c r="A84" i="60"/>
  <c r="V83" i="60"/>
  <c r="U83" i="60"/>
  <c r="T83" i="60"/>
  <c r="S83" i="60"/>
  <c r="R83" i="60"/>
  <c r="Q83" i="60"/>
  <c r="P83" i="60"/>
  <c r="O83" i="60"/>
  <c r="A83" i="60"/>
  <c r="V82" i="60"/>
  <c r="U82" i="60"/>
  <c r="T82" i="60"/>
  <c r="S82" i="60"/>
  <c r="R82" i="60"/>
  <c r="Q82" i="60"/>
  <c r="P82" i="60"/>
  <c r="O82" i="60"/>
  <c r="L82" i="60"/>
  <c r="K82" i="60"/>
  <c r="J82" i="60"/>
  <c r="I82" i="60"/>
  <c r="H82" i="60"/>
  <c r="G82" i="60"/>
  <c r="F82" i="60"/>
  <c r="A82" i="60"/>
  <c r="V81" i="60"/>
  <c r="U81" i="60"/>
  <c r="T81" i="60"/>
  <c r="S81" i="60"/>
  <c r="R81" i="60"/>
  <c r="Q81" i="60"/>
  <c r="P81" i="60"/>
  <c r="O81" i="60"/>
  <c r="A81" i="60"/>
  <c r="V80" i="60"/>
  <c r="U80" i="60"/>
  <c r="T80" i="60"/>
  <c r="S80" i="60"/>
  <c r="R80" i="60"/>
  <c r="Q80" i="60"/>
  <c r="P80" i="60"/>
  <c r="O80" i="60"/>
  <c r="D80" i="60"/>
  <c r="C80" i="60"/>
  <c r="A80" i="60"/>
  <c r="V79" i="60"/>
  <c r="U79" i="60"/>
  <c r="T79" i="60"/>
  <c r="S79" i="60"/>
  <c r="R79" i="60"/>
  <c r="Q79" i="60"/>
  <c r="P79" i="60"/>
  <c r="O79" i="60"/>
  <c r="D79" i="60"/>
  <c r="C79" i="60"/>
  <c r="A79" i="60"/>
  <c r="V78" i="60"/>
  <c r="U78" i="60"/>
  <c r="T78" i="60"/>
  <c r="S78" i="60"/>
  <c r="R78" i="60"/>
  <c r="Q78" i="60"/>
  <c r="P78" i="60"/>
  <c r="O78" i="60"/>
  <c r="D78" i="60"/>
  <c r="C78" i="60"/>
  <c r="A78" i="60"/>
  <c r="V77" i="60"/>
  <c r="U77" i="60"/>
  <c r="T77" i="60"/>
  <c r="S77" i="60"/>
  <c r="R77" i="60"/>
  <c r="Q77" i="60"/>
  <c r="P77" i="60"/>
  <c r="O77" i="60"/>
  <c r="D77" i="60"/>
  <c r="C77" i="60"/>
  <c r="A77" i="60"/>
  <c r="V76" i="60"/>
  <c r="U76" i="60"/>
  <c r="T76" i="60"/>
  <c r="S76" i="60"/>
  <c r="R76" i="60"/>
  <c r="Q76" i="60"/>
  <c r="P76" i="60"/>
  <c r="O76" i="60"/>
  <c r="D76" i="60"/>
  <c r="C76" i="60"/>
  <c r="A76" i="60"/>
  <c r="V75" i="60"/>
  <c r="U75" i="60"/>
  <c r="T75" i="60"/>
  <c r="S75" i="60"/>
  <c r="R75" i="60"/>
  <c r="Q75" i="60"/>
  <c r="P75" i="60"/>
  <c r="O75" i="60"/>
  <c r="A75" i="60"/>
  <c r="V74" i="60"/>
  <c r="U74" i="60"/>
  <c r="T74" i="60"/>
  <c r="S74" i="60"/>
  <c r="R74" i="60"/>
  <c r="Q74" i="60"/>
  <c r="P74" i="60"/>
  <c r="O74" i="60"/>
  <c r="A74" i="60"/>
  <c r="V73" i="60"/>
  <c r="U73" i="60"/>
  <c r="T73" i="60"/>
  <c r="S73" i="60"/>
  <c r="R73" i="60"/>
  <c r="Q73" i="60"/>
  <c r="P73" i="60"/>
  <c r="O73" i="60"/>
  <c r="A73" i="60"/>
  <c r="V72" i="60"/>
  <c r="U72" i="60"/>
  <c r="T72" i="60"/>
  <c r="S72" i="60"/>
  <c r="R72" i="60"/>
  <c r="Q72" i="60"/>
  <c r="P72" i="60"/>
  <c r="O72" i="60"/>
  <c r="A72" i="60"/>
  <c r="V71" i="60"/>
  <c r="U71" i="60"/>
  <c r="T71" i="60"/>
  <c r="S71" i="60"/>
  <c r="R71" i="60"/>
  <c r="Q71" i="60"/>
  <c r="P71" i="60"/>
  <c r="O71" i="60"/>
  <c r="L71" i="60"/>
  <c r="K71" i="60"/>
  <c r="J71" i="60"/>
  <c r="I71" i="60"/>
  <c r="H71" i="60"/>
  <c r="G71" i="60"/>
  <c r="F71" i="60"/>
  <c r="E71" i="60"/>
  <c r="D71" i="60"/>
  <c r="C71" i="60"/>
  <c r="A71" i="60"/>
  <c r="V70" i="60"/>
  <c r="U70" i="60"/>
  <c r="T70" i="60"/>
  <c r="S70" i="60"/>
  <c r="R70" i="60"/>
  <c r="Q70" i="60"/>
  <c r="P70" i="60"/>
  <c r="O70" i="60"/>
  <c r="A70" i="60"/>
  <c r="L69" i="60"/>
  <c r="K69" i="60"/>
  <c r="J69" i="60"/>
  <c r="I69" i="60"/>
  <c r="F69" i="60"/>
  <c r="E69" i="60"/>
  <c r="D69" i="60"/>
  <c r="C69" i="60"/>
  <c r="A69" i="60"/>
  <c r="V68" i="60"/>
  <c r="U68" i="60"/>
  <c r="T68" i="60"/>
  <c r="S68" i="60"/>
  <c r="R68" i="60"/>
  <c r="Q68" i="60"/>
  <c r="P68" i="60"/>
  <c r="O68" i="60"/>
  <c r="D68" i="60"/>
  <c r="C68" i="60"/>
  <c r="A68" i="60"/>
  <c r="V67" i="60"/>
  <c r="U67" i="60"/>
  <c r="T67" i="60"/>
  <c r="S67" i="60"/>
  <c r="R67" i="60"/>
  <c r="Q67" i="60"/>
  <c r="P67" i="60"/>
  <c r="O67" i="60"/>
  <c r="A67" i="60"/>
  <c r="V66" i="60"/>
  <c r="U66" i="60"/>
  <c r="T66" i="60"/>
  <c r="S66" i="60"/>
  <c r="R66" i="60"/>
  <c r="Q66" i="60"/>
  <c r="P66" i="60"/>
  <c r="O66" i="60"/>
  <c r="A66" i="60"/>
  <c r="D65" i="60"/>
  <c r="C65" i="60"/>
  <c r="A65" i="60"/>
  <c r="V64" i="60"/>
  <c r="U64" i="60"/>
  <c r="T64" i="60"/>
  <c r="S64" i="60"/>
  <c r="R64" i="60"/>
  <c r="Q64" i="60"/>
  <c r="P64" i="60"/>
  <c r="O64" i="60"/>
  <c r="D64" i="60"/>
  <c r="C64" i="60"/>
  <c r="A64" i="60"/>
  <c r="V63" i="60"/>
  <c r="U63" i="60"/>
  <c r="T63" i="60"/>
  <c r="S63" i="60"/>
  <c r="R63" i="60"/>
  <c r="Q63" i="60"/>
  <c r="P63" i="60"/>
  <c r="O63" i="60"/>
  <c r="A63" i="60"/>
  <c r="V62" i="60"/>
  <c r="U62" i="60"/>
  <c r="T62" i="60"/>
  <c r="S62" i="60"/>
  <c r="R62" i="60"/>
  <c r="Q62" i="60"/>
  <c r="P62" i="60"/>
  <c r="O62" i="60"/>
  <c r="A62" i="60"/>
  <c r="V61" i="60"/>
  <c r="U61" i="60"/>
  <c r="T61" i="60"/>
  <c r="S61" i="60"/>
  <c r="R61" i="60"/>
  <c r="Q61" i="60"/>
  <c r="P61" i="60"/>
  <c r="O61" i="60"/>
  <c r="A61" i="60"/>
  <c r="V60" i="60"/>
  <c r="U60" i="60"/>
  <c r="T60" i="60"/>
  <c r="S60" i="60"/>
  <c r="R60" i="60"/>
  <c r="Q60" i="60"/>
  <c r="P60" i="60"/>
  <c r="O60" i="60"/>
  <c r="A60" i="60"/>
  <c r="V59" i="60"/>
  <c r="U59" i="60"/>
  <c r="T59" i="60"/>
  <c r="S59" i="60"/>
  <c r="R59" i="60"/>
  <c r="Q59" i="60"/>
  <c r="P59" i="60"/>
  <c r="O59" i="60"/>
  <c r="A59" i="60"/>
  <c r="V58" i="60"/>
  <c r="U58" i="60"/>
  <c r="T58" i="60"/>
  <c r="S58" i="60"/>
  <c r="R58" i="60"/>
  <c r="Q58" i="60"/>
  <c r="P58" i="60"/>
  <c r="O58" i="60"/>
  <c r="C58" i="60"/>
  <c r="D58" i="60" s="1"/>
  <c r="A58" i="60"/>
  <c r="V57" i="60"/>
  <c r="U57" i="60"/>
  <c r="T57" i="60"/>
  <c r="S57" i="60"/>
  <c r="R57" i="60"/>
  <c r="Q57" i="60"/>
  <c r="P57" i="60"/>
  <c r="O57" i="60"/>
  <c r="D57" i="60"/>
  <c r="C57" i="60"/>
  <c r="A57" i="60"/>
  <c r="V56" i="60"/>
  <c r="U56" i="60"/>
  <c r="T56" i="60"/>
  <c r="S56" i="60"/>
  <c r="R56" i="60"/>
  <c r="Q56" i="60"/>
  <c r="P56" i="60"/>
  <c r="O56" i="60"/>
  <c r="A56" i="60"/>
  <c r="V55" i="60"/>
  <c r="U55" i="60"/>
  <c r="T55" i="60"/>
  <c r="S55" i="60"/>
  <c r="R55" i="60"/>
  <c r="Q55" i="60"/>
  <c r="P55" i="60"/>
  <c r="O55" i="60"/>
  <c r="A55" i="60"/>
  <c r="V54" i="60"/>
  <c r="U54" i="60"/>
  <c r="T54" i="60"/>
  <c r="S54" i="60"/>
  <c r="R54" i="60"/>
  <c r="Q54" i="60"/>
  <c r="P54" i="60"/>
  <c r="O54" i="60"/>
  <c r="A54" i="60"/>
  <c r="V53" i="60"/>
  <c r="U53" i="60"/>
  <c r="T53" i="60"/>
  <c r="S53" i="60"/>
  <c r="R53" i="60"/>
  <c r="Q53" i="60"/>
  <c r="P53" i="60"/>
  <c r="O53" i="60"/>
  <c r="L53" i="60"/>
  <c r="K53" i="60"/>
  <c r="J53" i="60"/>
  <c r="I53" i="60"/>
  <c r="H53" i="60"/>
  <c r="G53" i="60"/>
  <c r="F53" i="60"/>
  <c r="E53" i="60"/>
  <c r="D53" i="60"/>
  <c r="C53" i="60"/>
  <c r="A53" i="60"/>
  <c r="V52" i="60"/>
  <c r="U52" i="60"/>
  <c r="T52" i="60"/>
  <c r="S52" i="60"/>
  <c r="R52" i="60"/>
  <c r="Q52" i="60"/>
  <c r="P52" i="60"/>
  <c r="O52" i="60"/>
  <c r="L52" i="60"/>
  <c r="K52" i="60"/>
  <c r="J52" i="60"/>
  <c r="I52" i="60"/>
  <c r="H52" i="60"/>
  <c r="G52" i="60"/>
  <c r="F52" i="60"/>
  <c r="E52" i="60"/>
  <c r="D52" i="60"/>
  <c r="C52" i="60"/>
  <c r="A52" i="60"/>
  <c r="V51" i="60"/>
  <c r="U51" i="60"/>
  <c r="T51" i="60"/>
  <c r="S51" i="60"/>
  <c r="R51" i="60"/>
  <c r="Q51" i="60"/>
  <c r="P51" i="60"/>
  <c r="O51" i="60"/>
  <c r="A51" i="60"/>
  <c r="V50" i="60"/>
  <c r="U50" i="60"/>
  <c r="T50" i="60"/>
  <c r="S50" i="60"/>
  <c r="R50" i="60"/>
  <c r="Q50" i="60"/>
  <c r="P50" i="60"/>
  <c r="O50" i="60"/>
  <c r="A50" i="60"/>
  <c r="V49" i="60"/>
  <c r="U49" i="60"/>
  <c r="T49" i="60"/>
  <c r="S49" i="60"/>
  <c r="R49" i="60"/>
  <c r="Q49" i="60"/>
  <c r="P49" i="60"/>
  <c r="O49" i="60"/>
  <c r="F49" i="60"/>
  <c r="E49" i="60"/>
  <c r="A49" i="60"/>
  <c r="V48" i="60"/>
  <c r="U48" i="60"/>
  <c r="T48" i="60"/>
  <c r="S48" i="60"/>
  <c r="R48" i="60"/>
  <c r="Q48" i="60"/>
  <c r="P48" i="60"/>
  <c r="O48" i="60"/>
  <c r="A48" i="60"/>
  <c r="V47" i="60"/>
  <c r="U47" i="60"/>
  <c r="T47" i="60"/>
  <c r="S47" i="60"/>
  <c r="R47" i="60"/>
  <c r="Q47" i="60"/>
  <c r="P47" i="60"/>
  <c r="O47" i="60"/>
  <c r="A47" i="60"/>
  <c r="V46" i="60"/>
  <c r="U46" i="60"/>
  <c r="T46" i="60"/>
  <c r="S46" i="60"/>
  <c r="R46" i="60"/>
  <c r="Q46" i="60"/>
  <c r="P46" i="60"/>
  <c r="O46" i="60"/>
  <c r="A46" i="60"/>
  <c r="V45" i="60"/>
  <c r="U45" i="60"/>
  <c r="T45" i="60"/>
  <c r="S45" i="60"/>
  <c r="R45" i="60"/>
  <c r="Q45" i="60"/>
  <c r="P45" i="60"/>
  <c r="O45" i="60"/>
  <c r="A45" i="60"/>
  <c r="V44" i="60"/>
  <c r="U44" i="60"/>
  <c r="T44" i="60"/>
  <c r="S44" i="60"/>
  <c r="R44" i="60"/>
  <c r="Q44" i="60"/>
  <c r="P44" i="60"/>
  <c r="O44" i="60"/>
  <c r="A44" i="60"/>
  <c r="V43" i="60"/>
  <c r="U43" i="60"/>
  <c r="T43" i="60"/>
  <c r="S43" i="60"/>
  <c r="R43" i="60"/>
  <c r="Q43" i="60"/>
  <c r="P43" i="60"/>
  <c r="O43" i="60"/>
  <c r="L43" i="60"/>
  <c r="K43" i="60"/>
  <c r="J43" i="60"/>
  <c r="F43" i="60"/>
  <c r="E43" i="60"/>
  <c r="D43" i="60"/>
  <c r="C43" i="60"/>
  <c r="A43" i="60"/>
  <c r="V42" i="60"/>
  <c r="U42" i="60"/>
  <c r="T42" i="60"/>
  <c r="S42" i="60"/>
  <c r="R42" i="60"/>
  <c r="Q42" i="60"/>
  <c r="P42" i="60"/>
  <c r="O42" i="60"/>
  <c r="L42" i="60"/>
  <c r="K42" i="60"/>
  <c r="J42" i="60"/>
  <c r="I42" i="60"/>
  <c r="H42" i="60"/>
  <c r="G42" i="60"/>
  <c r="F42" i="60"/>
  <c r="E42" i="60"/>
  <c r="D42" i="60"/>
  <c r="C42" i="60"/>
  <c r="A42" i="60"/>
  <c r="V41" i="60"/>
  <c r="U41" i="60"/>
  <c r="T41" i="60"/>
  <c r="S41" i="60"/>
  <c r="R41" i="60"/>
  <c r="Q41" i="60"/>
  <c r="P41" i="60"/>
  <c r="O41" i="60"/>
  <c r="L41" i="60"/>
  <c r="K41" i="60"/>
  <c r="J41" i="60"/>
  <c r="I41" i="60"/>
  <c r="H41" i="60"/>
  <c r="G41" i="60"/>
  <c r="F41" i="60"/>
  <c r="E41" i="60"/>
  <c r="D41" i="60"/>
  <c r="C41" i="60"/>
  <c r="A41" i="60"/>
  <c r="V40" i="60"/>
  <c r="U40" i="60"/>
  <c r="T40" i="60"/>
  <c r="S40" i="60"/>
  <c r="R40" i="60"/>
  <c r="Q40" i="60"/>
  <c r="P40" i="60"/>
  <c r="O40" i="60"/>
  <c r="A40" i="60"/>
  <c r="V39" i="60"/>
  <c r="U39" i="60"/>
  <c r="T39" i="60"/>
  <c r="S39" i="60"/>
  <c r="R39" i="60"/>
  <c r="Q39" i="60"/>
  <c r="P39" i="60"/>
  <c r="O39" i="60"/>
  <c r="L39" i="60"/>
  <c r="K39" i="60"/>
  <c r="J39" i="60"/>
  <c r="I39" i="60"/>
  <c r="H39" i="60"/>
  <c r="G39" i="60"/>
  <c r="F39" i="60"/>
  <c r="E39" i="60"/>
  <c r="D39" i="60"/>
  <c r="C39" i="60"/>
  <c r="A39" i="60"/>
  <c r="V38" i="60"/>
  <c r="U38" i="60"/>
  <c r="T38" i="60"/>
  <c r="S38" i="60"/>
  <c r="R38" i="60"/>
  <c r="Q38" i="60"/>
  <c r="P38" i="60"/>
  <c r="O38" i="60"/>
  <c r="A38" i="60"/>
  <c r="V37" i="60"/>
  <c r="U37" i="60"/>
  <c r="T37" i="60"/>
  <c r="S37" i="60"/>
  <c r="R37" i="60"/>
  <c r="Q37" i="60"/>
  <c r="P37" i="60"/>
  <c r="O37" i="60"/>
  <c r="L37" i="60"/>
  <c r="K37" i="60"/>
  <c r="J37" i="60"/>
  <c r="I37" i="60"/>
  <c r="H37" i="60"/>
  <c r="G37" i="60"/>
  <c r="F37" i="60"/>
  <c r="E37" i="60"/>
  <c r="D37" i="60"/>
  <c r="C37" i="60"/>
  <c r="A37" i="60"/>
  <c r="V36" i="60"/>
  <c r="U36" i="60"/>
  <c r="T36" i="60"/>
  <c r="S36" i="60"/>
  <c r="R36" i="60"/>
  <c r="Q36" i="60"/>
  <c r="P36" i="60"/>
  <c r="O36" i="60"/>
  <c r="D36" i="60"/>
  <c r="C36" i="60"/>
  <c r="A36" i="60"/>
  <c r="V35" i="60"/>
  <c r="U35" i="60"/>
  <c r="T35" i="60"/>
  <c r="S35" i="60"/>
  <c r="R35" i="60"/>
  <c r="Q35" i="60"/>
  <c r="P35" i="60"/>
  <c r="O35" i="60"/>
  <c r="A35" i="60"/>
  <c r="V34" i="60"/>
  <c r="U34" i="60"/>
  <c r="T34" i="60"/>
  <c r="S34" i="60"/>
  <c r="R34" i="60"/>
  <c r="Q34" i="60"/>
  <c r="P34" i="60"/>
  <c r="O34" i="60"/>
  <c r="L34" i="60"/>
  <c r="K34" i="60"/>
  <c r="J34" i="60"/>
  <c r="I34" i="60"/>
  <c r="H34" i="60"/>
  <c r="G34" i="60"/>
  <c r="F34" i="60"/>
  <c r="E34" i="60"/>
  <c r="D34" i="60"/>
  <c r="C34" i="60"/>
  <c r="A34" i="60"/>
  <c r="V33" i="60"/>
  <c r="U33" i="60"/>
  <c r="T33" i="60"/>
  <c r="S33" i="60"/>
  <c r="R33" i="60"/>
  <c r="Q33" i="60"/>
  <c r="P33" i="60"/>
  <c r="O33" i="60"/>
  <c r="L33" i="60"/>
  <c r="K33" i="60"/>
  <c r="J33" i="60"/>
  <c r="I33" i="60"/>
  <c r="H33" i="60"/>
  <c r="G33" i="60"/>
  <c r="F33" i="60"/>
  <c r="E33" i="60"/>
  <c r="T32" i="60"/>
  <c r="S32" i="60"/>
  <c r="V31" i="60"/>
  <c r="U31" i="60"/>
  <c r="T31" i="60"/>
  <c r="S31" i="60"/>
  <c r="R31" i="60"/>
  <c r="Q31" i="60"/>
  <c r="P31" i="60"/>
  <c r="O31" i="60"/>
  <c r="N31" i="60"/>
  <c r="M31" i="60"/>
  <c r="J20" i="60"/>
  <c r="I20" i="60"/>
  <c r="H20" i="60"/>
  <c r="G20" i="60"/>
  <c r="J19" i="60"/>
  <c r="I19" i="60"/>
  <c r="H19" i="60"/>
  <c r="G19" i="60"/>
  <c r="J18" i="60"/>
  <c r="I18" i="60"/>
  <c r="H18" i="60"/>
  <c r="G18" i="60"/>
  <c r="J17" i="60"/>
  <c r="I17" i="60"/>
  <c r="H17" i="60"/>
  <c r="G17" i="60"/>
  <c r="J16" i="60"/>
  <c r="I16" i="60"/>
  <c r="H16" i="60"/>
  <c r="G16" i="60"/>
  <c r="J15" i="60"/>
  <c r="I15" i="60"/>
  <c r="H15" i="60"/>
  <c r="G15" i="60"/>
  <c r="J14" i="60"/>
  <c r="I14" i="60"/>
  <c r="H14" i="60"/>
  <c r="G14" i="60"/>
  <c r="J13" i="60"/>
  <c r="I13" i="60"/>
  <c r="H13" i="60"/>
  <c r="G13" i="60"/>
  <c r="J12" i="60"/>
  <c r="H12" i="60"/>
  <c r="G12" i="60"/>
  <c r="J11" i="60"/>
  <c r="H11" i="60"/>
  <c r="G11" i="60"/>
  <c r="E7" i="60"/>
  <c r="B7" i="60"/>
  <c r="I12" i="60" s="1"/>
  <c r="D33" i="60" s="1"/>
  <c r="J130" i="81"/>
  <c r="I130" i="81"/>
  <c r="H130" i="81"/>
  <c r="G130" i="81"/>
  <c r="F130" i="81"/>
  <c r="E130" i="81"/>
  <c r="D130" i="81"/>
  <c r="K129" i="81"/>
  <c r="J129" i="81"/>
  <c r="I129" i="81"/>
  <c r="F129" i="81"/>
  <c r="D129" i="81"/>
  <c r="K128" i="81"/>
  <c r="J128" i="81"/>
  <c r="I128" i="81"/>
  <c r="F128" i="81"/>
  <c r="D128" i="81"/>
  <c r="K127" i="81"/>
  <c r="J127" i="81"/>
  <c r="I127" i="81"/>
  <c r="F127" i="81"/>
  <c r="D127" i="81"/>
  <c r="K126" i="81"/>
  <c r="J126" i="81"/>
  <c r="I126" i="81"/>
  <c r="F126" i="81"/>
  <c r="D126" i="81"/>
  <c r="K125" i="81"/>
  <c r="J125" i="81"/>
  <c r="I125" i="81"/>
  <c r="F125" i="81"/>
  <c r="D125" i="81"/>
  <c r="V103" i="81"/>
  <c r="U103" i="81"/>
  <c r="T103" i="81"/>
  <c r="S103" i="81"/>
  <c r="R103" i="81"/>
  <c r="Q103" i="81"/>
  <c r="P103" i="81"/>
  <c r="O103" i="81"/>
  <c r="A103" i="81"/>
  <c r="V102" i="81"/>
  <c r="U102" i="81"/>
  <c r="T102" i="81"/>
  <c r="S102" i="81"/>
  <c r="R102" i="81"/>
  <c r="Q102" i="81"/>
  <c r="P102" i="81"/>
  <c r="O102" i="81"/>
  <c r="A102" i="81"/>
  <c r="V101" i="81"/>
  <c r="U101" i="81"/>
  <c r="T101" i="81"/>
  <c r="S101" i="81"/>
  <c r="R101" i="81"/>
  <c r="Q101" i="81"/>
  <c r="P101" i="81"/>
  <c r="O101" i="81"/>
  <c r="A101" i="81"/>
  <c r="V100" i="81"/>
  <c r="U100" i="81"/>
  <c r="T100" i="81"/>
  <c r="S100" i="81"/>
  <c r="R100" i="81"/>
  <c r="Q100" i="81"/>
  <c r="P100" i="81"/>
  <c r="O100" i="81"/>
  <c r="A100" i="81"/>
  <c r="V99" i="81"/>
  <c r="U99" i="81"/>
  <c r="T99" i="81"/>
  <c r="S99" i="81"/>
  <c r="R99" i="81"/>
  <c r="Q99" i="81"/>
  <c r="P99" i="81"/>
  <c r="O99" i="81"/>
  <c r="A99" i="81"/>
  <c r="V98" i="81"/>
  <c r="U98" i="81"/>
  <c r="T98" i="81"/>
  <c r="S98" i="81"/>
  <c r="R98" i="81"/>
  <c r="Q98" i="81"/>
  <c r="P98" i="81"/>
  <c r="O98" i="81"/>
  <c r="A98" i="81"/>
  <c r="V97" i="81"/>
  <c r="U97" i="81"/>
  <c r="T97" i="81"/>
  <c r="S97" i="81"/>
  <c r="R97" i="81"/>
  <c r="Q97" i="81"/>
  <c r="P97" i="81"/>
  <c r="O97" i="81"/>
  <c r="A97" i="81"/>
  <c r="V96" i="81"/>
  <c r="U96" i="81"/>
  <c r="T96" i="81"/>
  <c r="S96" i="81"/>
  <c r="R96" i="81"/>
  <c r="Q96" i="81"/>
  <c r="P96" i="81"/>
  <c r="O96" i="81"/>
  <c r="A96" i="81"/>
  <c r="V95" i="81"/>
  <c r="U95" i="81"/>
  <c r="T95" i="81"/>
  <c r="S95" i="81"/>
  <c r="R95" i="81"/>
  <c r="Q95" i="81"/>
  <c r="P95" i="81"/>
  <c r="O95" i="81"/>
  <c r="A95" i="81"/>
  <c r="V94" i="81"/>
  <c r="U94" i="81"/>
  <c r="T94" i="81"/>
  <c r="S94" i="81"/>
  <c r="R94" i="81"/>
  <c r="Q94" i="81"/>
  <c r="P94" i="81"/>
  <c r="O94" i="81"/>
  <c r="A94" i="81"/>
  <c r="V93" i="81"/>
  <c r="U93" i="81"/>
  <c r="T93" i="81"/>
  <c r="S93" i="81"/>
  <c r="R93" i="81"/>
  <c r="Q93" i="81"/>
  <c r="P93" i="81"/>
  <c r="O93" i="81"/>
  <c r="A93" i="81"/>
  <c r="V92" i="81"/>
  <c r="U92" i="81"/>
  <c r="T92" i="81"/>
  <c r="S92" i="81"/>
  <c r="R92" i="81"/>
  <c r="Q92" i="81"/>
  <c r="P92" i="81"/>
  <c r="O92" i="81"/>
  <c r="A92" i="81"/>
  <c r="V91" i="81"/>
  <c r="U91" i="81"/>
  <c r="T91" i="81"/>
  <c r="S91" i="81"/>
  <c r="R91" i="81"/>
  <c r="Q91" i="81"/>
  <c r="P91" i="81"/>
  <c r="O91" i="81"/>
  <c r="A91" i="81"/>
  <c r="V90" i="81"/>
  <c r="U90" i="81"/>
  <c r="T90" i="81"/>
  <c r="S90" i="81"/>
  <c r="R90" i="81"/>
  <c r="Q90" i="81"/>
  <c r="P90" i="81"/>
  <c r="O90" i="81"/>
  <c r="A90" i="81"/>
  <c r="V89" i="81"/>
  <c r="U89" i="81"/>
  <c r="T89" i="81"/>
  <c r="S89" i="81"/>
  <c r="R89" i="81"/>
  <c r="Q89" i="81"/>
  <c r="P89" i="81"/>
  <c r="O89" i="81"/>
  <c r="A89" i="81"/>
  <c r="V88" i="81"/>
  <c r="U88" i="81"/>
  <c r="T88" i="81"/>
  <c r="S88" i="81"/>
  <c r="R88" i="81"/>
  <c r="Q88" i="81"/>
  <c r="P88" i="81"/>
  <c r="O88" i="81"/>
  <c r="A88" i="81"/>
  <c r="V87" i="81"/>
  <c r="U87" i="81"/>
  <c r="T87" i="81"/>
  <c r="S87" i="81"/>
  <c r="R87" i="81"/>
  <c r="Q87" i="81"/>
  <c r="P87" i="81"/>
  <c r="O87" i="81"/>
  <c r="A87" i="81"/>
  <c r="V86" i="81"/>
  <c r="U86" i="81"/>
  <c r="T86" i="81"/>
  <c r="S86" i="81"/>
  <c r="R86" i="81"/>
  <c r="Q86" i="81"/>
  <c r="P86" i="81"/>
  <c r="O86" i="81"/>
  <c r="A86" i="81"/>
  <c r="V85" i="81"/>
  <c r="U85" i="81"/>
  <c r="T85" i="81"/>
  <c r="S85" i="81"/>
  <c r="R85" i="81"/>
  <c r="Q85" i="81"/>
  <c r="P85" i="81"/>
  <c r="O85" i="81"/>
  <c r="A85" i="81"/>
  <c r="V84" i="81"/>
  <c r="U84" i="81"/>
  <c r="T84" i="81"/>
  <c r="S84" i="81"/>
  <c r="R84" i="81"/>
  <c r="Q84" i="81"/>
  <c r="P84" i="81"/>
  <c r="O84" i="81"/>
  <c r="A84" i="81"/>
  <c r="V83" i="81"/>
  <c r="U83" i="81"/>
  <c r="T83" i="81"/>
  <c r="S83" i="81"/>
  <c r="R83" i="81"/>
  <c r="Q83" i="81"/>
  <c r="P83" i="81"/>
  <c r="O83" i="81"/>
  <c r="A83" i="81"/>
  <c r="V82" i="81"/>
  <c r="U82" i="81"/>
  <c r="T82" i="81"/>
  <c r="S82" i="81"/>
  <c r="R82" i="81"/>
  <c r="Q82" i="81"/>
  <c r="P82" i="81"/>
  <c r="O82" i="81"/>
  <c r="L82" i="81"/>
  <c r="K82" i="81"/>
  <c r="J82" i="81"/>
  <c r="I82" i="81"/>
  <c r="H82" i="81"/>
  <c r="G82" i="81"/>
  <c r="F82" i="81"/>
  <c r="A82" i="81"/>
  <c r="V81" i="81"/>
  <c r="U81" i="81"/>
  <c r="T81" i="81"/>
  <c r="S81" i="81"/>
  <c r="R81" i="81"/>
  <c r="Q81" i="81"/>
  <c r="P81" i="81"/>
  <c r="O81" i="81"/>
  <c r="A81" i="81"/>
  <c r="V80" i="81"/>
  <c r="U80" i="81"/>
  <c r="T80" i="81"/>
  <c r="S80" i="81"/>
  <c r="R80" i="81"/>
  <c r="Q80" i="81"/>
  <c r="P80" i="81"/>
  <c r="O80" i="81"/>
  <c r="A80" i="81"/>
  <c r="V79" i="81"/>
  <c r="U79" i="81"/>
  <c r="T79" i="81"/>
  <c r="S79" i="81"/>
  <c r="R79" i="81"/>
  <c r="Q79" i="81"/>
  <c r="P79" i="81"/>
  <c r="O79" i="81"/>
  <c r="A79" i="81"/>
  <c r="V78" i="81"/>
  <c r="U78" i="81"/>
  <c r="T78" i="81"/>
  <c r="S78" i="81"/>
  <c r="R78" i="81"/>
  <c r="Q78" i="81"/>
  <c r="P78" i="81"/>
  <c r="O78" i="81"/>
  <c r="A78" i="81"/>
  <c r="V77" i="81"/>
  <c r="U77" i="81"/>
  <c r="T77" i="81"/>
  <c r="S77" i="81"/>
  <c r="R77" i="81"/>
  <c r="Q77" i="81"/>
  <c r="P77" i="81"/>
  <c r="O77" i="81"/>
  <c r="A77" i="81"/>
  <c r="V76" i="81"/>
  <c r="U76" i="81"/>
  <c r="T76" i="81"/>
  <c r="S76" i="81"/>
  <c r="R76" i="81"/>
  <c r="Q76" i="81"/>
  <c r="P76" i="81"/>
  <c r="O76" i="81"/>
  <c r="A76" i="81"/>
  <c r="V75" i="81"/>
  <c r="U75" i="81"/>
  <c r="T75" i="81"/>
  <c r="S75" i="81"/>
  <c r="R75" i="81"/>
  <c r="Q75" i="81"/>
  <c r="P75" i="81"/>
  <c r="O75" i="81"/>
  <c r="A75" i="81"/>
  <c r="V74" i="81"/>
  <c r="U74" i="81"/>
  <c r="T74" i="81"/>
  <c r="S74" i="81"/>
  <c r="R74" i="81"/>
  <c r="Q74" i="81"/>
  <c r="P74" i="81"/>
  <c r="O74" i="81"/>
  <c r="A74" i="81"/>
  <c r="V73" i="81"/>
  <c r="U73" i="81"/>
  <c r="T73" i="81"/>
  <c r="S73" i="81"/>
  <c r="R73" i="81"/>
  <c r="Q73" i="81"/>
  <c r="P73" i="81"/>
  <c r="O73" i="81"/>
  <c r="A73" i="81"/>
  <c r="V72" i="81"/>
  <c r="U72" i="81"/>
  <c r="T72" i="81"/>
  <c r="S72" i="81"/>
  <c r="R72" i="81"/>
  <c r="Q72" i="81"/>
  <c r="P72" i="81"/>
  <c r="O72" i="81"/>
  <c r="A72" i="81"/>
  <c r="V71" i="81"/>
  <c r="U71" i="81"/>
  <c r="T71" i="81"/>
  <c r="S71" i="81"/>
  <c r="R71" i="81"/>
  <c r="Q71" i="81"/>
  <c r="P71" i="81"/>
  <c r="O71" i="81"/>
  <c r="L71" i="81"/>
  <c r="K71" i="81"/>
  <c r="J71" i="81"/>
  <c r="I71" i="81"/>
  <c r="H71" i="81"/>
  <c r="G71" i="81"/>
  <c r="F71" i="81"/>
  <c r="E71" i="81"/>
  <c r="D71" i="81"/>
  <c r="C71" i="81"/>
  <c r="A71" i="81"/>
  <c r="V70" i="81"/>
  <c r="U70" i="81"/>
  <c r="T70" i="81"/>
  <c r="S70" i="81"/>
  <c r="R70" i="81"/>
  <c r="Q70" i="81"/>
  <c r="P70" i="81"/>
  <c r="O70" i="81"/>
  <c r="A70" i="81"/>
  <c r="L69" i="81"/>
  <c r="K69" i="81"/>
  <c r="J69" i="81"/>
  <c r="I69" i="81"/>
  <c r="H69" i="81"/>
  <c r="G69" i="81"/>
  <c r="F69" i="81"/>
  <c r="E69" i="81"/>
  <c r="D69" i="81"/>
  <c r="C69" i="81"/>
  <c r="A69" i="81"/>
  <c r="V68" i="81"/>
  <c r="U68" i="81"/>
  <c r="T68" i="81"/>
  <c r="S68" i="81"/>
  <c r="R68" i="81"/>
  <c r="Q68" i="81"/>
  <c r="P68" i="81"/>
  <c r="O68" i="81"/>
  <c r="D68" i="81"/>
  <c r="C68" i="81"/>
  <c r="A68" i="81"/>
  <c r="V67" i="81"/>
  <c r="U67" i="81"/>
  <c r="T67" i="81"/>
  <c r="S67" i="81"/>
  <c r="R67" i="81"/>
  <c r="Q67" i="81"/>
  <c r="P67" i="81"/>
  <c r="O67" i="81"/>
  <c r="A67" i="81"/>
  <c r="V66" i="81"/>
  <c r="U66" i="81"/>
  <c r="T66" i="81"/>
  <c r="S66" i="81"/>
  <c r="R66" i="81"/>
  <c r="Q66" i="81"/>
  <c r="P66" i="81"/>
  <c r="O66" i="81"/>
  <c r="A66" i="81"/>
  <c r="D65" i="81"/>
  <c r="C65" i="81"/>
  <c r="A65" i="81"/>
  <c r="V64" i="81"/>
  <c r="U64" i="81"/>
  <c r="T64" i="81"/>
  <c r="S64" i="81"/>
  <c r="R64" i="81"/>
  <c r="Q64" i="81"/>
  <c r="P64" i="81"/>
  <c r="O64" i="81"/>
  <c r="D64" i="81"/>
  <c r="C64" i="81"/>
  <c r="A64" i="81"/>
  <c r="V63" i="81"/>
  <c r="U63" i="81"/>
  <c r="T63" i="81"/>
  <c r="S63" i="81"/>
  <c r="R63" i="81"/>
  <c r="Q63" i="81"/>
  <c r="P63" i="81"/>
  <c r="O63" i="81"/>
  <c r="A63" i="81"/>
  <c r="V62" i="81"/>
  <c r="U62" i="81"/>
  <c r="T62" i="81"/>
  <c r="S62" i="81"/>
  <c r="R62" i="81"/>
  <c r="Q62" i="81"/>
  <c r="P62" i="81"/>
  <c r="O62" i="81"/>
  <c r="A62" i="81"/>
  <c r="V61" i="81"/>
  <c r="U61" i="81"/>
  <c r="T61" i="81"/>
  <c r="S61" i="81"/>
  <c r="R61" i="81"/>
  <c r="Q61" i="81"/>
  <c r="P61" i="81"/>
  <c r="O61" i="81"/>
  <c r="A61" i="81"/>
  <c r="V60" i="81"/>
  <c r="U60" i="81"/>
  <c r="T60" i="81"/>
  <c r="S60" i="81"/>
  <c r="R60" i="81"/>
  <c r="Q60" i="81"/>
  <c r="P60" i="81"/>
  <c r="O60" i="81"/>
  <c r="A60" i="81"/>
  <c r="V59" i="81"/>
  <c r="U59" i="81"/>
  <c r="T59" i="81"/>
  <c r="S59" i="81"/>
  <c r="R59" i="81"/>
  <c r="Q59" i="81"/>
  <c r="P59" i="81"/>
  <c r="O59" i="81"/>
  <c r="A59" i="81"/>
  <c r="V58" i="81"/>
  <c r="U58" i="81"/>
  <c r="T58" i="81"/>
  <c r="S58" i="81"/>
  <c r="R58" i="81"/>
  <c r="Q58" i="81"/>
  <c r="P58" i="81"/>
  <c r="O58" i="81"/>
  <c r="D58" i="81"/>
  <c r="C58" i="81"/>
  <c r="A58" i="81"/>
  <c r="V57" i="81"/>
  <c r="U57" i="81"/>
  <c r="T57" i="81"/>
  <c r="S57" i="81"/>
  <c r="R57" i="81"/>
  <c r="Q57" i="81"/>
  <c r="P57" i="81"/>
  <c r="O57" i="81"/>
  <c r="C57" i="81"/>
  <c r="D57" i="81" s="1"/>
  <c r="A57" i="81"/>
  <c r="V56" i="81"/>
  <c r="U56" i="81"/>
  <c r="T56" i="81"/>
  <c r="S56" i="81"/>
  <c r="R56" i="81"/>
  <c r="Q56" i="81"/>
  <c r="P56" i="81"/>
  <c r="O56" i="81"/>
  <c r="A56" i="81"/>
  <c r="V55" i="81"/>
  <c r="U55" i="81"/>
  <c r="T55" i="81"/>
  <c r="S55" i="81"/>
  <c r="R55" i="81"/>
  <c r="Q55" i="81"/>
  <c r="P55" i="81"/>
  <c r="O55" i="81"/>
  <c r="A55" i="81"/>
  <c r="V54" i="81"/>
  <c r="U54" i="81"/>
  <c r="T54" i="81"/>
  <c r="S54" i="81"/>
  <c r="R54" i="81"/>
  <c r="Q54" i="81"/>
  <c r="P54" i="81"/>
  <c r="O54" i="81"/>
  <c r="A54" i="81"/>
  <c r="V53" i="81"/>
  <c r="U53" i="81"/>
  <c r="T53" i="81"/>
  <c r="S53" i="81"/>
  <c r="R53" i="81"/>
  <c r="Q53" i="81"/>
  <c r="P53" i="81"/>
  <c r="O53" i="81"/>
  <c r="L53" i="81"/>
  <c r="K53" i="81"/>
  <c r="J53" i="81"/>
  <c r="I53" i="81"/>
  <c r="H53" i="81"/>
  <c r="G53" i="81"/>
  <c r="F53" i="81"/>
  <c r="E53" i="81"/>
  <c r="D53" i="81"/>
  <c r="C53" i="81"/>
  <c r="A53" i="81"/>
  <c r="V52" i="81"/>
  <c r="U52" i="81"/>
  <c r="T52" i="81"/>
  <c r="S52" i="81"/>
  <c r="R52" i="81"/>
  <c r="Q52" i="81"/>
  <c r="P52" i="81"/>
  <c r="O52" i="81"/>
  <c r="L52" i="81"/>
  <c r="K52" i="81"/>
  <c r="J52" i="81"/>
  <c r="I52" i="81"/>
  <c r="H52" i="81"/>
  <c r="G52" i="81"/>
  <c r="F52" i="81"/>
  <c r="E52" i="81"/>
  <c r="D52" i="81"/>
  <c r="C52" i="81"/>
  <c r="A52" i="81"/>
  <c r="V51" i="81"/>
  <c r="U51" i="81"/>
  <c r="T51" i="81"/>
  <c r="S51" i="81"/>
  <c r="R51" i="81"/>
  <c r="Q51" i="81"/>
  <c r="P51" i="81"/>
  <c r="O51" i="81"/>
  <c r="A51" i="81"/>
  <c r="V50" i="81"/>
  <c r="U50" i="81"/>
  <c r="T50" i="81"/>
  <c r="S50" i="81"/>
  <c r="R50" i="81"/>
  <c r="Q50" i="81"/>
  <c r="P50" i="81"/>
  <c r="O50" i="81"/>
  <c r="A50" i="81"/>
  <c r="V49" i="81"/>
  <c r="U49" i="81"/>
  <c r="T49" i="81"/>
  <c r="S49" i="81"/>
  <c r="R49" i="81"/>
  <c r="Q49" i="81"/>
  <c r="P49" i="81"/>
  <c r="O49" i="81"/>
  <c r="A49" i="81"/>
  <c r="V48" i="81"/>
  <c r="U48" i="81"/>
  <c r="T48" i="81"/>
  <c r="S48" i="81"/>
  <c r="R48" i="81"/>
  <c r="Q48" i="81"/>
  <c r="P48" i="81"/>
  <c r="O48" i="81"/>
  <c r="A48" i="81"/>
  <c r="V47" i="81"/>
  <c r="U47" i="81"/>
  <c r="T47" i="81"/>
  <c r="S47" i="81"/>
  <c r="R47" i="81"/>
  <c r="Q47" i="81"/>
  <c r="P47" i="81"/>
  <c r="O47" i="81"/>
  <c r="A47" i="81"/>
  <c r="V46" i="81"/>
  <c r="U46" i="81"/>
  <c r="T46" i="81"/>
  <c r="S46" i="81"/>
  <c r="R46" i="81"/>
  <c r="Q46" i="81"/>
  <c r="P46" i="81"/>
  <c r="O46" i="81"/>
  <c r="A46" i="81"/>
  <c r="V45" i="81"/>
  <c r="U45" i="81"/>
  <c r="T45" i="81"/>
  <c r="S45" i="81"/>
  <c r="R45" i="81"/>
  <c r="Q45" i="81"/>
  <c r="P45" i="81"/>
  <c r="O45" i="81"/>
  <c r="A45" i="81"/>
  <c r="V44" i="81"/>
  <c r="U44" i="81"/>
  <c r="T44" i="81"/>
  <c r="S44" i="81"/>
  <c r="R44" i="81"/>
  <c r="Q44" i="81"/>
  <c r="P44" i="81"/>
  <c r="O44" i="81"/>
  <c r="A44" i="81"/>
  <c r="V43" i="81"/>
  <c r="U43" i="81"/>
  <c r="T43" i="81"/>
  <c r="S43" i="81"/>
  <c r="R43" i="81"/>
  <c r="Q43" i="81"/>
  <c r="P43" i="81"/>
  <c r="O43" i="81"/>
  <c r="L43" i="81"/>
  <c r="K43" i="81"/>
  <c r="J43" i="81"/>
  <c r="I43" i="81"/>
  <c r="H43" i="81"/>
  <c r="G43" i="81"/>
  <c r="F43" i="81"/>
  <c r="E43" i="81"/>
  <c r="D43" i="81"/>
  <c r="C43" i="81"/>
  <c r="A43" i="81"/>
  <c r="V42" i="81"/>
  <c r="U42" i="81"/>
  <c r="T42" i="81"/>
  <c r="S42" i="81"/>
  <c r="R42" i="81"/>
  <c r="Q42" i="81"/>
  <c r="P42" i="81"/>
  <c r="O42" i="81"/>
  <c r="L42" i="81"/>
  <c r="K42" i="81"/>
  <c r="J42" i="81"/>
  <c r="I42" i="81"/>
  <c r="H42" i="81"/>
  <c r="G42" i="81"/>
  <c r="F42" i="81"/>
  <c r="E42" i="81"/>
  <c r="D42" i="81"/>
  <c r="C42" i="81"/>
  <c r="A42" i="81"/>
  <c r="V41" i="81"/>
  <c r="U41" i="81"/>
  <c r="T41" i="81"/>
  <c r="S41" i="81"/>
  <c r="R41" i="81"/>
  <c r="Q41" i="81"/>
  <c r="P41" i="81"/>
  <c r="O41" i="81"/>
  <c r="L41" i="81"/>
  <c r="K41" i="81"/>
  <c r="J41" i="81"/>
  <c r="I41" i="81"/>
  <c r="H41" i="81"/>
  <c r="G41" i="81"/>
  <c r="F41" i="81"/>
  <c r="E41" i="81"/>
  <c r="D41" i="81"/>
  <c r="C41" i="81"/>
  <c r="A41" i="81"/>
  <c r="V40" i="81"/>
  <c r="U40" i="81"/>
  <c r="T40" i="81"/>
  <c r="S40" i="81"/>
  <c r="R40" i="81"/>
  <c r="Q40" i="81"/>
  <c r="P40" i="81"/>
  <c r="O40" i="81"/>
  <c r="A40" i="81"/>
  <c r="V39" i="81"/>
  <c r="U39" i="81"/>
  <c r="T39" i="81"/>
  <c r="S39" i="81"/>
  <c r="R39" i="81"/>
  <c r="Q39" i="81"/>
  <c r="P39" i="81"/>
  <c r="O39" i="81"/>
  <c r="L39" i="81"/>
  <c r="K39" i="81"/>
  <c r="J39" i="81"/>
  <c r="I39" i="81"/>
  <c r="H39" i="81"/>
  <c r="G39" i="81"/>
  <c r="F39" i="81"/>
  <c r="E39" i="81"/>
  <c r="D39" i="81"/>
  <c r="C39" i="81"/>
  <c r="A39" i="81"/>
  <c r="V38" i="81"/>
  <c r="U38" i="81"/>
  <c r="T38" i="81"/>
  <c r="S38" i="81"/>
  <c r="R38" i="81"/>
  <c r="Q38" i="81"/>
  <c r="P38" i="81"/>
  <c r="O38" i="81"/>
  <c r="A38" i="81"/>
  <c r="V37" i="81"/>
  <c r="U37" i="81"/>
  <c r="T37" i="81"/>
  <c r="S37" i="81"/>
  <c r="R37" i="81"/>
  <c r="Q37" i="81"/>
  <c r="P37" i="81"/>
  <c r="O37" i="81"/>
  <c r="L37" i="81"/>
  <c r="K37" i="81"/>
  <c r="J37" i="81"/>
  <c r="I37" i="81"/>
  <c r="H37" i="81"/>
  <c r="G37" i="81"/>
  <c r="F37" i="81"/>
  <c r="E37" i="81"/>
  <c r="D37" i="81"/>
  <c r="C37" i="81"/>
  <c r="A37" i="81"/>
  <c r="V36" i="81"/>
  <c r="U36" i="81"/>
  <c r="T36" i="81"/>
  <c r="S36" i="81"/>
  <c r="R36" i="81"/>
  <c r="Q36" i="81"/>
  <c r="P36" i="81"/>
  <c r="O36" i="81"/>
  <c r="D36" i="81"/>
  <c r="C36" i="81"/>
  <c r="A36" i="81"/>
  <c r="V35" i="81"/>
  <c r="U35" i="81"/>
  <c r="T35" i="81"/>
  <c r="S35" i="81"/>
  <c r="R35" i="81"/>
  <c r="Q35" i="81"/>
  <c r="P35" i="81"/>
  <c r="O35" i="81"/>
  <c r="A35" i="81"/>
  <c r="V34" i="81"/>
  <c r="U34" i="81"/>
  <c r="T34" i="81"/>
  <c r="S34" i="81"/>
  <c r="R34" i="81"/>
  <c r="Q34" i="81"/>
  <c r="P34" i="81"/>
  <c r="O34" i="81"/>
  <c r="L34" i="81"/>
  <c r="K34" i="81"/>
  <c r="J34" i="81"/>
  <c r="I34" i="81"/>
  <c r="H34" i="81"/>
  <c r="G34" i="81"/>
  <c r="F34" i="81"/>
  <c r="E34" i="81"/>
  <c r="D34" i="81"/>
  <c r="C34" i="81"/>
  <c r="A34" i="81"/>
  <c r="V33" i="81"/>
  <c r="U33" i="81"/>
  <c r="T33" i="81"/>
  <c r="S33" i="81"/>
  <c r="R33" i="81"/>
  <c r="Q33" i="81"/>
  <c r="P33" i="81"/>
  <c r="O33" i="81"/>
  <c r="L33" i="81"/>
  <c r="K33" i="81"/>
  <c r="J33" i="81"/>
  <c r="I33" i="81"/>
  <c r="H33" i="81"/>
  <c r="G33" i="81"/>
  <c r="F33" i="81"/>
  <c r="E33" i="81"/>
  <c r="T32" i="81"/>
  <c r="S32" i="81"/>
  <c r="V31" i="81"/>
  <c r="U31" i="81"/>
  <c r="T31" i="81"/>
  <c r="S31" i="81"/>
  <c r="R31" i="81"/>
  <c r="Q31" i="81"/>
  <c r="P31" i="81"/>
  <c r="O31" i="81"/>
  <c r="N31" i="81"/>
  <c r="M31" i="81"/>
  <c r="J20" i="81"/>
  <c r="I20" i="81"/>
  <c r="H20" i="81"/>
  <c r="G20" i="81"/>
  <c r="J19" i="81"/>
  <c r="I19" i="81"/>
  <c r="H19" i="81"/>
  <c r="G19" i="81"/>
  <c r="J18" i="81"/>
  <c r="I18" i="81"/>
  <c r="H18" i="81"/>
  <c r="G18" i="81"/>
  <c r="J17" i="81"/>
  <c r="I17" i="81"/>
  <c r="H17" i="81"/>
  <c r="G17" i="81"/>
  <c r="J16" i="81"/>
  <c r="I16" i="81"/>
  <c r="H16" i="81"/>
  <c r="G16" i="81"/>
  <c r="J15" i="81"/>
  <c r="I15" i="81"/>
  <c r="H15" i="81"/>
  <c r="G15" i="81"/>
  <c r="J14" i="81"/>
  <c r="I14" i="81"/>
  <c r="H14" i="81"/>
  <c r="G14" i="81"/>
  <c r="J13" i="81"/>
  <c r="I13" i="81"/>
  <c r="H13" i="81"/>
  <c r="G13" i="81"/>
  <c r="J12" i="81"/>
  <c r="H12" i="81"/>
  <c r="G12" i="81"/>
  <c r="J11" i="81"/>
  <c r="H11" i="81"/>
  <c r="G11" i="81"/>
  <c r="E7" i="81"/>
  <c r="B7" i="81"/>
  <c r="J137" i="80"/>
  <c r="I137" i="80"/>
  <c r="H137" i="80"/>
  <c r="M136" i="80"/>
  <c r="J136" i="80"/>
  <c r="H136" i="80"/>
  <c r="M135" i="80"/>
  <c r="J135" i="80"/>
  <c r="H135" i="80"/>
  <c r="M134" i="80"/>
  <c r="J134" i="80"/>
  <c r="H134" i="80"/>
  <c r="M133" i="80"/>
  <c r="J133" i="80"/>
  <c r="H133" i="80"/>
  <c r="M132" i="80"/>
  <c r="J132" i="80"/>
  <c r="H132" i="80"/>
  <c r="F132" i="80"/>
  <c r="M131" i="80"/>
  <c r="J131" i="80"/>
  <c r="H131" i="80"/>
  <c r="F131" i="80"/>
  <c r="M130" i="80"/>
  <c r="J130" i="80"/>
  <c r="H130" i="80"/>
  <c r="F130" i="80"/>
  <c r="M129" i="80"/>
  <c r="J129" i="80"/>
  <c r="H129" i="80"/>
  <c r="F129" i="80"/>
  <c r="M128" i="80"/>
  <c r="J128" i="80"/>
  <c r="H128" i="80"/>
  <c r="F128" i="80"/>
  <c r="M127" i="80"/>
  <c r="J127" i="80"/>
  <c r="H127" i="80"/>
  <c r="F127" i="80"/>
  <c r="M126" i="80"/>
  <c r="J126" i="80"/>
  <c r="H126" i="80"/>
  <c r="F126" i="80"/>
  <c r="M125" i="80"/>
  <c r="J125" i="80"/>
  <c r="H125" i="80"/>
  <c r="F125" i="80"/>
  <c r="C115" i="80"/>
  <c r="V103" i="80"/>
  <c r="U103" i="80"/>
  <c r="T103" i="80"/>
  <c r="S103" i="80"/>
  <c r="R103" i="80"/>
  <c r="Q103" i="80"/>
  <c r="P103" i="80"/>
  <c r="O103" i="80"/>
  <c r="A103" i="80"/>
  <c r="V102" i="80"/>
  <c r="U102" i="80"/>
  <c r="T102" i="80"/>
  <c r="S102" i="80"/>
  <c r="R102" i="80"/>
  <c r="Q102" i="80"/>
  <c r="P102" i="80"/>
  <c r="O102" i="80"/>
  <c r="A102" i="80"/>
  <c r="V101" i="80"/>
  <c r="U101" i="80"/>
  <c r="T101" i="80"/>
  <c r="S101" i="80"/>
  <c r="R101" i="80"/>
  <c r="Q101" i="80"/>
  <c r="P101" i="80"/>
  <c r="O101" i="80"/>
  <c r="A101" i="80"/>
  <c r="V100" i="80"/>
  <c r="U100" i="80"/>
  <c r="T100" i="80"/>
  <c r="S100" i="80"/>
  <c r="R100" i="80"/>
  <c r="Q100" i="80"/>
  <c r="P100" i="80"/>
  <c r="O100" i="80"/>
  <c r="A100" i="80"/>
  <c r="V99" i="80"/>
  <c r="U99" i="80"/>
  <c r="T99" i="80"/>
  <c r="S99" i="80"/>
  <c r="R99" i="80"/>
  <c r="Q99" i="80"/>
  <c r="P99" i="80"/>
  <c r="O99" i="80"/>
  <c r="A99" i="80"/>
  <c r="V98" i="80"/>
  <c r="U98" i="80"/>
  <c r="T98" i="80"/>
  <c r="S98" i="80"/>
  <c r="R98" i="80"/>
  <c r="Q98" i="80"/>
  <c r="P98" i="80"/>
  <c r="O98" i="80"/>
  <c r="A98" i="80"/>
  <c r="V97" i="80"/>
  <c r="U97" i="80"/>
  <c r="T97" i="80"/>
  <c r="S97" i="80"/>
  <c r="R97" i="80"/>
  <c r="Q97" i="80"/>
  <c r="P97" i="80"/>
  <c r="O97" i="80"/>
  <c r="A97" i="80"/>
  <c r="V96" i="80"/>
  <c r="U96" i="80"/>
  <c r="T96" i="80"/>
  <c r="S96" i="80"/>
  <c r="R96" i="80"/>
  <c r="Q96" i="80"/>
  <c r="P96" i="80"/>
  <c r="O96" i="80"/>
  <c r="A96" i="80"/>
  <c r="V95" i="80"/>
  <c r="U95" i="80"/>
  <c r="T95" i="80"/>
  <c r="S95" i="80"/>
  <c r="R95" i="80"/>
  <c r="Q95" i="80"/>
  <c r="P95" i="80"/>
  <c r="O95" i="80"/>
  <c r="A95" i="80"/>
  <c r="V94" i="80"/>
  <c r="U94" i="80"/>
  <c r="T94" i="80"/>
  <c r="S94" i="80"/>
  <c r="R94" i="80"/>
  <c r="Q94" i="80"/>
  <c r="P94" i="80"/>
  <c r="O94" i="80"/>
  <c r="A94" i="80"/>
  <c r="V93" i="80"/>
  <c r="U93" i="80"/>
  <c r="T93" i="80"/>
  <c r="S93" i="80"/>
  <c r="R93" i="80"/>
  <c r="Q93" i="80"/>
  <c r="P93" i="80"/>
  <c r="O93" i="80"/>
  <c r="A93" i="80"/>
  <c r="V92" i="80"/>
  <c r="U92" i="80"/>
  <c r="T92" i="80"/>
  <c r="S92" i="80"/>
  <c r="R92" i="80"/>
  <c r="Q92" i="80"/>
  <c r="P92" i="80"/>
  <c r="O92" i="80"/>
  <c r="A92" i="80"/>
  <c r="V91" i="80"/>
  <c r="U91" i="80"/>
  <c r="T91" i="80"/>
  <c r="S91" i="80"/>
  <c r="R91" i="80"/>
  <c r="Q91" i="80"/>
  <c r="P91" i="80"/>
  <c r="O91" i="80"/>
  <c r="A91" i="80"/>
  <c r="V90" i="80"/>
  <c r="U90" i="80"/>
  <c r="T90" i="80"/>
  <c r="S90" i="80"/>
  <c r="R90" i="80"/>
  <c r="Q90" i="80"/>
  <c r="P90" i="80"/>
  <c r="O90" i="80"/>
  <c r="A90" i="80"/>
  <c r="V89" i="80"/>
  <c r="U89" i="80"/>
  <c r="T89" i="80"/>
  <c r="S89" i="80"/>
  <c r="R89" i="80"/>
  <c r="Q89" i="80"/>
  <c r="P89" i="80"/>
  <c r="O89" i="80"/>
  <c r="A89" i="80"/>
  <c r="V88" i="80"/>
  <c r="U88" i="80"/>
  <c r="T88" i="80"/>
  <c r="S88" i="80"/>
  <c r="R88" i="80"/>
  <c r="Q88" i="80"/>
  <c r="P88" i="80"/>
  <c r="O88" i="80"/>
  <c r="A88" i="80"/>
  <c r="V87" i="80"/>
  <c r="U87" i="80"/>
  <c r="T87" i="80"/>
  <c r="S87" i="80"/>
  <c r="R87" i="80"/>
  <c r="Q87" i="80"/>
  <c r="P87" i="80"/>
  <c r="O87" i="80"/>
  <c r="A87" i="80"/>
  <c r="V86" i="80"/>
  <c r="U86" i="80"/>
  <c r="T86" i="80"/>
  <c r="S86" i="80"/>
  <c r="R86" i="80"/>
  <c r="Q86" i="80"/>
  <c r="P86" i="80"/>
  <c r="O86" i="80"/>
  <c r="A86" i="80"/>
  <c r="V85" i="80"/>
  <c r="U85" i="80"/>
  <c r="T85" i="80"/>
  <c r="S85" i="80"/>
  <c r="R85" i="80"/>
  <c r="Q85" i="80"/>
  <c r="P85" i="80"/>
  <c r="O85" i="80"/>
  <c r="A85" i="80"/>
  <c r="V84" i="80"/>
  <c r="U84" i="80"/>
  <c r="T84" i="80"/>
  <c r="S84" i="80"/>
  <c r="R84" i="80"/>
  <c r="Q84" i="80"/>
  <c r="P84" i="80"/>
  <c r="O84" i="80"/>
  <c r="A84" i="80"/>
  <c r="V83" i="80"/>
  <c r="U83" i="80"/>
  <c r="T83" i="80"/>
  <c r="S83" i="80"/>
  <c r="R83" i="80"/>
  <c r="Q83" i="80"/>
  <c r="P83" i="80"/>
  <c r="O83" i="80"/>
  <c r="A83" i="80"/>
  <c r="V82" i="80"/>
  <c r="U82" i="80"/>
  <c r="T82" i="80"/>
  <c r="S82" i="80"/>
  <c r="R82" i="80"/>
  <c r="Q82" i="80"/>
  <c r="P82" i="80"/>
  <c r="O82" i="80"/>
  <c r="L82" i="80"/>
  <c r="K82" i="80"/>
  <c r="J82" i="80"/>
  <c r="I82" i="80"/>
  <c r="H82" i="80"/>
  <c r="G82" i="80"/>
  <c r="F82" i="80"/>
  <c r="A82" i="80"/>
  <c r="V81" i="80"/>
  <c r="U81" i="80"/>
  <c r="T81" i="80"/>
  <c r="S81" i="80"/>
  <c r="R81" i="80"/>
  <c r="Q81" i="80"/>
  <c r="P81" i="80"/>
  <c r="O81" i="80"/>
  <c r="A81" i="80"/>
  <c r="V80" i="80"/>
  <c r="U80" i="80"/>
  <c r="T80" i="80"/>
  <c r="S80" i="80"/>
  <c r="R80" i="80"/>
  <c r="Q80" i="80"/>
  <c r="P80" i="80"/>
  <c r="O80" i="80"/>
  <c r="A80" i="80"/>
  <c r="V79" i="80"/>
  <c r="U79" i="80"/>
  <c r="T79" i="80"/>
  <c r="S79" i="80"/>
  <c r="R79" i="80"/>
  <c r="Q79" i="80"/>
  <c r="P79" i="80"/>
  <c r="O79" i="80"/>
  <c r="A79" i="80"/>
  <c r="V78" i="80"/>
  <c r="U78" i="80"/>
  <c r="T78" i="80"/>
  <c r="S78" i="80"/>
  <c r="R78" i="80"/>
  <c r="Q78" i="80"/>
  <c r="P78" i="80"/>
  <c r="O78" i="80"/>
  <c r="A78" i="80"/>
  <c r="V77" i="80"/>
  <c r="U77" i="80"/>
  <c r="T77" i="80"/>
  <c r="S77" i="80"/>
  <c r="R77" i="80"/>
  <c r="Q77" i="80"/>
  <c r="P77" i="80"/>
  <c r="O77" i="80"/>
  <c r="A77" i="80"/>
  <c r="V76" i="80"/>
  <c r="U76" i="80"/>
  <c r="T76" i="80"/>
  <c r="S76" i="80"/>
  <c r="R76" i="80"/>
  <c r="Q76" i="80"/>
  <c r="P76" i="80"/>
  <c r="O76" i="80"/>
  <c r="A76" i="80"/>
  <c r="V75" i="80"/>
  <c r="U75" i="80"/>
  <c r="T75" i="80"/>
  <c r="S75" i="80"/>
  <c r="R75" i="80"/>
  <c r="Q75" i="80"/>
  <c r="P75" i="80"/>
  <c r="O75" i="80"/>
  <c r="A75" i="80"/>
  <c r="V74" i="80"/>
  <c r="U74" i="80"/>
  <c r="T74" i="80"/>
  <c r="S74" i="80"/>
  <c r="R74" i="80"/>
  <c r="Q74" i="80"/>
  <c r="P74" i="80"/>
  <c r="O74" i="80"/>
  <c r="A74" i="80"/>
  <c r="V73" i="80"/>
  <c r="U73" i="80"/>
  <c r="T73" i="80"/>
  <c r="S73" i="80"/>
  <c r="R73" i="80"/>
  <c r="Q73" i="80"/>
  <c r="P73" i="80"/>
  <c r="O73" i="80"/>
  <c r="A73" i="80"/>
  <c r="V72" i="80"/>
  <c r="U72" i="80"/>
  <c r="T72" i="80"/>
  <c r="S72" i="80"/>
  <c r="R72" i="80"/>
  <c r="Q72" i="80"/>
  <c r="P72" i="80"/>
  <c r="O72" i="80"/>
  <c r="A72" i="80"/>
  <c r="V71" i="80"/>
  <c r="U71" i="80"/>
  <c r="T71" i="80"/>
  <c r="S71" i="80"/>
  <c r="R71" i="80"/>
  <c r="Q71" i="80"/>
  <c r="P71" i="80"/>
  <c r="O71" i="80"/>
  <c r="L71" i="80"/>
  <c r="K71" i="80"/>
  <c r="J71" i="80"/>
  <c r="I71" i="80"/>
  <c r="H71" i="80"/>
  <c r="G71" i="80"/>
  <c r="F71" i="80"/>
  <c r="E71" i="80"/>
  <c r="D71" i="80"/>
  <c r="C71" i="80"/>
  <c r="A71" i="80"/>
  <c r="V70" i="80"/>
  <c r="U70" i="80"/>
  <c r="T70" i="80"/>
  <c r="S70" i="80"/>
  <c r="R70" i="80"/>
  <c r="Q70" i="80"/>
  <c r="P70" i="80"/>
  <c r="O70" i="80"/>
  <c r="A70" i="80"/>
  <c r="L69" i="80"/>
  <c r="K69" i="80"/>
  <c r="J69" i="80"/>
  <c r="I69" i="80"/>
  <c r="H69" i="80"/>
  <c r="G69" i="80"/>
  <c r="F69" i="80"/>
  <c r="E69" i="80"/>
  <c r="D69" i="80"/>
  <c r="C69" i="80"/>
  <c r="A69" i="80"/>
  <c r="V68" i="80"/>
  <c r="U68" i="80"/>
  <c r="T68" i="80"/>
  <c r="S68" i="80"/>
  <c r="R68" i="80"/>
  <c r="Q68" i="80"/>
  <c r="P68" i="80"/>
  <c r="O68" i="80"/>
  <c r="D68" i="80"/>
  <c r="C68" i="80"/>
  <c r="A68" i="80"/>
  <c r="V67" i="80"/>
  <c r="U67" i="80"/>
  <c r="T67" i="80"/>
  <c r="S67" i="80"/>
  <c r="R67" i="80"/>
  <c r="Q67" i="80"/>
  <c r="P67" i="80"/>
  <c r="O67" i="80"/>
  <c r="A67" i="80"/>
  <c r="V66" i="80"/>
  <c r="U66" i="80"/>
  <c r="T66" i="80"/>
  <c r="S66" i="80"/>
  <c r="R66" i="80"/>
  <c r="Q66" i="80"/>
  <c r="P66" i="80"/>
  <c r="O66" i="80"/>
  <c r="A66" i="80"/>
  <c r="D65" i="80"/>
  <c r="C65" i="80"/>
  <c r="A65" i="80"/>
  <c r="V64" i="80"/>
  <c r="U64" i="80"/>
  <c r="T64" i="80"/>
  <c r="S64" i="80"/>
  <c r="R64" i="80"/>
  <c r="Q64" i="80"/>
  <c r="P64" i="80"/>
  <c r="O64" i="80"/>
  <c r="D64" i="80"/>
  <c r="C64" i="80"/>
  <c r="A64" i="80"/>
  <c r="V63" i="80"/>
  <c r="U63" i="80"/>
  <c r="T63" i="80"/>
  <c r="S63" i="80"/>
  <c r="R63" i="80"/>
  <c r="Q63" i="80"/>
  <c r="P63" i="80"/>
  <c r="O63" i="80"/>
  <c r="A63" i="80"/>
  <c r="V62" i="80"/>
  <c r="U62" i="80"/>
  <c r="T62" i="80"/>
  <c r="S62" i="80"/>
  <c r="R62" i="80"/>
  <c r="Q62" i="80"/>
  <c r="P62" i="80"/>
  <c r="O62" i="80"/>
  <c r="A62" i="80"/>
  <c r="V61" i="80"/>
  <c r="U61" i="80"/>
  <c r="T61" i="80"/>
  <c r="S61" i="80"/>
  <c r="R61" i="80"/>
  <c r="Q61" i="80"/>
  <c r="P61" i="80"/>
  <c r="O61" i="80"/>
  <c r="A61" i="80"/>
  <c r="V60" i="80"/>
  <c r="U60" i="80"/>
  <c r="T60" i="80"/>
  <c r="S60" i="80"/>
  <c r="R60" i="80"/>
  <c r="Q60" i="80"/>
  <c r="P60" i="80"/>
  <c r="O60" i="80"/>
  <c r="A60" i="80"/>
  <c r="V59" i="80"/>
  <c r="U59" i="80"/>
  <c r="T59" i="80"/>
  <c r="S59" i="80"/>
  <c r="R59" i="80"/>
  <c r="Q59" i="80"/>
  <c r="P59" i="80"/>
  <c r="O59" i="80"/>
  <c r="A59" i="80"/>
  <c r="V58" i="80"/>
  <c r="U58" i="80"/>
  <c r="T58" i="80"/>
  <c r="S58" i="80"/>
  <c r="R58" i="80"/>
  <c r="Q58" i="80"/>
  <c r="P58" i="80"/>
  <c r="O58" i="80"/>
  <c r="D58" i="80"/>
  <c r="C58" i="80"/>
  <c r="A58" i="80"/>
  <c r="V57" i="80"/>
  <c r="U57" i="80"/>
  <c r="T57" i="80"/>
  <c r="S57" i="80"/>
  <c r="R57" i="80"/>
  <c r="Q57" i="80"/>
  <c r="P57" i="80"/>
  <c r="O57" i="80"/>
  <c r="C57" i="80"/>
  <c r="D57" i="80" s="1"/>
  <c r="A57" i="80"/>
  <c r="V56" i="80"/>
  <c r="U56" i="80"/>
  <c r="T56" i="80"/>
  <c r="S56" i="80"/>
  <c r="R56" i="80"/>
  <c r="Q56" i="80"/>
  <c r="P56" i="80"/>
  <c r="O56" i="80"/>
  <c r="A56" i="80"/>
  <c r="V55" i="80"/>
  <c r="U55" i="80"/>
  <c r="T55" i="80"/>
  <c r="S55" i="80"/>
  <c r="R55" i="80"/>
  <c r="Q55" i="80"/>
  <c r="P55" i="80"/>
  <c r="O55" i="80"/>
  <c r="A55" i="80"/>
  <c r="V54" i="80"/>
  <c r="U54" i="80"/>
  <c r="T54" i="80"/>
  <c r="S54" i="80"/>
  <c r="R54" i="80"/>
  <c r="Q54" i="80"/>
  <c r="P54" i="80"/>
  <c r="O54" i="80"/>
  <c r="D54" i="80"/>
  <c r="C54" i="80"/>
  <c r="A54" i="80"/>
  <c r="V53" i="80"/>
  <c r="U53" i="80"/>
  <c r="T53" i="80"/>
  <c r="S53" i="80"/>
  <c r="R53" i="80"/>
  <c r="Q53" i="80"/>
  <c r="P53" i="80"/>
  <c r="O53" i="80"/>
  <c r="L53" i="80"/>
  <c r="K53" i="80"/>
  <c r="J53" i="80"/>
  <c r="I53" i="80"/>
  <c r="H53" i="80"/>
  <c r="G53" i="80"/>
  <c r="F53" i="80"/>
  <c r="E53" i="80"/>
  <c r="D53" i="80"/>
  <c r="C53" i="80"/>
  <c r="A53" i="80"/>
  <c r="V52" i="80"/>
  <c r="U52" i="80"/>
  <c r="T52" i="80"/>
  <c r="S52" i="80"/>
  <c r="R52" i="80"/>
  <c r="Q52" i="80"/>
  <c r="P52" i="80"/>
  <c r="O52" i="80"/>
  <c r="L52" i="80"/>
  <c r="K52" i="80"/>
  <c r="J52" i="80"/>
  <c r="I52" i="80"/>
  <c r="H52" i="80"/>
  <c r="G52" i="80"/>
  <c r="F52" i="80"/>
  <c r="E52" i="80"/>
  <c r="D52" i="80"/>
  <c r="C52" i="80"/>
  <c r="A52" i="80"/>
  <c r="V51" i="80"/>
  <c r="U51" i="80"/>
  <c r="T51" i="80"/>
  <c r="S51" i="80"/>
  <c r="R51" i="80"/>
  <c r="Q51" i="80"/>
  <c r="P51" i="80"/>
  <c r="O51" i="80"/>
  <c r="A51" i="80"/>
  <c r="V50" i="80"/>
  <c r="U50" i="80"/>
  <c r="T50" i="80"/>
  <c r="S50" i="80"/>
  <c r="R50" i="80"/>
  <c r="Q50" i="80"/>
  <c r="P50" i="80"/>
  <c r="O50" i="80"/>
  <c r="A50" i="80"/>
  <c r="V49" i="80"/>
  <c r="U49" i="80"/>
  <c r="T49" i="80"/>
  <c r="S49" i="80"/>
  <c r="R49" i="80"/>
  <c r="Q49" i="80"/>
  <c r="P49" i="80"/>
  <c r="O49" i="80"/>
  <c r="A49" i="80"/>
  <c r="V48" i="80"/>
  <c r="U48" i="80"/>
  <c r="T48" i="80"/>
  <c r="S48" i="80"/>
  <c r="R48" i="80"/>
  <c r="Q48" i="80"/>
  <c r="P48" i="80"/>
  <c r="O48" i="80"/>
  <c r="A48" i="80"/>
  <c r="V47" i="80"/>
  <c r="U47" i="80"/>
  <c r="T47" i="80"/>
  <c r="S47" i="80"/>
  <c r="R47" i="80"/>
  <c r="Q47" i="80"/>
  <c r="P47" i="80"/>
  <c r="O47" i="80"/>
  <c r="A47" i="80"/>
  <c r="V46" i="80"/>
  <c r="U46" i="80"/>
  <c r="T46" i="80"/>
  <c r="S46" i="80"/>
  <c r="R46" i="80"/>
  <c r="Q46" i="80"/>
  <c r="P46" i="80"/>
  <c r="O46" i="80"/>
  <c r="A46" i="80"/>
  <c r="V45" i="80"/>
  <c r="U45" i="80"/>
  <c r="T45" i="80"/>
  <c r="S45" i="80"/>
  <c r="R45" i="80"/>
  <c r="Q45" i="80"/>
  <c r="P45" i="80"/>
  <c r="O45" i="80"/>
  <c r="A45" i="80"/>
  <c r="V44" i="80"/>
  <c r="U44" i="80"/>
  <c r="T44" i="80"/>
  <c r="S44" i="80"/>
  <c r="R44" i="80"/>
  <c r="Q44" i="80"/>
  <c r="P44" i="80"/>
  <c r="O44" i="80"/>
  <c r="A44" i="80"/>
  <c r="V43" i="80"/>
  <c r="U43" i="80"/>
  <c r="T43" i="80"/>
  <c r="S43" i="80"/>
  <c r="R43" i="80"/>
  <c r="Q43" i="80"/>
  <c r="P43" i="80"/>
  <c r="O43" i="80"/>
  <c r="L43" i="80"/>
  <c r="K43" i="80"/>
  <c r="J43" i="80"/>
  <c r="I43" i="80"/>
  <c r="H43" i="80"/>
  <c r="G43" i="80"/>
  <c r="F43" i="80"/>
  <c r="E43" i="80"/>
  <c r="D43" i="80"/>
  <c r="C43" i="80"/>
  <c r="A43" i="80"/>
  <c r="V42" i="80"/>
  <c r="U42" i="80"/>
  <c r="T42" i="80"/>
  <c r="S42" i="80"/>
  <c r="R42" i="80"/>
  <c r="Q42" i="80"/>
  <c r="P42" i="80"/>
  <c r="O42" i="80"/>
  <c r="L42" i="80"/>
  <c r="K42" i="80"/>
  <c r="J42" i="80"/>
  <c r="I42" i="80"/>
  <c r="H42" i="80"/>
  <c r="G42" i="80"/>
  <c r="F42" i="80"/>
  <c r="E42" i="80"/>
  <c r="D42" i="80"/>
  <c r="C42" i="80"/>
  <c r="A42" i="80"/>
  <c r="V41" i="80"/>
  <c r="U41" i="80"/>
  <c r="T41" i="80"/>
  <c r="S41" i="80"/>
  <c r="R41" i="80"/>
  <c r="Q41" i="80"/>
  <c r="P41" i="80"/>
  <c r="O41" i="80"/>
  <c r="L41" i="80"/>
  <c r="K41" i="80"/>
  <c r="J41" i="80"/>
  <c r="I41" i="80"/>
  <c r="H41" i="80"/>
  <c r="G41" i="80"/>
  <c r="F41" i="80"/>
  <c r="E41" i="80"/>
  <c r="D41" i="80"/>
  <c r="C41" i="80"/>
  <c r="A41" i="80"/>
  <c r="V40" i="80"/>
  <c r="U40" i="80"/>
  <c r="T40" i="80"/>
  <c r="S40" i="80"/>
  <c r="R40" i="80"/>
  <c r="Q40" i="80"/>
  <c r="P40" i="80"/>
  <c r="O40" i="80"/>
  <c r="A40" i="80"/>
  <c r="V39" i="80"/>
  <c r="U39" i="80"/>
  <c r="T39" i="80"/>
  <c r="S39" i="80"/>
  <c r="R39" i="80"/>
  <c r="Q39" i="80"/>
  <c r="P39" i="80"/>
  <c r="O39" i="80"/>
  <c r="L39" i="80"/>
  <c r="K39" i="80"/>
  <c r="J39" i="80"/>
  <c r="I39" i="80"/>
  <c r="H39" i="80"/>
  <c r="G39" i="80"/>
  <c r="F39" i="80"/>
  <c r="E39" i="80"/>
  <c r="D39" i="80"/>
  <c r="C39" i="80"/>
  <c r="A39" i="80"/>
  <c r="V38" i="80"/>
  <c r="U38" i="80"/>
  <c r="T38" i="80"/>
  <c r="S38" i="80"/>
  <c r="R38" i="80"/>
  <c r="Q38" i="80"/>
  <c r="P38" i="80"/>
  <c r="O38" i="80"/>
  <c r="A38" i="80"/>
  <c r="V37" i="80"/>
  <c r="U37" i="80"/>
  <c r="T37" i="80"/>
  <c r="S37" i="80"/>
  <c r="R37" i="80"/>
  <c r="Q37" i="80"/>
  <c r="P37" i="80"/>
  <c r="O37" i="80"/>
  <c r="L37" i="80"/>
  <c r="K37" i="80"/>
  <c r="J37" i="80"/>
  <c r="I37" i="80"/>
  <c r="H37" i="80"/>
  <c r="G37" i="80"/>
  <c r="F37" i="80"/>
  <c r="E37" i="80"/>
  <c r="D37" i="80"/>
  <c r="C37" i="80"/>
  <c r="A37" i="80"/>
  <c r="V36" i="80"/>
  <c r="U36" i="80"/>
  <c r="T36" i="80"/>
  <c r="S36" i="80"/>
  <c r="R36" i="80"/>
  <c r="Q36" i="80"/>
  <c r="P36" i="80"/>
  <c r="O36" i="80"/>
  <c r="D36" i="80"/>
  <c r="C36" i="80"/>
  <c r="A36" i="80"/>
  <c r="V35" i="80"/>
  <c r="U35" i="80"/>
  <c r="T35" i="80"/>
  <c r="S35" i="80"/>
  <c r="R35" i="80"/>
  <c r="Q35" i="80"/>
  <c r="P35" i="80"/>
  <c r="O35" i="80"/>
  <c r="A35" i="80"/>
  <c r="V34" i="80"/>
  <c r="U34" i="80"/>
  <c r="T34" i="80"/>
  <c r="S34" i="80"/>
  <c r="R34" i="80"/>
  <c r="Q34" i="80"/>
  <c r="P34" i="80"/>
  <c r="O34" i="80"/>
  <c r="L34" i="80"/>
  <c r="K34" i="80"/>
  <c r="J34" i="80"/>
  <c r="I34" i="80"/>
  <c r="H34" i="80"/>
  <c r="G34" i="80"/>
  <c r="F34" i="80"/>
  <c r="E34" i="80"/>
  <c r="D34" i="80"/>
  <c r="C34" i="80"/>
  <c r="A34" i="80"/>
  <c r="V33" i="80"/>
  <c r="U33" i="80"/>
  <c r="T33" i="80"/>
  <c r="S33" i="80"/>
  <c r="R33" i="80"/>
  <c r="Q33" i="80"/>
  <c r="P33" i="80"/>
  <c r="O33" i="80"/>
  <c r="L33" i="80"/>
  <c r="K33" i="80"/>
  <c r="J33" i="80"/>
  <c r="I33" i="80"/>
  <c r="H33" i="80"/>
  <c r="G33" i="80"/>
  <c r="F33" i="80"/>
  <c r="E33" i="80"/>
  <c r="T32" i="80"/>
  <c r="S32" i="80"/>
  <c r="V31" i="80"/>
  <c r="U31" i="80"/>
  <c r="T31" i="80"/>
  <c r="S31" i="80"/>
  <c r="R31" i="80"/>
  <c r="Q31" i="80"/>
  <c r="P31" i="80"/>
  <c r="O31" i="80"/>
  <c r="N31" i="80"/>
  <c r="M31" i="80"/>
  <c r="J20" i="80"/>
  <c r="I20" i="80"/>
  <c r="H20" i="80"/>
  <c r="G20" i="80"/>
  <c r="J19" i="80"/>
  <c r="I19" i="80"/>
  <c r="H19" i="80"/>
  <c r="G19" i="80"/>
  <c r="J18" i="80"/>
  <c r="I18" i="80"/>
  <c r="H18" i="80"/>
  <c r="G18" i="80"/>
  <c r="J17" i="80"/>
  <c r="I17" i="80"/>
  <c r="H17" i="80"/>
  <c r="G17" i="80"/>
  <c r="J16" i="80"/>
  <c r="I16" i="80"/>
  <c r="H16" i="80"/>
  <c r="G16" i="80"/>
  <c r="J15" i="80"/>
  <c r="I15" i="80"/>
  <c r="H15" i="80"/>
  <c r="G15" i="80"/>
  <c r="J14" i="80"/>
  <c r="I14" i="80"/>
  <c r="H14" i="80"/>
  <c r="G14" i="80"/>
  <c r="J13" i="80"/>
  <c r="I13" i="80"/>
  <c r="H13" i="80"/>
  <c r="G13" i="80"/>
  <c r="J12" i="80"/>
  <c r="H12" i="80"/>
  <c r="G12" i="80"/>
  <c r="J11" i="80"/>
  <c r="H11" i="80"/>
  <c r="G11" i="80"/>
  <c r="E7" i="80"/>
  <c r="B7" i="80"/>
  <c r="H251" i="59"/>
  <c r="G251" i="59"/>
  <c r="F251" i="59"/>
  <c r="D251" i="59"/>
  <c r="I250" i="59"/>
  <c r="H250" i="59"/>
  <c r="G250" i="59"/>
  <c r="F250" i="59"/>
  <c r="D250" i="59"/>
  <c r="I249" i="59"/>
  <c r="H249" i="59"/>
  <c r="G249" i="59"/>
  <c r="F249" i="59"/>
  <c r="D249" i="59"/>
  <c r="I248" i="59"/>
  <c r="H248" i="59"/>
  <c r="G248" i="59"/>
  <c r="F248" i="59"/>
  <c r="D248" i="59"/>
  <c r="I247" i="59"/>
  <c r="H247" i="59"/>
  <c r="G247" i="59"/>
  <c r="F247" i="59"/>
  <c r="D247" i="59"/>
  <c r="I246" i="59"/>
  <c r="H246" i="59"/>
  <c r="G246" i="59"/>
  <c r="F246" i="59"/>
  <c r="D246" i="59"/>
  <c r="I245" i="59"/>
  <c r="H245" i="59"/>
  <c r="G245" i="59"/>
  <c r="F245" i="59"/>
  <c r="D245" i="59"/>
  <c r="I244" i="59"/>
  <c r="H244" i="59"/>
  <c r="G244" i="59"/>
  <c r="F244" i="59"/>
  <c r="D244" i="59"/>
  <c r="I243" i="59"/>
  <c r="H243" i="59"/>
  <c r="G243" i="59"/>
  <c r="F243" i="59"/>
  <c r="D243" i="59"/>
  <c r="I242" i="59"/>
  <c r="H242" i="59"/>
  <c r="G242" i="59"/>
  <c r="F242" i="59"/>
  <c r="D242" i="59"/>
  <c r="I241" i="59"/>
  <c r="H241" i="59"/>
  <c r="G241" i="59"/>
  <c r="F241" i="59"/>
  <c r="D241" i="59"/>
  <c r="I240" i="59"/>
  <c r="H240" i="59"/>
  <c r="G240" i="59"/>
  <c r="F240" i="59"/>
  <c r="D240" i="59"/>
  <c r="I239" i="59"/>
  <c r="H239" i="59"/>
  <c r="G239" i="59"/>
  <c r="F239" i="59"/>
  <c r="D239" i="59"/>
  <c r="I238" i="59"/>
  <c r="H238" i="59"/>
  <c r="G238" i="59"/>
  <c r="F238" i="59"/>
  <c r="D238" i="59"/>
  <c r="I237" i="59"/>
  <c r="H237" i="59"/>
  <c r="G237" i="59"/>
  <c r="F237" i="59"/>
  <c r="D237" i="59"/>
  <c r="I236" i="59"/>
  <c r="H236" i="59"/>
  <c r="G236" i="59"/>
  <c r="F236" i="59"/>
  <c r="D236" i="59"/>
  <c r="I235" i="59"/>
  <c r="H235" i="59"/>
  <c r="G235" i="59"/>
  <c r="F235" i="59"/>
  <c r="D235" i="59"/>
  <c r="I234" i="59"/>
  <c r="H234" i="59"/>
  <c r="G234" i="59"/>
  <c r="F234" i="59"/>
  <c r="D234" i="59"/>
  <c r="I233" i="59"/>
  <c r="H233" i="59"/>
  <c r="G233" i="59"/>
  <c r="F233" i="59"/>
  <c r="D233" i="59"/>
  <c r="I232" i="59"/>
  <c r="H232" i="59"/>
  <c r="G232" i="59"/>
  <c r="F232" i="59"/>
  <c r="D232" i="59"/>
  <c r="I231" i="59"/>
  <c r="H231" i="59"/>
  <c r="G231" i="59"/>
  <c r="F231" i="59"/>
  <c r="D231" i="59"/>
  <c r="I230" i="59"/>
  <c r="H230" i="59"/>
  <c r="G230" i="59"/>
  <c r="F230" i="59"/>
  <c r="D230" i="59"/>
  <c r="I229" i="59"/>
  <c r="H229" i="59"/>
  <c r="G229" i="59"/>
  <c r="F229" i="59"/>
  <c r="D229" i="59"/>
  <c r="I228" i="59"/>
  <c r="H228" i="59"/>
  <c r="G228" i="59"/>
  <c r="F228" i="59"/>
  <c r="D228" i="59"/>
  <c r="I227" i="59"/>
  <c r="H227" i="59"/>
  <c r="G227" i="59"/>
  <c r="F227" i="59"/>
  <c r="D227" i="59"/>
  <c r="I226" i="59"/>
  <c r="H226" i="59"/>
  <c r="G226" i="59"/>
  <c r="F226" i="59"/>
  <c r="D226" i="59"/>
  <c r="I225" i="59"/>
  <c r="H225" i="59"/>
  <c r="G225" i="59"/>
  <c r="F225" i="59"/>
  <c r="D225" i="59"/>
  <c r="I224" i="59"/>
  <c r="H224" i="59"/>
  <c r="G224" i="59"/>
  <c r="F224" i="59"/>
  <c r="D224" i="59"/>
  <c r="I223" i="59"/>
  <c r="H223" i="59"/>
  <c r="G223" i="59"/>
  <c r="F223" i="59"/>
  <c r="D223" i="59"/>
  <c r="I222" i="59"/>
  <c r="H222" i="59"/>
  <c r="G222" i="59"/>
  <c r="F222" i="59"/>
  <c r="D222" i="59"/>
  <c r="I221" i="59"/>
  <c r="H221" i="59"/>
  <c r="G221" i="59"/>
  <c r="F221" i="59"/>
  <c r="D221" i="59"/>
  <c r="I220" i="59"/>
  <c r="H220" i="59"/>
  <c r="G220" i="59"/>
  <c r="F220" i="59"/>
  <c r="D220" i="59"/>
  <c r="I219" i="59"/>
  <c r="H219" i="59"/>
  <c r="G219" i="59"/>
  <c r="F219" i="59"/>
  <c r="D219" i="59"/>
  <c r="I218" i="59"/>
  <c r="H218" i="59"/>
  <c r="G218" i="59"/>
  <c r="F218" i="59"/>
  <c r="D218" i="59"/>
  <c r="I217" i="59"/>
  <c r="H217" i="59"/>
  <c r="G217" i="59"/>
  <c r="F217" i="59"/>
  <c r="D217" i="59"/>
  <c r="I216" i="59"/>
  <c r="H216" i="59"/>
  <c r="G216" i="59"/>
  <c r="F216" i="59"/>
  <c r="D216" i="59"/>
  <c r="I215" i="59"/>
  <c r="H215" i="59"/>
  <c r="G215" i="59"/>
  <c r="F215" i="59"/>
  <c r="D215" i="59"/>
  <c r="I214" i="59"/>
  <c r="H214" i="59"/>
  <c r="G214" i="59"/>
  <c r="F214" i="59"/>
  <c r="D214" i="59"/>
  <c r="I213" i="59"/>
  <c r="H213" i="59"/>
  <c r="G213" i="59"/>
  <c r="F213" i="59"/>
  <c r="D213" i="59"/>
  <c r="I212" i="59"/>
  <c r="H212" i="59"/>
  <c r="G212" i="59"/>
  <c r="F212" i="59"/>
  <c r="D212" i="59"/>
  <c r="I211" i="59"/>
  <c r="H211" i="59"/>
  <c r="G211" i="59"/>
  <c r="F211" i="59"/>
  <c r="D211" i="59"/>
  <c r="I210" i="59"/>
  <c r="H210" i="59"/>
  <c r="G210" i="59"/>
  <c r="F210" i="59"/>
  <c r="D210" i="59"/>
  <c r="I209" i="59"/>
  <c r="H209" i="59"/>
  <c r="G209" i="59"/>
  <c r="F209" i="59"/>
  <c r="D209" i="59"/>
  <c r="I208" i="59"/>
  <c r="H208" i="59"/>
  <c r="G208" i="59"/>
  <c r="F208" i="59"/>
  <c r="D208" i="59"/>
  <c r="I207" i="59"/>
  <c r="H207" i="59"/>
  <c r="G207" i="59"/>
  <c r="F207" i="59"/>
  <c r="D207" i="59"/>
  <c r="I206" i="59"/>
  <c r="H206" i="59"/>
  <c r="G206" i="59"/>
  <c r="F206" i="59"/>
  <c r="D206" i="59"/>
  <c r="I205" i="59"/>
  <c r="H205" i="59"/>
  <c r="G205" i="59"/>
  <c r="F205" i="59"/>
  <c r="D205" i="59"/>
  <c r="I204" i="59"/>
  <c r="H204" i="59"/>
  <c r="G204" i="59"/>
  <c r="F204" i="59"/>
  <c r="D204" i="59"/>
  <c r="I203" i="59"/>
  <c r="H203" i="59"/>
  <c r="G203" i="59"/>
  <c r="F203" i="59"/>
  <c r="D203" i="59"/>
  <c r="I202" i="59"/>
  <c r="H202" i="59"/>
  <c r="G202" i="59"/>
  <c r="F202" i="59"/>
  <c r="D202" i="59"/>
  <c r="I201" i="59"/>
  <c r="H201" i="59"/>
  <c r="G201" i="59"/>
  <c r="F201" i="59"/>
  <c r="D201" i="59"/>
  <c r="I200" i="59"/>
  <c r="H200" i="59"/>
  <c r="G200" i="59"/>
  <c r="F200" i="59"/>
  <c r="D200" i="59"/>
  <c r="I199" i="59"/>
  <c r="H199" i="59"/>
  <c r="G199" i="59"/>
  <c r="F199" i="59"/>
  <c r="D199" i="59"/>
  <c r="H195" i="59"/>
  <c r="G195" i="59"/>
  <c r="F195" i="59"/>
  <c r="E195" i="59"/>
  <c r="D195" i="59"/>
  <c r="I194" i="59"/>
  <c r="H194" i="59"/>
  <c r="G194" i="59"/>
  <c r="F194" i="59"/>
  <c r="E194" i="59"/>
  <c r="D194" i="59"/>
  <c r="I193" i="59"/>
  <c r="H193" i="59"/>
  <c r="G193" i="59"/>
  <c r="F193" i="59"/>
  <c r="E193" i="59"/>
  <c r="D193" i="59"/>
  <c r="I192" i="59"/>
  <c r="H192" i="59"/>
  <c r="G192" i="59"/>
  <c r="F192" i="59"/>
  <c r="E192" i="59"/>
  <c r="D192" i="59"/>
  <c r="I191" i="59"/>
  <c r="H191" i="59"/>
  <c r="G191" i="59"/>
  <c r="F191" i="59"/>
  <c r="E191" i="59"/>
  <c r="D191" i="59"/>
  <c r="I190" i="59"/>
  <c r="H190" i="59"/>
  <c r="G190" i="59"/>
  <c r="F190" i="59"/>
  <c r="E190" i="59"/>
  <c r="D190" i="59"/>
  <c r="I189" i="59"/>
  <c r="H189" i="59"/>
  <c r="G189" i="59"/>
  <c r="F189" i="59"/>
  <c r="E189" i="59"/>
  <c r="D189" i="59"/>
  <c r="I188" i="59"/>
  <c r="H188" i="59"/>
  <c r="G188" i="59"/>
  <c r="F188" i="59"/>
  <c r="E188" i="59"/>
  <c r="D188" i="59"/>
  <c r="I187" i="59"/>
  <c r="H187" i="59"/>
  <c r="G187" i="59"/>
  <c r="F187" i="59"/>
  <c r="E187" i="59"/>
  <c r="D187" i="59"/>
  <c r="I186" i="59"/>
  <c r="H186" i="59"/>
  <c r="G186" i="59"/>
  <c r="F186" i="59"/>
  <c r="E186" i="59"/>
  <c r="D186" i="59"/>
  <c r="I185" i="59"/>
  <c r="H185" i="59"/>
  <c r="G185" i="59"/>
  <c r="F185" i="59"/>
  <c r="E185" i="59"/>
  <c r="D185" i="59"/>
  <c r="I184" i="59"/>
  <c r="H184" i="59"/>
  <c r="G184" i="59"/>
  <c r="F184" i="59"/>
  <c r="E184" i="59"/>
  <c r="D184" i="59"/>
  <c r="I183" i="59"/>
  <c r="H183" i="59"/>
  <c r="G183" i="59"/>
  <c r="F183" i="59"/>
  <c r="E183" i="59"/>
  <c r="D183" i="59"/>
  <c r="I182" i="59"/>
  <c r="H182" i="59"/>
  <c r="G182" i="59"/>
  <c r="F182" i="59"/>
  <c r="E182" i="59"/>
  <c r="D182" i="59"/>
  <c r="I181" i="59"/>
  <c r="H181" i="59"/>
  <c r="G181" i="59"/>
  <c r="F181" i="59"/>
  <c r="E181" i="59"/>
  <c r="D181" i="59"/>
  <c r="I180" i="59"/>
  <c r="H180" i="59"/>
  <c r="G180" i="59"/>
  <c r="F180" i="59"/>
  <c r="E180" i="59"/>
  <c r="D180" i="59"/>
  <c r="I179" i="59"/>
  <c r="H179" i="59"/>
  <c r="G179" i="59"/>
  <c r="F179" i="59"/>
  <c r="E179" i="59"/>
  <c r="D179" i="59"/>
  <c r="I178" i="59"/>
  <c r="H178" i="59"/>
  <c r="G178" i="59"/>
  <c r="F178" i="59"/>
  <c r="E178" i="59"/>
  <c r="D178" i="59"/>
  <c r="I177" i="59"/>
  <c r="H177" i="59"/>
  <c r="G177" i="59"/>
  <c r="F177" i="59"/>
  <c r="E177" i="59"/>
  <c r="D177" i="59"/>
  <c r="I176" i="59"/>
  <c r="H176" i="59"/>
  <c r="G176" i="59"/>
  <c r="F176" i="59"/>
  <c r="E176" i="59"/>
  <c r="D176" i="59"/>
  <c r="I175" i="59"/>
  <c r="H175" i="59"/>
  <c r="G175" i="59"/>
  <c r="F175" i="59"/>
  <c r="E175" i="59"/>
  <c r="D175" i="59"/>
  <c r="I174" i="59"/>
  <c r="H174" i="59"/>
  <c r="G174" i="59"/>
  <c r="F174" i="59"/>
  <c r="E174" i="59"/>
  <c r="D174" i="59"/>
  <c r="I173" i="59"/>
  <c r="H173" i="59"/>
  <c r="G173" i="59"/>
  <c r="F173" i="59"/>
  <c r="E173" i="59"/>
  <c r="D173" i="59"/>
  <c r="I172" i="59"/>
  <c r="H172" i="59"/>
  <c r="G172" i="59"/>
  <c r="F172" i="59"/>
  <c r="E172" i="59"/>
  <c r="D172" i="59"/>
  <c r="I171" i="59"/>
  <c r="H171" i="59"/>
  <c r="G171" i="59"/>
  <c r="F171" i="59"/>
  <c r="E171" i="59"/>
  <c r="D171" i="59"/>
  <c r="I170" i="59"/>
  <c r="H170" i="59"/>
  <c r="G170" i="59"/>
  <c r="F170" i="59"/>
  <c r="E170" i="59"/>
  <c r="D170" i="59"/>
  <c r="I169" i="59"/>
  <c r="H169" i="59"/>
  <c r="G169" i="59"/>
  <c r="F169" i="59"/>
  <c r="E169" i="59"/>
  <c r="D169" i="59"/>
  <c r="I168" i="59"/>
  <c r="H168" i="59"/>
  <c r="G168" i="59"/>
  <c r="F168" i="59"/>
  <c r="E168" i="59"/>
  <c r="D168" i="59"/>
  <c r="I167" i="59"/>
  <c r="H167" i="59"/>
  <c r="G167" i="59"/>
  <c r="F167" i="59"/>
  <c r="E167" i="59"/>
  <c r="D167" i="59"/>
  <c r="I166" i="59"/>
  <c r="H166" i="59"/>
  <c r="G166" i="59"/>
  <c r="F166" i="59"/>
  <c r="E166" i="59"/>
  <c r="D166" i="59"/>
  <c r="I165" i="59"/>
  <c r="H165" i="59"/>
  <c r="G165" i="59"/>
  <c r="F165" i="59"/>
  <c r="E165" i="59"/>
  <c r="D165" i="59"/>
  <c r="I164" i="59"/>
  <c r="H164" i="59"/>
  <c r="G164" i="59"/>
  <c r="F164" i="59"/>
  <c r="E164" i="59"/>
  <c r="D164" i="59"/>
  <c r="I163" i="59"/>
  <c r="H163" i="59"/>
  <c r="G163" i="59"/>
  <c r="F163" i="59"/>
  <c r="E163" i="59"/>
  <c r="D163" i="59"/>
  <c r="I162" i="59"/>
  <c r="H162" i="59"/>
  <c r="G162" i="59"/>
  <c r="F162" i="59"/>
  <c r="E162" i="59"/>
  <c r="D162" i="59"/>
  <c r="I161" i="59"/>
  <c r="H161" i="59"/>
  <c r="G161" i="59"/>
  <c r="F161" i="59"/>
  <c r="E161" i="59"/>
  <c r="D161" i="59"/>
  <c r="I160" i="59"/>
  <c r="H160" i="59"/>
  <c r="G160" i="59"/>
  <c r="F160" i="59"/>
  <c r="E160" i="59"/>
  <c r="D160" i="59"/>
  <c r="I159" i="59"/>
  <c r="H159" i="59"/>
  <c r="G159" i="59"/>
  <c r="F159" i="59"/>
  <c r="E159" i="59"/>
  <c r="D159" i="59"/>
  <c r="I158" i="59"/>
  <c r="H158" i="59"/>
  <c r="G158" i="59"/>
  <c r="F158" i="59"/>
  <c r="E158" i="59"/>
  <c r="D158" i="59"/>
  <c r="I157" i="59"/>
  <c r="H157" i="59"/>
  <c r="G157" i="59"/>
  <c r="F157" i="59"/>
  <c r="E157" i="59"/>
  <c r="D157" i="59"/>
  <c r="I156" i="59"/>
  <c r="H156" i="59"/>
  <c r="G156" i="59"/>
  <c r="F156" i="59"/>
  <c r="E156" i="59"/>
  <c r="D156" i="59"/>
  <c r="I155" i="59"/>
  <c r="H155" i="59"/>
  <c r="G155" i="59"/>
  <c r="F155" i="59"/>
  <c r="E155" i="59"/>
  <c r="D155" i="59"/>
  <c r="I154" i="59"/>
  <c r="H154" i="59"/>
  <c r="G154" i="59"/>
  <c r="F154" i="59"/>
  <c r="E154" i="59"/>
  <c r="D154" i="59"/>
  <c r="I153" i="59"/>
  <c r="H153" i="59"/>
  <c r="G153" i="59"/>
  <c r="F153" i="59"/>
  <c r="E153" i="59"/>
  <c r="D153" i="59"/>
  <c r="I152" i="59"/>
  <c r="H152" i="59"/>
  <c r="G152" i="59"/>
  <c r="F152" i="59"/>
  <c r="E152" i="59"/>
  <c r="D152" i="59"/>
  <c r="I151" i="59"/>
  <c r="H151" i="59"/>
  <c r="G151" i="59"/>
  <c r="F151" i="59"/>
  <c r="E151" i="59"/>
  <c r="D151" i="59"/>
  <c r="I150" i="59"/>
  <c r="H150" i="59"/>
  <c r="G150" i="59"/>
  <c r="F150" i="59"/>
  <c r="E150" i="59"/>
  <c r="D150" i="59"/>
  <c r="I149" i="59"/>
  <c r="H149" i="59"/>
  <c r="G149" i="59"/>
  <c r="F149" i="59"/>
  <c r="E149" i="59"/>
  <c r="D149" i="59"/>
  <c r="I148" i="59"/>
  <c r="H148" i="59"/>
  <c r="G148" i="59"/>
  <c r="F148" i="59"/>
  <c r="E148" i="59"/>
  <c r="D148" i="59"/>
  <c r="I147" i="59"/>
  <c r="H147" i="59"/>
  <c r="G147" i="59"/>
  <c r="F147" i="59"/>
  <c r="E147" i="59"/>
  <c r="D147" i="59"/>
  <c r="I146" i="59"/>
  <c r="H146" i="59"/>
  <c r="G146" i="59"/>
  <c r="F146" i="59"/>
  <c r="E146" i="59"/>
  <c r="D146" i="59"/>
  <c r="I145" i="59"/>
  <c r="H145" i="59"/>
  <c r="G145" i="59"/>
  <c r="F145" i="59"/>
  <c r="E145" i="59"/>
  <c r="D145" i="59"/>
  <c r="I144" i="59"/>
  <c r="H144" i="59"/>
  <c r="G144" i="59"/>
  <c r="F144" i="59"/>
  <c r="E144" i="59"/>
  <c r="D144" i="59"/>
  <c r="I143" i="59"/>
  <c r="H143" i="59"/>
  <c r="G143" i="59"/>
  <c r="F143" i="59"/>
  <c r="E143" i="59"/>
  <c r="D143" i="59"/>
  <c r="V103" i="59"/>
  <c r="U103" i="59"/>
  <c r="T103" i="59"/>
  <c r="S103" i="59"/>
  <c r="R103" i="59"/>
  <c r="Q103" i="59"/>
  <c r="P103" i="59"/>
  <c r="O103" i="59"/>
  <c r="A103" i="59"/>
  <c r="V102" i="59"/>
  <c r="U102" i="59"/>
  <c r="T102" i="59"/>
  <c r="S102" i="59"/>
  <c r="R102" i="59"/>
  <c r="Q102" i="59"/>
  <c r="P102" i="59"/>
  <c r="O102" i="59"/>
  <c r="A102" i="59"/>
  <c r="V101" i="59"/>
  <c r="U101" i="59"/>
  <c r="T101" i="59"/>
  <c r="S101" i="59"/>
  <c r="R101" i="59"/>
  <c r="Q101" i="59"/>
  <c r="P101" i="59"/>
  <c r="O101" i="59"/>
  <c r="A101" i="59"/>
  <c r="V100" i="59"/>
  <c r="U100" i="59"/>
  <c r="T100" i="59"/>
  <c r="S100" i="59"/>
  <c r="R100" i="59"/>
  <c r="Q100" i="59"/>
  <c r="P100" i="59"/>
  <c r="O100" i="59"/>
  <c r="A100" i="59"/>
  <c r="V99" i="59"/>
  <c r="U99" i="59"/>
  <c r="T99" i="59"/>
  <c r="S99" i="59"/>
  <c r="R99" i="59"/>
  <c r="Q99" i="59"/>
  <c r="P99" i="59"/>
  <c r="O99" i="59"/>
  <c r="A99" i="59"/>
  <c r="V98" i="59"/>
  <c r="U98" i="59"/>
  <c r="T98" i="59"/>
  <c r="S98" i="59"/>
  <c r="R98" i="59"/>
  <c r="Q98" i="59"/>
  <c r="P98" i="59"/>
  <c r="O98" i="59"/>
  <c r="A98" i="59"/>
  <c r="V97" i="59"/>
  <c r="U97" i="59"/>
  <c r="T97" i="59"/>
  <c r="S97" i="59"/>
  <c r="R97" i="59"/>
  <c r="Q97" i="59"/>
  <c r="P97" i="59"/>
  <c r="O97" i="59"/>
  <c r="A97" i="59"/>
  <c r="V96" i="59"/>
  <c r="U96" i="59"/>
  <c r="T96" i="59"/>
  <c r="S96" i="59"/>
  <c r="R96" i="59"/>
  <c r="Q96" i="59"/>
  <c r="P96" i="59"/>
  <c r="O96" i="59"/>
  <c r="A96" i="59"/>
  <c r="V95" i="59"/>
  <c r="U95" i="59"/>
  <c r="T95" i="59"/>
  <c r="S95" i="59"/>
  <c r="R95" i="59"/>
  <c r="Q95" i="59"/>
  <c r="P95" i="59"/>
  <c r="O95" i="59"/>
  <c r="A95" i="59"/>
  <c r="V94" i="59"/>
  <c r="U94" i="59"/>
  <c r="T94" i="59"/>
  <c r="S94" i="59"/>
  <c r="R94" i="59"/>
  <c r="Q94" i="59"/>
  <c r="P94" i="59"/>
  <c r="O94" i="59"/>
  <c r="A94" i="59"/>
  <c r="V93" i="59"/>
  <c r="U93" i="59"/>
  <c r="T93" i="59"/>
  <c r="S93" i="59"/>
  <c r="R93" i="59"/>
  <c r="Q93" i="59"/>
  <c r="P93" i="59"/>
  <c r="O93" i="59"/>
  <c r="A93" i="59"/>
  <c r="V92" i="59"/>
  <c r="U92" i="59"/>
  <c r="T92" i="59"/>
  <c r="S92" i="59"/>
  <c r="R92" i="59"/>
  <c r="Q92" i="59"/>
  <c r="P92" i="59"/>
  <c r="O92" i="59"/>
  <c r="A92" i="59"/>
  <c r="V91" i="59"/>
  <c r="U91" i="59"/>
  <c r="T91" i="59"/>
  <c r="S91" i="59"/>
  <c r="R91" i="59"/>
  <c r="Q91" i="59"/>
  <c r="P91" i="59"/>
  <c r="O91" i="59"/>
  <c r="A91" i="59"/>
  <c r="V90" i="59"/>
  <c r="U90" i="59"/>
  <c r="T90" i="59"/>
  <c r="S90" i="59"/>
  <c r="R90" i="59"/>
  <c r="Q90" i="59"/>
  <c r="P90" i="59"/>
  <c r="O90" i="59"/>
  <c r="A90" i="59"/>
  <c r="V89" i="59"/>
  <c r="U89" i="59"/>
  <c r="T89" i="59"/>
  <c r="S89" i="59"/>
  <c r="R89" i="59"/>
  <c r="Q89" i="59"/>
  <c r="P89" i="59"/>
  <c r="O89" i="59"/>
  <c r="A89" i="59"/>
  <c r="V88" i="59"/>
  <c r="U88" i="59"/>
  <c r="T88" i="59"/>
  <c r="S88" i="59"/>
  <c r="R88" i="59"/>
  <c r="Q88" i="59"/>
  <c r="P88" i="59"/>
  <c r="O88" i="59"/>
  <c r="A88" i="59"/>
  <c r="V87" i="59"/>
  <c r="U87" i="59"/>
  <c r="T87" i="59"/>
  <c r="S87" i="59"/>
  <c r="R87" i="59"/>
  <c r="Q87" i="59"/>
  <c r="P87" i="59"/>
  <c r="O87" i="59"/>
  <c r="A87" i="59"/>
  <c r="V86" i="59"/>
  <c r="U86" i="59"/>
  <c r="T86" i="59"/>
  <c r="S86" i="59"/>
  <c r="R86" i="59"/>
  <c r="Q86" i="59"/>
  <c r="P86" i="59"/>
  <c r="O86" i="59"/>
  <c r="A86" i="59"/>
  <c r="V85" i="59"/>
  <c r="U85" i="59"/>
  <c r="T85" i="59"/>
  <c r="S85" i="59"/>
  <c r="R85" i="59"/>
  <c r="Q85" i="59"/>
  <c r="P85" i="59"/>
  <c r="O85" i="59"/>
  <c r="A85" i="59"/>
  <c r="V84" i="59"/>
  <c r="U84" i="59"/>
  <c r="T84" i="59"/>
  <c r="S84" i="59"/>
  <c r="R84" i="59"/>
  <c r="Q84" i="59"/>
  <c r="P84" i="59"/>
  <c r="O84" i="59"/>
  <c r="A84" i="59"/>
  <c r="V83" i="59"/>
  <c r="U83" i="59"/>
  <c r="T83" i="59"/>
  <c r="S83" i="59"/>
  <c r="R83" i="59"/>
  <c r="Q83" i="59"/>
  <c r="P83" i="59"/>
  <c r="O83" i="59"/>
  <c r="A83" i="59"/>
  <c r="V82" i="59"/>
  <c r="U82" i="59"/>
  <c r="T82" i="59"/>
  <c r="S82" i="59"/>
  <c r="R82" i="59"/>
  <c r="Q82" i="59"/>
  <c r="P82" i="59"/>
  <c r="O82" i="59"/>
  <c r="L82" i="59"/>
  <c r="K82" i="59"/>
  <c r="J82" i="59"/>
  <c r="I82" i="59"/>
  <c r="H82" i="59"/>
  <c r="G82" i="59"/>
  <c r="F82" i="59"/>
  <c r="A82" i="59"/>
  <c r="V81" i="59"/>
  <c r="U81" i="59"/>
  <c r="T81" i="59"/>
  <c r="S81" i="59"/>
  <c r="R81" i="59"/>
  <c r="Q81" i="59"/>
  <c r="P81" i="59"/>
  <c r="O81" i="59"/>
  <c r="A81" i="59"/>
  <c r="V80" i="59"/>
  <c r="U80" i="59"/>
  <c r="T80" i="59"/>
  <c r="S80" i="59"/>
  <c r="R80" i="59"/>
  <c r="Q80" i="59"/>
  <c r="P80" i="59"/>
  <c r="O80" i="59"/>
  <c r="A80" i="59"/>
  <c r="V79" i="59"/>
  <c r="U79" i="59"/>
  <c r="T79" i="59"/>
  <c r="S79" i="59"/>
  <c r="R79" i="59"/>
  <c r="Q79" i="59"/>
  <c r="P79" i="59"/>
  <c r="O79" i="59"/>
  <c r="A79" i="59"/>
  <c r="V78" i="59"/>
  <c r="U78" i="59"/>
  <c r="T78" i="59"/>
  <c r="S78" i="59"/>
  <c r="R78" i="59"/>
  <c r="Q78" i="59"/>
  <c r="P78" i="59"/>
  <c r="O78" i="59"/>
  <c r="A78" i="59"/>
  <c r="V77" i="59"/>
  <c r="U77" i="59"/>
  <c r="T77" i="59"/>
  <c r="S77" i="59"/>
  <c r="R77" i="59"/>
  <c r="Q77" i="59"/>
  <c r="P77" i="59"/>
  <c r="O77" i="59"/>
  <c r="D77" i="59"/>
  <c r="C77" i="59"/>
  <c r="A77" i="59"/>
  <c r="V76" i="59"/>
  <c r="U76" i="59"/>
  <c r="T76" i="59"/>
  <c r="S76" i="59"/>
  <c r="R76" i="59"/>
  <c r="Q76" i="59"/>
  <c r="P76" i="59"/>
  <c r="O76" i="59"/>
  <c r="A76" i="59"/>
  <c r="V75" i="59"/>
  <c r="U75" i="59"/>
  <c r="T75" i="59"/>
  <c r="S75" i="59"/>
  <c r="R75" i="59"/>
  <c r="Q75" i="59"/>
  <c r="P75" i="59"/>
  <c r="O75" i="59"/>
  <c r="A75" i="59"/>
  <c r="V74" i="59"/>
  <c r="U74" i="59"/>
  <c r="T74" i="59"/>
  <c r="S74" i="59"/>
  <c r="R74" i="59"/>
  <c r="Q74" i="59"/>
  <c r="P74" i="59"/>
  <c r="O74" i="59"/>
  <c r="A74" i="59"/>
  <c r="V73" i="59"/>
  <c r="U73" i="59"/>
  <c r="T73" i="59"/>
  <c r="S73" i="59"/>
  <c r="R73" i="59"/>
  <c r="Q73" i="59"/>
  <c r="P73" i="59"/>
  <c r="O73" i="59"/>
  <c r="A73" i="59"/>
  <c r="V72" i="59"/>
  <c r="U72" i="59"/>
  <c r="T72" i="59"/>
  <c r="S72" i="59"/>
  <c r="R72" i="59"/>
  <c r="Q72" i="59"/>
  <c r="P72" i="59"/>
  <c r="O72" i="59"/>
  <c r="A72" i="59"/>
  <c r="V71" i="59"/>
  <c r="U71" i="59"/>
  <c r="T71" i="59"/>
  <c r="S71" i="59"/>
  <c r="R71" i="59"/>
  <c r="Q71" i="59"/>
  <c r="P71" i="59"/>
  <c r="O71" i="59"/>
  <c r="L71" i="59"/>
  <c r="K71" i="59"/>
  <c r="J71" i="59"/>
  <c r="I71" i="59"/>
  <c r="H71" i="59"/>
  <c r="G71" i="59"/>
  <c r="F71" i="59"/>
  <c r="E71" i="59"/>
  <c r="D71" i="59"/>
  <c r="C71" i="59"/>
  <c r="A71" i="59"/>
  <c r="V70" i="59"/>
  <c r="U70" i="59"/>
  <c r="T70" i="59"/>
  <c r="S70" i="59"/>
  <c r="R70" i="59"/>
  <c r="Q70" i="59"/>
  <c r="P70" i="59"/>
  <c r="O70" i="59"/>
  <c r="A70" i="59"/>
  <c r="L69" i="59"/>
  <c r="K69" i="59"/>
  <c r="J69" i="59"/>
  <c r="I69" i="59"/>
  <c r="F69" i="59"/>
  <c r="E69" i="59"/>
  <c r="D69" i="59"/>
  <c r="C69" i="59"/>
  <c r="A69" i="59"/>
  <c r="V68" i="59"/>
  <c r="U68" i="59"/>
  <c r="T68" i="59"/>
  <c r="S68" i="59"/>
  <c r="R68" i="59"/>
  <c r="Q68" i="59"/>
  <c r="P68" i="59"/>
  <c r="O68" i="59"/>
  <c r="D68" i="59"/>
  <c r="C68" i="59"/>
  <c r="A68" i="59"/>
  <c r="V67" i="59"/>
  <c r="U67" i="59"/>
  <c r="T67" i="59"/>
  <c r="S67" i="59"/>
  <c r="R67" i="59"/>
  <c r="Q67" i="59"/>
  <c r="P67" i="59"/>
  <c r="O67" i="59"/>
  <c r="A67" i="59"/>
  <c r="V66" i="59"/>
  <c r="U66" i="59"/>
  <c r="T66" i="59"/>
  <c r="S66" i="59"/>
  <c r="R66" i="59"/>
  <c r="Q66" i="59"/>
  <c r="P66" i="59"/>
  <c r="O66" i="59"/>
  <c r="A66" i="59"/>
  <c r="D65" i="59"/>
  <c r="C65" i="59"/>
  <c r="A65" i="59"/>
  <c r="V64" i="59"/>
  <c r="U64" i="59"/>
  <c r="T64" i="59"/>
  <c r="S64" i="59"/>
  <c r="R64" i="59"/>
  <c r="Q64" i="59"/>
  <c r="P64" i="59"/>
  <c r="O64" i="59"/>
  <c r="D64" i="59"/>
  <c r="C64" i="59"/>
  <c r="A64" i="59"/>
  <c r="V63" i="59"/>
  <c r="U63" i="59"/>
  <c r="T63" i="59"/>
  <c r="S63" i="59"/>
  <c r="R63" i="59"/>
  <c r="Q63" i="59"/>
  <c r="P63" i="59"/>
  <c r="O63" i="59"/>
  <c r="A63" i="59"/>
  <c r="V62" i="59"/>
  <c r="U62" i="59"/>
  <c r="T62" i="59"/>
  <c r="S62" i="59"/>
  <c r="R62" i="59"/>
  <c r="Q62" i="59"/>
  <c r="P62" i="59"/>
  <c r="O62" i="59"/>
  <c r="A62" i="59"/>
  <c r="V61" i="59"/>
  <c r="U61" i="59"/>
  <c r="T61" i="59"/>
  <c r="S61" i="59"/>
  <c r="R61" i="59"/>
  <c r="Q61" i="59"/>
  <c r="P61" i="59"/>
  <c r="O61" i="59"/>
  <c r="A61" i="59"/>
  <c r="V60" i="59"/>
  <c r="U60" i="59"/>
  <c r="T60" i="59"/>
  <c r="S60" i="59"/>
  <c r="R60" i="59"/>
  <c r="Q60" i="59"/>
  <c r="P60" i="59"/>
  <c r="O60" i="59"/>
  <c r="A60" i="59"/>
  <c r="V59" i="59"/>
  <c r="U59" i="59"/>
  <c r="T59" i="59"/>
  <c r="S59" i="59"/>
  <c r="R59" i="59"/>
  <c r="Q59" i="59"/>
  <c r="P59" i="59"/>
  <c r="O59" i="59"/>
  <c r="A59" i="59"/>
  <c r="V58" i="59"/>
  <c r="U58" i="59"/>
  <c r="T58" i="59"/>
  <c r="S58" i="59"/>
  <c r="R58" i="59"/>
  <c r="Q58" i="59"/>
  <c r="P58" i="59"/>
  <c r="O58" i="59"/>
  <c r="C58" i="59"/>
  <c r="D58" i="59" s="1"/>
  <c r="A58" i="59"/>
  <c r="V57" i="59"/>
  <c r="U57" i="59"/>
  <c r="T57" i="59"/>
  <c r="S57" i="59"/>
  <c r="R57" i="59"/>
  <c r="Q57" i="59"/>
  <c r="P57" i="59"/>
  <c r="O57" i="59"/>
  <c r="D57" i="59"/>
  <c r="C57" i="59"/>
  <c r="A57" i="59"/>
  <c r="V56" i="59"/>
  <c r="U56" i="59"/>
  <c r="T56" i="59"/>
  <c r="S56" i="59"/>
  <c r="R56" i="59"/>
  <c r="Q56" i="59"/>
  <c r="P56" i="59"/>
  <c r="O56" i="59"/>
  <c r="A56" i="59"/>
  <c r="V55" i="59"/>
  <c r="U55" i="59"/>
  <c r="T55" i="59"/>
  <c r="S55" i="59"/>
  <c r="R55" i="59"/>
  <c r="Q55" i="59"/>
  <c r="P55" i="59"/>
  <c r="O55" i="59"/>
  <c r="A55" i="59"/>
  <c r="V54" i="59"/>
  <c r="U54" i="59"/>
  <c r="T54" i="59"/>
  <c r="S54" i="59"/>
  <c r="R54" i="59"/>
  <c r="Q54" i="59"/>
  <c r="P54" i="59"/>
  <c r="O54" i="59"/>
  <c r="D54" i="59"/>
  <c r="C54" i="59"/>
  <c r="A54" i="59"/>
  <c r="V53" i="59"/>
  <c r="U53" i="59"/>
  <c r="T53" i="59"/>
  <c r="S53" i="59"/>
  <c r="R53" i="59"/>
  <c r="Q53" i="59"/>
  <c r="P53" i="59"/>
  <c r="O53" i="59"/>
  <c r="L53" i="59"/>
  <c r="K53" i="59"/>
  <c r="J53" i="59"/>
  <c r="I53" i="59"/>
  <c r="H53" i="59"/>
  <c r="G53" i="59"/>
  <c r="F53" i="59"/>
  <c r="E53" i="59"/>
  <c r="D53" i="59"/>
  <c r="C53" i="59"/>
  <c r="A53" i="59"/>
  <c r="V52" i="59"/>
  <c r="U52" i="59"/>
  <c r="T52" i="59"/>
  <c r="S52" i="59"/>
  <c r="R52" i="59"/>
  <c r="Q52" i="59"/>
  <c r="P52" i="59"/>
  <c r="O52" i="59"/>
  <c r="L52" i="59"/>
  <c r="K52" i="59"/>
  <c r="J52" i="59"/>
  <c r="I52" i="59"/>
  <c r="H52" i="59"/>
  <c r="G52" i="59"/>
  <c r="F52" i="59"/>
  <c r="E52" i="59"/>
  <c r="D52" i="59"/>
  <c r="C52" i="59"/>
  <c r="A52" i="59"/>
  <c r="V51" i="59"/>
  <c r="U51" i="59"/>
  <c r="T51" i="59"/>
  <c r="S51" i="59"/>
  <c r="R51" i="59"/>
  <c r="Q51" i="59"/>
  <c r="P51" i="59"/>
  <c r="O51" i="59"/>
  <c r="A51" i="59"/>
  <c r="V50" i="59"/>
  <c r="U50" i="59"/>
  <c r="T50" i="59"/>
  <c r="S50" i="59"/>
  <c r="R50" i="59"/>
  <c r="Q50" i="59"/>
  <c r="P50" i="59"/>
  <c r="O50" i="59"/>
  <c r="A50" i="59"/>
  <c r="V49" i="59"/>
  <c r="U49" i="59"/>
  <c r="T49" i="59"/>
  <c r="S49" i="59"/>
  <c r="R49" i="59"/>
  <c r="Q49" i="59"/>
  <c r="P49" i="59"/>
  <c r="O49" i="59"/>
  <c r="F49" i="59"/>
  <c r="E49" i="59"/>
  <c r="A49" i="59"/>
  <c r="V48" i="59"/>
  <c r="U48" i="59"/>
  <c r="T48" i="59"/>
  <c r="S48" i="59"/>
  <c r="R48" i="59"/>
  <c r="Q48" i="59"/>
  <c r="P48" i="59"/>
  <c r="O48" i="59"/>
  <c r="A48" i="59"/>
  <c r="V47" i="59"/>
  <c r="U47" i="59"/>
  <c r="T47" i="59"/>
  <c r="S47" i="59"/>
  <c r="R47" i="59"/>
  <c r="Q47" i="59"/>
  <c r="P47" i="59"/>
  <c r="O47" i="59"/>
  <c r="A47" i="59"/>
  <c r="V46" i="59"/>
  <c r="U46" i="59"/>
  <c r="T46" i="59"/>
  <c r="S46" i="59"/>
  <c r="R46" i="59"/>
  <c r="Q46" i="59"/>
  <c r="P46" i="59"/>
  <c r="O46" i="59"/>
  <c r="A46" i="59"/>
  <c r="V45" i="59"/>
  <c r="U45" i="59"/>
  <c r="T45" i="59"/>
  <c r="S45" i="59"/>
  <c r="R45" i="59"/>
  <c r="Q45" i="59"/>
  <c r="P45" i="59"/>
  <c r="O45" i="59"/>
  <c r="A45" i="59"/>
  <c r="V44" i="59"/>
  <c r="U44" i="59"/>
  <c r="T44" i="59"/>
  <c r="S44" i="59"/>
  <c r="R44" i="59"/>
  <c r="Q44" i="59"/>
  <c r="P44" i="59"/>
  <c r="O44" i="59"/>
  <c r="A44" i="59"/>
  <c r="V43" i="59"/>
  <c r="U43" i="59"/>
  <c r="T43" i="59"/>
  <c r="S43" i="59"/>
  <c r="R43" i="59"/>
  <c r="Q43" i="59"/>
  <c r="P43" i="59"/>
  <c r="O43" i="59"/>
  <c r="L43" i="59"/>
  <c r="K43" i="59"/>
  <c r="J43" i="59"/>
  <c r="F43" i="59"/>
  <c r="E43" i="59"/>
  <c r="D43" i="59"/>
  <c r="C43" i="59"/>
  <c r="A43" i="59"/>
  <c r="V42" i="59"/>
  <c r="U42" i="59"/>
  <c r="T42" i="59"/>
  <c r="S42" i="59"/>
  <c r="R42" i="59"/>
  <c r="Q42" i="59"/>
  <c r="P42" i="59"/>
  <c r="O42" i="59"/>
  <c r="L42" i="59"/>
  <c r="K42" i="59"/>
  <c r="J42" i="59"/>
  <c r="I42" i="59"/>
  <c r="H42" i="59"/>
  <c r="G42" i="59"/>
  <c r="F42" i="59"/>
  <c r="E42" i="59"/>
  <c r="D42" i="59"/>
  <c r="C42" i="59"/>
  <c r="A42" i="59"/>
  <c r="V41" i="59"/>
  <c r="U41" i="59"/>
  <c r="T41" i="59"/>
  <c r="S41" i="59"/>
  <c r="R41" i="59"/>
  <c r="Q41" i="59"/>
  <c r="P41" i="59"/>
  <c r="O41" i="59"/>
  <c r="L41" i="59"/>
  <c r="K41" i="59"/>
  <c r="J41" i="59"/>
  <c r="I41" i="59"/>
  <c r="H41" i="59"/>
  <c r="G41" i="59"/>
  <c r="F41" i="59"/>
  <c r="E41" i="59"/>
  <c r="D41" i="59"/>
  <c r="C41" i="59"/>
  <c r="A41" i="59"/>
  <c r="V40" i="59"/>
  <c r="U40" i="59"/>
  <c r="T40" i="59"/>
  <c r="S40" i="59"/>
  <c r="R40" i="59"/>
  <c r="Q40" i="59"/>
  <c r="P40" i="59"/>
  <c r="O40" i="59"/>
  <c r="A40" i="59"/>
  <c r="V39" i="59"/>
  <c r="U39" i="59"/>
  <c r="T39" i="59"/>
  <c r="S39" i="59"/>
  <c r="R39" i="59"/>
  <c r="Q39" i="59"/>
  <c r="P39" i="59"/>
  <c r="O39" i="59"/>
  <c r="L39" i="59"/>
  <c r="K39" i="59"/>
  <c r="J39" i="59"/>
  <c r="I39" i="59"/>
  <c r="H39" i="59"/>
  <c r="G39" i="59"/>
  <c r="F39" i="59"/>
  <c r="E39" i="59"/>
  <c r="D39" i="59"/>
  <c r="C39" i="59"/>
  <c r="A39" i="59"/>
  <c r="V38" i="59"/>
  <c r="U38" i="59"/>
  <c r="T38" i="59"/>
  <c r="S38" i="59"/>
  <c r="R38" i="59"/>
  <c r="Q38" i="59"/>
  <c r="P38" i="59"/>
  <c r="O38" i="59"/>
  <c r="A38" i="59"/>
  <c r="V37" i="59"/>
  <c r="U37" i="59"/>
  <c r="T37" i="59"/>
  <c r="S37" i="59"/>
  <c r="R37" i="59"/>
  <c r="Q37" i="59"/>
  <c r="P37" i="59"/>
  <c r="O37" i="59"/>
  <c r="L37" i="59"/>
  <c r="K37" i="59"/>
  <c r="J37" i="59"/>
  <c r="I37" i="59"/>
  <c r="H37" i="59"/>
  <c r="G37" i="59"/>
  <c r="F37" i="59"/>
  <c r="E37" i="59"/>
  <c r="D37" i="59"/>
  <c r="C37" i="59"/>
  <c r="A37" i="59"/>
  <c r="V36" i="59"/>
  <c r="U36" i="59"/>
  <c r="T36" i="59"/>
  <c r="S36" i="59"/>
  <c r="R36" i="59"/>
  <c r="Q36" i="59"/>
  <c r="P36" i="59"/>
  <c r="O36" i="59"/>
  <c r="D36" i="59"/>
  <c r="C36" i="59"/>
  <c r="A36" i="59"/>
  <c r="V35" i="59"/>
  <c r="U35" i="59"/>
  <c r="T35" i="59"/>
  <c r="S35" i="59"/>
  <c r="R35" i="59"/>
  <c r="Q35" i="59"/>
  <c r="P35" i="59"/>
  <c r="O35" i="59"/>
  <c r="A35" i="59"/>
  <c r="V34" i="59"/>
  <c r="U34" i="59"/>
  <c r="T34" i="59"/>
  <c r="S34" i="59"/>
  <c r="R34" i="59"/>
  <c r="Q34" i="59"/>
  <c r="P34" i="59"/>
  <c r="O34" i="59"/>
  <c r="L34" i="59"/>
  <c r="K34" i="59"/>
  <c r="J34" i="59"/>
  <c r="I34" i="59"/>
  <c r="H34" i="59"/>
  <c r="G34" i="59"/>
  <c r="F34" i="59"/>
  <c r="E34" i="59"/>
  <c r="D34" i="59"/>
  <c r="C34" i="59"/>
  <c r="A34" i="59"/>
  <c r="V33" i="59"/>
  <c r="U33" i="59"/>
  <c r="T33" i="59"/>
  <c r="S33" i="59"/>
  <c r="R33" i="59"/>
  <c r="Q33" i="59"/>
  <c r="P33" i="59"/>
  <c r="O33" i="59"/>
  <c r="L33" i="59"/>
  <c r="K33" i="59"/>
  <c r="J33" i="59"/>
  <c r="I33" i="59"/>
  <c r="H33" i="59"/>
  <c r="G33" i="59"/>
  <c r="F33" i="59"/>
  <c r="E33" i="59"/>
  <c r="T32" i="59"/>
  <c r="S32" i="59"/>
  <c r="V31" i="59"/>
  <c r="U31" i="59"/>
  <c r="T31" i="59"/>
  <c r="S31" i="59"/>
  <c r="R31" i="59"/>
  <c r="Q31" i="59"/>
  <c r="P31" i="59"/>
  <c r="O31" i="59"/>
  <c r="N31" i="59"/>
  <c r="M31" i="59"/>
  <c r="J20" i="59"/>
  <c r="I20" i="59"/>
  <c r="H20" i="59"/>
  <c r="G20" i="59"/>
  <c r="J19" i="59"/>
  <c r="I19" i="59"/>
  <c r="H19" i="59"/>
  <c r="G19" i="59"/>
  <c r="J18" i="59"/>
  <c r="I18" i="59"/>
  <c r="H18" i="59"/>
  <c r="G18" i="59"/>
  <c r="J17" i="59"/>
  <c r="I17" i="59"/>
  <c r="H17" i="59"/>
  <c r="G17" i="59"/>
  <c r="J16" i="59"/>
  <c r="I16" i="59"/>
  <c r="H16" i="59"/>
  <c r="G16" i="59"/>
  <c r="J15" i="59"/>
  <c r="I15" i="59"/>
  <c r="H15" i="59"/>
  <c r="G15" i="59"/>
  <c r="J14" i="59"/>
  <c r="I14" i="59"/>
  <c r="H14" i="59"/>
  <c r="G14" i="59"/>
  <c r="J13" i="59"/>
  <c r="I13" i="59"/>
  <c r="H13" i="59"/>
  <c r="G13" i="59"/>
  <c r="J12" i="59"/>
  <c r="H12" i="59"/>
  <c r="G12" i="59"/>
  <c r="J11" i="59"/>
  <c r="H11" i="59"/>
  <c r="G11" i="59"/>
  <c r="E7" i="59"/>
  <c r="B7" i="59"/>
  <c r="H126" i="97"/>
  <c r="G126" i="97"/>
  <c r="F126" i="97"/>
  <c r="E126" i="97"/>
  <c r="D126" i="97"/>
  <c r="I125" i="97"/>
  <c r="H125" i="97"/>
  <c r="F125" i="97"/>
  <c r="E125" i="97"/>
  <c r="D125" i="97"/>
  <c r="C125" i="97"/>
  <c r="I124" i="97"/>
  <c r="H124" i="97"/>
  <c r="F124" i="97"/>
  <c r="E124" i="97"/>
  <c r="D124" i="97"/>
  <c r="C124" i="97"/>
  <c r="I123" i="97"/>
  <c r="H123" i="97"/>
  <c r="F123" i="97"/>
  <c r="E123" i="97"/>
  <c r="D123" i="97"/>
  <c r="C123" i="97"/>
  <c r="I122" i="97"/>
  <c r="H122" i="97"/>
  <c r="F122" i="97"/>
  <c r="E122" i="97"/>
  <c r="D122" i="97"/>
  <c r="C122" i="97"/>
  <c r="I121" i="97"/>
  <c r="H121" i="97"/>
  <c r="F121" i="97"/>
  <c r="E121" i="97"/>
  <c r="D121" i="97"/>
  <c r="C121" i="97"/>
  <c r="V103" i="97"/>
  <c r="U103" i="97"/>
  <c r="T103" i="97"/>
  <c r="S103" i="97"/>
  <c r="R103" i="97"/>
  <c r="Q103" i="97"/>
  <c r="P103" i="97"/>
  <c r="O103" i="97"/>
  <c r="N103" i="97"/>
  <c r="A103" i="97"/>
  <c r="V102" i="97"/>
  <c r="U102" i="97"/>
  <c r="T102" i="97"/>
  <c r="S102" i="97"/>
  <c r="R102" i="97"/>
  <c r="Q102" i="97"/>
  <c r="P102" i="97"/>
  <c r="O102" i="97"/>
  <c r="N102" i="97"/>
  <c r="A102" i="97"/>
  <c r="V101" i="97"/>
  <c r="U101" i="97"/>
  <c r="T101" i="97"/>
  <c r="S101" i="97"/>
  <c r="R101" i="97"/>
  <c r="Q101" i="97"/>
  <c r="P101" i="97"/>
  <c r="O101" i="97"/>
  <c r="N101" i="97"/>
  <c r="A101" i="97"/>
  <c r="V100" i="97"/>
  <c r="U100" i="97"/>
  <c r="T100" i="97"/>
  <c r="S100" i="97"/>
  <c r="R100" i="97"/>
  <c r="Q100" i="97"/>
  <c r="P100" i="97"/>
  <c r="O100" i="97"/>
  <c r="N100" i="97"/>
  <c r="A100" i="97"/>
  <c r="V99" i="97"/>
  <c r="U99" i="97"/>
  <c r="T99" i="97"/>
  <c r="S99" i="97"/>
  <c r="R99" i="97"/>
  <c r="Q99" i="97"/>
  <c r="P99" i="97"/>
  <c r="O99" i="97"/>
  <c r="N99" i="97"/>
  <c r="A99" i="97"/>
  <c r="V98" i="97"/>
  <c r="U98" i="97"/>
  <c r="T98" i="97"/>
  <c r="S98" i="97"/>
  <c r="R98" i="97"/>
  <c r="Q98" i="97"/>
  <c r="P98" i="97"/>
  <c r="O98" i="97"/>
  <c r="N98" i="97"/>
  <c r="A98" i="97"/>
  <c r="V97" i="97"/>
  <c r="U97" i="97"/>
  <c r="T97" i="97"/>
  <c r="S97" i="97"/>
  <c r="R97" i="97"/>
  <c r="Q97" i="97"/>
  <c r="P97" i="97"/>
  <c r="O97" i="97"/>
  <c r="N97" i="97"/>
  <c r="A97" i="97"/>
  <c r="V96" i="97"/>
  <c r="U96" i="97"/>
  <c r="T96" i="97"/>
  <c r="S96" i="97"/>
  <c r="R96" i="97"/>
  <c r="Q96" i="97"/>
  <c r="P96" i="97"/>
  <c r="O96" i="97"/>
  <c r="N96" i="97"/>
  <c r="A96" i="97"/>
  <c r="V95" i="97"/>
  <c r="U95" i="97"/>
  <c r="T95" i="97"/>
  <c r="S95" i="97"/>
  <c r="R95" i="97"/>
  <c r="Q95" i="97"/>
  <c r="P95" i="97"/>
  <c r="O95" i="97"/>
  <c r="N95" i="97"/>
  <c r="A95" i="97"/>
  <c r="V94" i="97"/>
  <c r="U94" i="97"/>
  <c r="T94" i="97"/>
  <c r="S94" i="97"/>
  <c r="R94" i="97"/>
  <c r="Q94" i="97"/>
  <c r="P94" i="97"/>
  <c r="O94" i="97"/>
  <c r="N94" i="97"/>
  <c r="A94" i="97"/>
  <c r="V93" i="97"/>
  <c r="U93" i="97"/>
  <c r="T93" i="97"/>
  <c r="S93" i="97"/>
  <c r="R93" i="97"/>
  <c r="Q93" i="97"/>
  <c r="P93" i="97"/>
  <c r="O93" i="97"/>
  <c r="N93" i="97"/>
  <c r="A93" i="97"/>
  <c r="V92" i="97"/>
  <c r="U92" i="97"/>
  <c r="T92" i="97"/>
  <c r="S92" i="97"/>
  <c r="R92" i="97"/>
  <c r="Q92" i="97"/>
  <c r="P92" i="97"/>
  <c r="O92" i="97"/>
  <c r="N92" i="97"/>
  <c r="A92" i="97"/>
  <c r="V91" i="97"/>
  <c r="U91" i="97"/>
  <c r="T91" i="97"/>
  <c r="S91" i="97"/>
  <c r="R91" i="97"/>
  <c r="Q91" i="97"/>
  <c r="P91" i="97"/>
  <c r="O91" i="97"/>
  <c r="N91" i="97"/>
  <c r="A91" i="97"/>
  <c r="V90" i="97"/>
  <c r="U90" i="97"/>
  <c r="T90" i="97"/>
  <c r="S90" i="97"/>
  <c r="R90" i="97"/>
  <c r="Q90" i="97"/>
  <c r="P90" i="97"/>
  <c r="O90" i="97"/>
  <c r="N90" i="97"/>
  <c r="A90" i="97"/>
  <c r="V89" i="97"/>
  <c r="U89" i="97"/>
  <c r="T89" i="97"/>
  <c r="S89" i="97"/>
  <c r="R89" i="97"/>
  <c r="Q89" i="97"/>
  <c r="P89" i="97"/>
  <c r="O89" i="97"/>
  <c r="N89" i="97"/>
  <c r="A89" i="97"/>
  <c r="V88" i="97"/>
  <c r="U88" i="97"/>
  <c r="T88" i="97"/>
  <c r="S88" i="97"/>
  <c r="R88" i="97"/>
  <c r="Q88" i="97"/>
  <c r="P88" i="97"/>
  <c r="O88" i="97"/>
  <c r="N88" i="97"/>
  <c r="A88" i="97"/>
  <c r="V87" i="97"/>
  <c r="U87" i="97"/>
  <c r="T87" i="97"/>
  <c r="S87" i="97"/>
  <c r="R87" i="97"/>
  <c r="Q87" i="97"/>
  <c r="P87" i="97"/>
  <c r="O87" i="97"/>
  <c r="N87" i="97"/>
  <c r="A87" i="97"/>
  <c r="V86" i="97"/>
  <c r="U86" i="97"/>
  <c r="T86" i="97"/>
  <c r="S86" i="97"/>
  <c r="R86" i="97"/>
  <c r="Q86" i="97"/>
  <c r="P86" i="97"/>
  <c r="O86" i="97"/>
  <c r="N86" i="97"/>
  <c r="A86" i="97"/>
  <c r="V85" i="97"/>
  <c r="U85" i="97"/>
  <c r="T85" i="97"/>
  <c r="S85" i="97"/>
  <c r="R85" i="97"/>
  <c r="Q85" i="97"/>
  <c r="P85" i="97"/>
  <c r="O85" i="97"/>
  <c r="N85" i="97"/>
  <c r="A85" i="97"/>
  <c r="V84" i="97"/>
  <c r="U84" i="97"/>
  <c r="T84" i="97"/>
  <c r="S84" i="97"/>
  <c r="R84" i="97"/>
  <c r="Q84" i="97"/>
  <c r="P84" i="97"/>
  <c r="O84" i="97"/>
  <c r="N84" i="97"/>
  <c r="A84" i="97"/>
  <c r="V83" i="97"/>
  <c r="U83" i="97"/>
  <c r="T83" i="97"/>
  <c r="S83" i="97"/>
  <c r="R83" i="97"/>
  <c r="Q83" i="97"/>
  <c r="P83" i="97"/>
  <c r="O83" i="97"/>
  <c r="N83" i="97"/>
  <c r="A83" i="97"/>
  <c r="V82" i="97"/>
  <c r="U82" i="97"/>
  <c r="T82" i="97"/>
  <c r="S82" i="97"/>
  <c r="R82" i="97"/>
  <c r="Q82" i="97"/>
  <c r="P82" i="97"/>
  <c r="O82" i="97"/>
  <c r="N82" i="97"/>
  <c r="L82" i="97"/>
  <c r="K82" i="97"/>
  <c r="J82" i="97"/>
  <c r="I82" i="97"/>
  <c r="H82" i="97"/>
  <c r="G82" i="97"/>
  <c r="F82" i="97"/>
  <c r="A82" i="97"/>
  <c r="V81" i="97"/>
  <c r="U81" i="97"/>
  <c r="T81" i="97"/>
  <c r="S81" i="97"/>
  <c r="R81" i="97"/>
  <c r="Q81" i="97"/>
  <c r="P81" i="97"/>
  <c r="O81" i="97"/>
  <c r="N81" i="97"/>
  <c r="A81" i="97"/>
  <c r="V80" i="97"/>
  <c r="U80" i="97"/>
  <c r="T80" i="97"/>
  <c r="S80" i="97"/>
  <c r="R80" i="97"/>
  <c r="Q80" i="97"/>
  <c r="P80" i="97"/>
  <c r="O80" i="97"/>
  <c r="N80" i="97"/>
  <c r="A80" i="97"/>
  <c r="V79" i="97"/>
  <c r="U79" i="97"/>
  <c r="T79" i="97"/>
  <c r="S79" i="97"/>
  <c r="R79" i="97"/>
  <c r="Q79" i="97"/>
  <c r="P79" i="97"/>
  <c r="O79" i="97"/>
  <c r="N79" i="97"/>
  <c r="A79" i="97"/>
  <c r="V78" i="97"/>
  <c r="U78" i="97"/>
  <c r="T78" i="97"/>
  <c r="S78" i="97"/>
  <c r="R78" i="97"/>
  <c r="Q78" i="97"/>
  <c r="P78" i="97"/>
  <c r="O78" i="97"/>
  <c r="N78" i="97"/>
  <c r="A78" i="97"/>
  <c r="V77" i="97"/>
  <c r="U77" i="97"/>
  <c r="T77" i="97"/>
  <c r="S77" i="97"/>
  <c r="R77" i="97"/>
  <c r="Q77" i="97"/>
  <c r="P77" i="97"/>
  <c r="O77" i="97"/>
  <c r="N77" i="97"/>
  <c r="A77" i="97"/>
  <c r="V76" i="97"/>
  <c r="U76" i="97"/>
  <c r="T76" i="97"/>
  <c r="S76" i="97"/>
  <c r="R76" i="97"/>
  <c r="Q76" i="97"/>
  <c r="P76" i="97"/>
  <c r="O76" i="97"/>
  <c r="N76" i="97"/>
  <c r="A76" i="97"/>
  <c r="V75" i="97"/>
  <c r="U75" i="97"/>
  <c r="T75" i="97"/>
  <c r="S75" i="97"/>
  <c r="R75" i="97"/>
  <c r="Q75" i="97"/>
  <c r="P75" i="97"/>
  <c r="O75" i="97"/>
  <c r="N75" i="97"/>
  <c r="A75" i="97"/>
  <c r="V74" i="97"/>
  <c r="U74" i="97"/>
  <c r="T74" i="97"/>
  <c r="S74" i="97"/>
  <c r="R74" i="97"/>
  <c r="Q74" i="97"/>
  <c r="P74" i="97"/>
  <c r="O74" i="97"/>
  <c r="N74" i="97"/>
  <c r="A74" i="97"/>
  <c r="V73" i="97"/>
  <c r="U73" i="97"/>
  <c r="T73" i="97"/>
  <c r="S73" i="97"/>
  <c r="R73" i="97"/>
  <c r="Q73" i="97"/>
  <c r="P73" i="97"/>
  <c r="O73" i="97"/>
  <c r="N73" i="97"/>
  <c r="A73" i="97"/>
  <c r="V72" i="97"/>
  <c r="U72" i="97"/>
  <c r="T72" i="97"/>
  <c r="S72" i="97"/>
  <c r="R72" i="97"/>
  <c r="Q72" i="97"/>
  <c r="P72" i="97"/>
  <c r="O72" i="97"/>
  <c r="N72" i="97"/>
  <c r="A72" i="97"/>
  <c r="V71" i="97"/>
  <c r="U71" i="97"/>
  <c r="T71" i="97"/>
  <c r="S71" i="97"/>
  <c r="R71" i="97"/>
  <c r="Q71" i="97"/>
  <c r="P71" i="97"/>
  <c r="O71" i="97"/>
  <c r="N71" i="97"/>
  <c r="L71" i="97"/>
  <c r="K71" i="97"/>
  <c r="J71" i="97"/>
  <c r="I71" i="97"/>
  <c r="H71" i="97"/>
  <c r="G71" i="97"/>
  <c r="F71" i="97"/>
  <c r="E71" i="97"/>
  <c r="D71" i="97"/>
  <c r="C71" i="97"/>
  <c r="A71" i="97"/>
  <c r="V70" i="97"/>
  <c r="U70" i="97"/>
  <c r="T70" i="97"/>
  <c r="S70" i="97"/>
  <c r="R70" i="97"/>
  <c r="Q70" i="97"/>
  <c r="P70" i="97"/>
  <c r="O70" i="97"/>
  <c r="N70" i="97"/>
  <c r="A70" i="97"/>
  <c r="L69" i="97"/>
  <c r="K69" i="97"/>
  <c r="J69" i="97"/>
  <c r="I69" i="97"/>
  <c r="H69" i="97"/>
  <c r="G69" i="97"/>
  <c r="F69" i="97"/>
  <c r="E69" i="97"/>
  <c r="D69" i="97"/>
  <c r="C69" i="97"/>
  <c r="A69" i="97"/>
  <c r="V68" i="97"/>
  <c r="U68" i="97"/>
  <c r="T68" i="97"/>
  <c r="S68" i="97"/>
  <c r="R68" i="97"/>
  <c r="Q68" i="97"/>
  <c r="P68" i="97"/>
  <c r="O68" i="97"/>
  <c r="N68" i="97"/>
  <c r="C68" i="97"/>
  <c r="A68" i="97"/>
  <c r="V67" i="97"/>
  <c r="U67" i="97"/>
  <c r="T67" i="97"/>
  <c r="S67" i="97"/>
  <c r="R67" i="97"/>
  <c r="Q67" i="97"/>
  <c r="P67" i="97"/>
  <c r="O67" i="97"/>
  <c r="N67" i="97"/>
  <c r="A67" i="97"/>
  <c r="V66" i="97"/>
  <c r="U66" i="97"/>
  <c r="T66" i="97"/>
  <c r="S66" i="97"/>
  <c r="R66" i="97"/>
  <c r="Q66" i="97"/>
  <c r="P66" i="97"/>
  <c r="O66" i="97"/>
  <c r="N66" i="97"/>
  <c r="A66" i="97"/>
  <c r="C65" i="97"/>
  <c r="A65" i="97"/>
  <c r="V64" i="97"/>
  <c r="U64" i="97"/>
  <c r="T64" i="97"/>
  <c r="S64" i="97"/>
  <c r="R64" i="97"/>
  <c r="Q64" i="97"/>
  <c r="P64" i="97"/>
  <c r="O64" i="97"/>
  <c r="N64" i="97"/>
  <c r="C64" i="97"/>
  <c r="A64" i="97"/>
  <c r="V63" i="97"/>
  <c r="U63" i="97"/>
  <c r="T63" i="97"/>
  <c r="S63" i="97"/>
  <c r="R63" i="97"/>
  <c r="Q63" i="97"/>
  <c r="P63" i="97"/>
  <c r="O63" i="97"/>
  <c r="N63" i="97"/>
  <c r="A63" i="97"/>
  <c r="V62" i="97"/>
  <c r="U62" i="97"/>
  <c r="T62" i="97"/>
  <c r="S62" i="97"/>
  <c r="R62" i="97"/>
  <c r="Q62" i="97"/>
  <c r="P62" i="97"/>
  <c r="O62" i="97"/>
  <c r="N62" i="97"/>
  <c r="A62" i="97"/>
  <c r="V61" i="97"/>
  <c r="U61" i="97"/>
  <c r="T61" i="97"/>
  <c r="S61" i="97"/>
  <c r="R61" i="97"/>
  <c r="Q61" i="97"/>
  <c r="P61" i="97"/>
  <c r="O61" i="97"/>
  <c r="N61" i="97"/>
  <c r="A61" i="97"/>
  <c r="V60" i="97"/>
  <c r="U60" i="97"/>
  <c r="T60" i="97"/>
  <c r="S60" i="97"/>
  <c r="R60" i="97"/>
  <c r="Q60" i="97"/>
  <c r="P60" i="97"/>
  <c r="O60" i="97"/>
  <c r="N60" i="97"/>
  <c r="A60" i="97"/>
  <c r="V59" i="97"/>
  <c r="U59" i="97"/>
  <c r="T59" i="97"/>
  <c r="S59" i="97"/>
  <c r="R59" i="97"/>
  <c r="Q59" i="97"/>
  <c r="P59" i="97"/>
  <c r="O59" i="97"/>
  <c r="N59" i="97"/>
  <c r="A59" i="97"/>
  <c r="V58" i="97"/>
  <c r="U58" i="97"/>
  <c r="T58" i="97"/>
  <c r="S58" i="97"/>
  <c r="R58" i="97"/>
  <c r="Q58" i="97"/>
  <c r="P58" i="97"/>
  <c r="O58" i="97"/>
  <c r="N58" i="97"/>
  <c r="C58" i="97"/>
  <c r="A58" i="97"/>
  <c r="V57" i="97"/>
  <c r="U57" i="97"/>
  <c r="T57" i="97"/>
  <c r="S57" i="97"/>
  <c r="R57" i="97"/>
  <c r="Q57" i="97"/>
  <c r="P57" i="97"/>
  <c r="O57" i="97"/>
  <c r="N57" i="97"/>
  <c r="C57" i="97"/>
  <c r="A57" i="97"/>
  <c r="V56" i="97"/>
  <c r="U56" i="97"/>
  <c r="T56" i="97"/>
  <c r="S56" i="97"/>
  <c r="R56" i="97"/>
  <c r="Q56" i="97"/>
  <c r="P56" i="97"/>
  <c r="O56" i="97"/>
  <c r="N56" i="97"/>
  <c r="A56" i="97"/>
  <c r="V55" i="97"/>
  <c r="U55" i="97"/>
  <c r="T55" i="97"/>
  <c r="S55" i="97"/>
  <c r="R55" i="97"/>
  <c r="Q55" i="97"/>
  <c r="P55" i="97"/>
  <c r="O55" i="97"/>
  <c r="N55" i="97"/>
  <c r="A55" i="97"/>
  <c r="V54" i="97"/>
  <c r="U54" i="97"/>
  <c r="T54" i="97"/>
  <c r="S54" i="97"/>
  <c r="R54" i="97"/>
  <c r="Q54" i="97"/>
  <c r="P54" i="97"/>
  <c r="O54" i="97"/>
  <c r="N54" i="97"/>
  <c r="C54" i="97"/>
  <c r="A54" i="97"/>
  <c r="V53" i="97"/>
  <c r="U53" i="97"/>
  <c r="T53" i="97"/>
  <c r="S53" i="97"/>
  <c r="R53" i="97"/>
  <c r="Q53" i="97"/>
  <c r="P53" i="97"/>
  <c r="O53" i="97"/>
  <c r="N53" i="97"/>
  <c r="L53" i="97"/>
  <c r="K53" i="97"/>
  <c r="J53" i="97"/>
  <c r="I53" i="97"/>
  <c r="H53" i="97"/>
  <c r="G53" i="97"/>
  <c r="F53" i="97"/>
  <c r="E53" i="97"/>
  <c r="D53" i="97"/>
  <c r="C53" i="97"/>
  <c r="A53" i="97"/>
  <c r="V52" i="97"/>
  <c r="U52" i="97"/>
  <c r="T52" i="97"/>
  <c r="S52" i="97"/>
  <c r="R52" i="97"/>
  <c r="Q52" i="97"/>
  <c r="P52" i="97"/>
  <c r="O52" i="97"/>
  <c r="N52" i="97"/>
  <c r="L52" i="97"/>
  <c r="K52" i="97"/>
  <c r="J52" i="97"/>
  <c r="I52" i="97"/>
  <c r="H52" i="97"/>
  <c r="G52" i="97"/>
  <c r="F52" i="97"/>
  <c r="E52" i="97"/>
  <c r="D52" i="97"/>
  <c r="C52" i="97"/>
  <c r="A52" i="97"/>
  <c r="V51" i="97"/>
  <c r="U51" i="97"/>
  <c r="T51" i="97"/>
  <c r="S51" i="97"/>
  <c r="R51" i="97"/>
  <c r="Q51" i="97"/>
  <c r="P51" i="97"/>
  <c r="O51" i="97"/>
  <c r="N51" i="97"/>
  <c r="A51" i="97"/>
  <c r="V50" i="97"/>
  <c r="U50" i="97"/>
  <c r="T50" i="97"/>
  <c r="S50" i="97"/>
  <c r="R50" i="97"/>
  <c r="Q50" i="97"/>
  <c r="P50" i="97"/>
  <c r="O50" i="97"/>
  <c r="N50" i="97"/>
  <c r="A50" i="97"/>
  <c r="V49" i="97"/>
  <c r="U49" i="97"/>
  <c r="T49" i="97"/>
  <c r="S49" i="97"/>
  <c r="R49" i="97"/>
  <c r="Q49" i="97"/>
  <c r="P49" i="97"/>
  <c r="O49" i="97"/>
  <c r="N49" i="97"/>
  <c r="A49" i="97"/>
  <c r="V48" i="97"/>
  <c r="U48" i="97"/>
  <c r="T48" i="97"/>
  <c r="S48" i="97"/>
  <c r="R48" i="97"/>
  <c r="Q48" i="97"/>
  <c r="P48" i="97"/>
  <c r="O48" i="97"/>
  <c r="N48" i="97"/>
  <c r="A48" i="97"/>
  <c r="V47" i="97"/>
  <c r="U47" i="97"/>
  <c r="T47" i="97"/>
  <c r="S47" i="97"/>
  <c r="R47" i="97"/>
  <c r="Q47" i="97"/>
  <c r="P47" i="97"/>
  <c r="O47" i="97"/>
  <c r="N47" i="97"/>
  <c r="A47" i="97"/>
  <c r="V46" i="97"/>
  <c r="U46" i="97"/>
  <c r="T46" i="97"/>
  <c r="S46" i="97"/>
  <c r="R46" i="97"/>
  <c r="Q46" i="97"/>
  <c r="P46" i="97"/>
  <c r="O46" i="97"/>
  <c r="N46" i="97"/>
  <c r="A46" i="97"/>
  <c r="V45" i="97"/>
  <c r="U45" i="97"/>
  <c r="T45" i="97"/>
  <c r="S45" i="97"/>
  <c r="R45" i="97"/>
  <c r="Q45" i="97"/>
  <c r="P45" i="97"/>
  <c r="O45" i="97"/>
  <c r="N45" i="97"/>
  <c r="A45" i="97"/>
  <c r="V44" i="97"/>
  <c r="U44" i="97"/>
  <c r="T44" i="97"/>
  <c r="S44" i="97"/>
  <c r="R44" i="97"/>
  <c r="Q44" i="97"/>
  <c r="P44" i="97"/>
  <c r="O44" i="97"/>
  <c r="N44" i="97"/>
  <c r="A44" i="97"/>
  <c r="V43" i="97"/>
  <c r="U43" i="97"/>
  <c r="T43" i="97"/>
  <c r="S43" i="97"/>
  <c r="R43" i="97"/>
  <c r="Q43" i="97"/>
  <c r="P43" i="97"/>
  <c r="O43" i="97"/>
  <c r="N43" i="97"/>
  <c r="L43" i="97"/>
  <c r="K43" i="97"/>
  <c r="J43" i="97"/>
  <c r="I43" i="97"/>
  <c r="H43" i="97"/>
  <c r="G43" i="97"/>
  <c r="F43" i="97"/>
  <c r="E43" i="97"/>
  <c r="D43" i="97"/>
  <c r="C43" i="97"/>
  <c r="A43" i="97"/>
  <c r="V42" i="97"/>
  <c r="U42" i="97"/>
  <c r="T42" i="97"/>
  <c r="S42" i="97"/>
  <c r="R42" i="97"/>
  <c r="Q42" i="97"/>
  <c r="P42" i="97"/>
  <c r="O42" i="97"/>
  <c r="N42" i="97"/>
  <c r="L42" i="97"/>
  <c r="K42" i="97"/>
  <c r="J42" i="97"/>
  <c r="I42" i="97"/>
  <c r="H42" i="97"/>
  <c r="G42" i="97"/>
  <c r="F42" i="97"/>
  <c r="E42" i="97"/>
  <c r="D42" i="97"/>
  <c r="C42" i="97"/>
  <c r="A42" i="97"/>
  <c r="V41" i="97"/>
  <c r="U41" i="97"/>
  <c r="T41" i="97"/>
  <c r="S41" i="97"/>
  <c r="R41" i="97"/>
  <c r="Q41" i="97"/>
  <c r="P41" i="97"/>
  <c r="O41" i="97"/>
  <c r="N41" i="97"/>
  <c r="L41" i="97"/>
  <c r="K41" i="97"/>
  <c r="J41" i="97"/>
  <c r="I41" i="97"/>
  <c r="H41" i="97"/>
  <c r="G41" i="97"/>
  <c r="F41" i="97"/>
  <c r="E41" i="97"/>
  <c r="D41" i="97"/>
  <c r="C41" i="97"/>
  <c r="A41" i="97"/>
  <c r="V40" i="97"/>
  <c r="U40" i="97"/>
  <c r="T40" i="97"/>
  <c r="S40" i="97"/>
  <c r="R40" i="97"/>
  <c r="Q40" i="97"/>
  <c r="P40" i="97"/>
  <c r="O40" i="97"/>
  <c r="N40" i="97"/>
  <c r="A40" i="97"/>
  <c r="V39" i="97"/>
  <c r="U39" i="97"/>
  <c r="T39" i="97"/>
  <c r="S39" i="97"/>
  <c r="R39" i="97"/>
  <c r="Q39" i="97"/>
  <c r="P39" i="97"/>
  <c r="O39" i="97"/>
  <c r="N39" i="97"/>
  <c r="L39" i="97"/>
  <c r="K39" i="97"/>
  <c r="J39" i="97"/>
  <c r="I39" i="97"/>
  <c r="H39" i="97"/>
  <c r="G39" i="97"/>
  <c r="F39" i="97"/>
  <c r="E39" i="97"/>
  <c r="D39" i="97"/>
  <c r="A39" i="97"/>
  <c r="V38" i="97"/>
  <c r="U38" i="97"/>
  <c r="T38" i="97"/>
  <c r="S38" i="97"/>
  <c r="R38" i="97"/>
  <c r="Q38" i="97"/>
  <c r="P38" i="97"/>
  <c r="O38" i="97"/>
  <c r="N38" i="97"/>
  <c r="A38" i="97"/>
  <c r="V37" i="97"/>
  <c r="U37" i="97"/>
  <c r="T37" i="97"/>
  <c r="S37" i="97"/>
  <c r="R37" i="97"/>
  <c r="Q37" i="97"/>
  <c r="P37" i="97"/>
  <c r="O37" i="97"/>
  <c r="N37" i="97"/>
  <c r="L37" i="97"/>
  <c r="K37" i="97"/>
  <c r="J37" i="97"/>
  <c r="I37" i="97"/>
  <c r="H37" i="97"/>
  <c r="G37" i="97"/>
  <c r="F37" i="97"/>
  <c r="E37" i="97"/>
  <c r="D37" i="97"/>
  <c r="C37" i="97"/>
  <c r="A37" i="97"/>
  <c r="V36" i="97"/>
  <c r="U36" i="97"/>
  <c r="T36" i="97"/>
  <c r="S36" i="97"/>
  <c r="R36" i="97"/>
  <c r="Q36" i="97"/>
  <c r="P36" i="97"/>
  <c r="O36" i="97"/>
  <c r="N36" i="97"/>
  <c r="C36" i="97"/>
  <c r="A36" i="97"/>
  <c r="V35" i="97"/>
  <c r="U35" i="97"/>
  <c r="T35" i="97"/>
  <c r="S35" i="97"/>
  <c r="R35" i="97"/>
  <c r="Q35" i="97"/>
  <c r="P35" i="97"/>
  <c r="O35" i="97"/>
  <c r="N35" i="97"/>
  <c r="A35" i="97"/>
  <c r="V34" i="97"/>
  <c r="U34" i="97"/>
  <c r="T34" i="97"/>
  <c r="S34" i="97"/>
  <c r="R34" i="97"/>
  <c r="Q34" i="97"/>
  <c r="P34" i="97"/>
  <c r="O34" i="97"/>
  <c r="N34" i="97"/>
  <c r="L34" i="97"/>
  <c r="K34" i="97"/>
  <c r="J34" i="97"/>
  <c r="I34" i="97"/>
  <c r="H34" i="97"/>
  <c r="G34" i="97"/>
  <c r="F34" i="97"/>
  <c r="E34" i="97"/>
  <c r="D34" i="97"/>
  <c r="C34" i="97"/>
  <c r="A34" i="97"/>
  <c r="V33" i="97"/>
  <c r="U33" i="97"/>
  <c r="T33" i="97"/>
  <c r="S33" i="97"/>
  <c r="R33" i="97"/>
  <c r="Q33" i="97"/>
  <c r="P33" i="97"/>
  <c r="O33" i="97"/>
  <c r="N33" i="97"/>
  <c r="L33" i="97"/>
  <c r="K33" i="97"/>
  <c r="J33" i="97"/>
  <c r="I33" i="97"/>
  <c r="H33" i="97"/>
  <c r="G33" i="97"/>
  <c r="F33" i="97"/>
  <c r="E33" i="97"/>
  <c r="D33" i="97"/>
  <c r="T32" i="97"/>
  <c r="S32" i="97"/>
  <c r="V31" i="97"/>
  <c r="U31" i="97"/>
  <c r="T31" i="97"/>
  <c r="S31" i="97"/>
  <c r="R31" i="97"/>
  <c r="Q31" i="97"/>
  <c r="P31" i="97"/>
  <c r="O31" i="97"/>
  <c r="N31" i="97"/>
  <c r="M31" i="97"/>
  <c r="J20" i="97"/>
  <c r="I20" i="97"/>
  <c r="H20" i="97"/>
  <c r="G20" i="97"/>
  <c r="J19" i="97"/>
  <c r="I19" i="97"/>
  <c r="H19" i="97"/>
  <c r="G19" i="97"/>
  <c r="J18" i="97"/>
  <c r="I18" i="97"/>
  <c r="H18" i="97"/>
  <c r="G18" i="97"/>
  <c r="J17" i="97"/>
  <c r="I17" i="97"/>
  <c r="H17" i="97"/>
  <c r="G17" i="97"/>
  <c r="J16" i="97"/>
  <c r="I16" i="97"/>
  <c r="H16" i="97"/>
  <c r="G16" i="97"/>
  <c r="J15" i="97"/>
  <c r="I15" i="97"/>
  <c r="H15" i="97"/>
  <c r="G15" i="97"/>
  <c r="J14" i="97"/>
  <c r="I14" i="97"/>
  <c r="H14" i="97"/>
  <c r="G14" i="97"/>
  <c r="J13" i="97"/>
  <c r="I13" i="97"/>
  <c r="H13" i="97"/>
  <c r="G13" i="97"/>
  <c r="J12" i="97"/>
  <c r="I12" i="97"/>
  <c r="H12" i="97"/>
  <c r="G12" i="97"/>
  <c r="J11" i="97"/>
  <c r="H11" i="97"/>
  <c r="G11" i="97"/>
  <c r="E7" i="97"/>
  <c r="B7" i="97"/>
  <c r="I11" i="97" s="1"/>
  <c r="C33" i="97" s="1"/>
  <c r="M33" i="97" s="1"/>
  <c r="M92" i="97" s="1"/>
  <c r="H126" i="84"/>
  <c r="G126" i="84"/>
  <c r="F126" i="84"/>
  <c r="E126" i="84"/>
  <c r="D126" i="84"/>
  <c r="I125" i="84"/>
  <c r="H125" i="84"/>
  <c r="F125" i="84"/>
  <c r="E125" i="84"/>
  <c r="D125" i="84"/>
  <c r="C125" i="84"/>
  <c r="I124" i="84"/>
  <c r="H124" i="84"/>
  <c r="F124" i="84"/>
  <c r="E124" i="84"/>
  <c r="D124" i="84"/>
  <c r="C124" i="84"/>
  <c r="I123" i="84"/>
  <c r="H123" i="84"/>
  <c r="F123" i="84"/>
  <c r="E123" i="84"/>
  <c r="D123" i="84"/>
  <c r="C123" i="84"/>
  <c r="I122" i="84"/>
  <c r="H122" i="84"/>
  <c r="F122" i="84"/>
  <c r="E122" i="84"/>
  <c r="D122" i="84"/>
  <c r="C122" i="84"/>
  <c r="I121" i="84"/>
  <c r="H121" i="84"/>
  <c r="F121" i="84"/>
  <c r="E121" i="84"/>
  <c r="D121" i="84"/>
  <c r="C121" i="84"/>
  <c r="V103" i="84"/>
  <c r="U103" i="84"/>
  <c r="T103" i="84"/>
  <c r="S103" i="84"/>
  <c r="R103" i="84"/>
  <c r="Q103" i="84"/>
  <c r="P103" i="84"/>
  <c r="O103" i="84"/>
  <c r="N103" i="84"/>
  <c r="A103" i="84"/>
  <c r="V102" i="84"/>
  <c r="U102" i="84"/>
  <c r="T102" i="84"/>
  <c r="S102" i="84"/>
  <c r="R102" i="84"/>
  <c r="Q102" i="84"/>
  <c r="P102" i="84"/>
  <c r="O102" i="84"/>
  <c r="N102" i="84"/>
  <c r="A102" i="84"/>
  <c r="V101" i="84"/>
  <c r="U101" i="84"/>
  <c r="T101" i="84"/>
  <c r="S101" i="84"/>
  <c r="R101" i="84"/>
  <c r="Q101" i="84"/>
  <c r="P101" i="84"/>
  <c r="O101" i="84"/>
  <c r="N101" i="84"/>
  <c r="A101" i="84"/>
  <c r="V100" i="84"/>
  <c r="U100" i="84"/>
  <c r="T100" i="84"/>
  <c r="S100" i="84"/>
  <c r="R100" i="84"/>
  <c r="Q100" i="84"/>
  <c r="P100" i="84"/>
  <c r="O100" i="84"/>
  <c r="N100" i="84"/>
  <c r="A100" i="84"/>
  <c r="V99" i="84"/>
  <c r="U99" i="84"/>
  <c r="T99" i="84"/>
  <c r="S99" i="84"/>
  <c r="R99" i="84"/>
  <c r="Q99" i="84"/>
  <c r="P99" i="84"/>
  <c r="O99" i="84"/>
  <c r="N99" i="84"/>
  <c r="A99" i="84"/>
  <c r="V98" i="84"/>
  <c r="U98" i="84"/>
  <c r="T98" i="84"/>
  <c r="S98" i="84"/>
  <c r="R98" i="84"/>
  <c r="Q98" i="84"/>
  <c r="P98" i="84"/>
  <c r="O98" i="84"/>
  <c r="N98" i="84"/>
  <c r="A98" i="84"/>
  <c r="V97" i="84"/>
  <c r="U97" i="84"/>
  <c r="T97" i="84"/>
  <c r="S97" i="84"/>
  <c r="R97" i="84"/>
  <c r="Q97" i="84"/>
  <c r="P97" i="84"/>
  <c r="O97" i="84"/>
  <c r="N97" i="84"/>
  <c r="A97" i="84"/>
  <c r="V96" i="84"/>
  <c r="U96" i="84"/>
  <c r="T96" i="84"/>
  <c r="S96" i="84"/>
  <c r="R96" i="84"/>
  <c r="Q96" i="84"/>
  <c r="P96" i="84"/>
  <c r="O96" i="84"/>
  <c r="N96" i="84"/>
  <c r="A96" i="84"/>
  <c r="V95" i="84"/>
  <c r="U95" i="84"/>
  <c r="T95" i="84"/>
  <c r="S95" i="84"/>
  <c r="R95" i="84"/>
  <c r="Q95" i="84"/>
  <c r="P95" i="84"/>
  <c r="O95" i="84"/>
  <c r="N95" i="84"/>
  <c r="A95" i="84"/>
  <c r="V94" i="84"/>
  <c r="U94" i="84"/>
  <c r="T94" i="84"/>
  <c r="S94" i="84"/>
  <c r="R94" i="84"/>
  <c r="Q94" i="84"/>
  <c r="P94" i="84"/>
  <c r="O94" i="84"/>
  <c r="N94" i="84"/>
  <c r="A94" i="84"/>
  <c r="V93" i="84"/>
  <c r="U93" i="84"/>
  <c r="T93" i="84"/>
  <c r="S93" i="84"/>
  <c r="R93" i="84"/>
  <c r="Q93" i="84"/>
  <c r="P93" i="84"/>
  <c r="O93" i="84"/>
  <c r="N93" i="84"/>
  <c r="A93" i="84"/>
  <c r="V92" i="84"/>
  <c r="U92" i="84"/>
  <c r="T92" i="84"/>
  <c r="S92" i="84"/>
  <c r="R92" i="84"/>
  <c r="Q92" i="84"/>
  <c r="P92" i="84"/>
  <c r="O92" i="84"/>
  <c r="N92" i="84"/>
  <c r="A92" i="84"/>
  <c r="V91" i="84"/>
  <c r="U91" i="84"/>
  <c r="T91" i="84"/>
  <c r="S91" i="84"/>
  <c r="R91" i="84"/>
  <c r="Q91" i="84"/>
  <c r="P91" i="84"/>
  <c r="O91" i="84"/>
  <c r="N91" i="84"/>
  <c r="A91" i="84"/>
  <c r="V90" i="84"/>
  <c r="U90" i="84"/>
  <c r="T90" i="84"/>
  <c r="S90" i="84"/>
  <c r="R90" i="84"/>
  <c r="Q90" i="84"/>
  <c r="P90" i="84"/>
  <c r="O90" i="84"/>
  <c r="N90" i="84"/>
  <c r="A90" i="84"/>
  <c r="V89" i="84"/>
  <c r="U89" i="84"/>
  <c r="T89" i="84"/>
  <c r="S89" i="84"/>
  <c r="R89" i="84"/>
  <c r="Q89" i="84"/>
  <c r="P89" i="84"/>
  <c r="O89" i="84"/>
  <c r="N89" i="84"/>
  <c r="A89" i="84"/>
  <c r="V88" i="84"/>
  <c r="U88" i="84"/>
  <c r="T88" i="84"/>
  <c r="S88" i="84"/>
  <c r="R88" i="84"/>
  <c r="Q88" i="84"/>
  <c r="P88" i="84"/>
  <c r="O88" i="84"/>
  <c r="N88" i="84"/>
  <c r="A88" i="84"/>
  <c r="V87" i="84"/>
  <c r="U87" i="84"/>
  <c r="T87" i="84"/>
  <c r="S87" i="84"/>
  <c r="R87" i="84"/>
  <c r="Q87" i="84"/>
  <c r="P87" i="84"/>
  <c r="O87" i="84"/>
  <c r="N87" i="84"/>
  <c r="A87" i="84"/>
  <c r="V86" i="84"/>
  <c r="U86" i="84"/>
  <c r="T86" i="84"/>
  <c r="S86" i="84"/>
  <c r="R86" i="84"/>
  <c r="Q86" i="84"/>
  <c r="P86" i="84"/>
  <c r="O86" i="84"/>
  <c r="N86" i="84"/>
  <c r="A86" i="84"/>
  <c r="V85" i="84"/>
  <c r="U85" i="84"/>
  <c r="T85" i="84"/>
  <c r="S85" i="84"/>
  <c r="R85" i="84"/>
  <c r="Q85" i="84"/>
  <c r="P85" i="84"/>
  <c r="O85" i="84"/>
  <c r="N85" i="84"/>
  <c r="A85" i="84"/>
  <c r="V84" i="84"/>
  <c r="U84" i="84"/>
  <c r="T84" i="84"/>
  <c r="S84" i="84"/>
  <c r="R84" i="84"/>
  <c r="Q84" i="84"/>
  <c r="P84" i="84"/>
  <c r="O84" i="84"/>
  <c r="N84" i="84"/>
  <c r="A84" i="84"/>
  <c r="V83" i="84"/>
  <c r="U83" i="84"/>
  <c r="T83" i="84"/>
  <c r="S83" i="84"/>
  <c r="R83" i="84"/>
  <c r="Q83" i="84"/>
  <c r="P83" i="84"/>
  <c r="O83" i="84"/>
  <c r="N83" i="84"/>
  <c r="A83" i="84"/>
  <c r="V82" i="84"/>
  <c r="U82" i="84"/>
  <c r="T82" i="84"/>
  <c r="S82" i="84"/>
  <c r="R82" i="84"/>
  <c r="Q82" i="84"/>
  <c r="P82" i="84"/>
  <c r="O82" i="84"/>
  <c r="N82" i="84"/>
  <c r="L82" i="84"/>
  <c r="K82" i="84"/>
  <c r="J82" i="84"/>
  <c r="I82" i="84"/>
  <c r="H82" i="84"/>
  <c r="G82" i="84"/>
  <c r="F82" i="84"/>
  <c r="A82" i="84"/>
  <c r="V81" i="84"/>
  <c r="U81" i="84"/>
  <c r="T81" i="84"/>
  <c r="S81" i="84"/>
  <c r="R81" i="84"/>
  <c r="Q81" i="84"/>
  <c r="P81" i="84"/>
  <c r="O81" i="84"/>
  <c r="N81" i="84"/>
  <c r="A81" i="84"/>
  <c r="V80" i="84"/>
  <c r="U80" i="84"/>
  <c r="T80" i="84"/>
  <c r="S80" i="84"/>
  <c r="R80" i="84"/>
  <c r="Q80" i="84"/>
  <c r="P80" i="84"/>
  <c r="O80" i="84"/>
  <c r="N80" i="84"/>
  <c r="A80" i="84"/>
  <c r="V79" i="84"/>
  <c r="U79" i="84"/>
  <c r="T79" i="84"/>
  <c r="S79" i="84"/>
  <c r="R79" i="84"/>
  <c r="Q79" i="84"/>
  <c r="P79" i="84"/>
  <c r="O79" i="84"/>
  <c r="N79" i="84"/>
  <c r="A79" i="84"/>
  <c r="V78" i="84"/>
  <c r="U78" i="84"/>
  <c r="T78" i="84"/>
  <c r="S78" i="84"/>
  <c r="R78" i="84"/>
  <c r="Q78" i="84"/>
  <c r="P78" i="84"/>
  <c r="O78" i="84"/>
  <c r="N78" i="84"/>
  <c r="A78" i="84"/>
  <c r="V77" i="84"/>
  <c r="U77" i="84"/>
  <c r="T77" i="84"/>
  <c r="S77" i="84"/>
  <c r="R77" i="84"/>
  <c r="Q77" i="84"/>
  <c r="P77" i="84"/>
  <c r="O77" i="84"/>
  <c r="N77" i="84"/>
  <c r="A77" i="84"/>
  <c r="V76" i="84"/>
  <c r="U76" i="84"/>
  <c r="T76" i="84"/>
  <c r="S76" i="84"/>
  <c r="R76" i="84"/>
  <c r="Q76" i="84"/>
  <c r="P76" i="84"/>
  <c r="O76" i="84"/>
  <c r="N76" i="84"/>
  <c r="A76" i="84"/>
  <c r="V75" i="84"/>
  <c r="U75" i="84"/>
  <c r="T75" i="84"/>
  <c r="S75" i="84"/>
  <c r="R75" i="84"/>
  <c r="Q75" i="84"/>
  <c r="P75" i="84"/>
  <c r="O75" i="84"/>
  <c r="N75" i="84"/>
  <c r="A75" i="84"/>
  <c r="V74" i="84"/>
  <c r="U74" i="84"/>
  <c r="T74" i="84"/>
  <c r="S74" i="84"/>
  <c r="R74" i="84"/>
  <c r="Q74" i="84"/>
  <c r="P74" i="84"/>
  <c r="O74" i="84"/>
  <c r="N74" i="84"/>
  <c r="A74" i="84"/>
  <c r="V73" i="84"/>
  <c r="U73" i="84"/>
  <c r="T73" i="84"/>
  <c r="S73" i="84"/>
  <c r="R73" i="84"/>
  <c r="Q73" i="84"/>
  <c r="P73" i="84"/>
  <c r="O73" i="84"/>
  <c r="N73" i="84"/>
  <c r="A73" i="84"/>
  <c r="V72" i="84"/>
  <c r="U72" i="84"/>
  <c r="T72" i="84"/>
  <c r="S72" i="84"/>
  <c r="R72" i="84"/>
  <c r="Q72" i="84"/>
  <c r="P72" i="84"/>
  <c r="O72" i="84"/>
  <c r="N72" i="84"/>
  <c r="A72" i="84"/>
  <c r="V71" i="84"/>
  <c r="U71" i="84"/>
  <c r="T71" i="84"/>
  <c r="S71" i="84"/>
  <c r="R71" i="84"/>
  <c r="Q71" i="84"/>
  <c r="P71" i="84"/>
  <c r="O71" i="84"/>
  <c r="N71" i="84"/>
  <c r="L71" i="84"/>
  <c r="K71" i="84"/>
  <c r="J71" i="84"/>
  <c r="I71" i="84"/>
  <c r="H71" i="84"/>
  <c r="G71" i="84"/>
  <c r="F71" i="84"/>
  <c r="E71" i="84"/>
  <c r="D71" i="84"/>
  <c r="C71" i="84"/>
  <c r="A71" i="84"/>
  <c r="V70" i="84"/>
  <c r="U70" i="84"/>
  <c r="T70" i="84"/>
  <c r="S70" i="84"/>
  <c r="R70" i="84"/>
  <c r="Q70" i="84"/>
  <c r="P70" i="84"/>
  <c r="O70" i="84"/>
  <c r="N70" i="84"/>
  <c r="A70" i="84"/>
  <c r="L69" i="84"/>
  <c r="K69" i="84"/>
  <c r="J69" i="84"/>
  <c r="I69" i="84"/>
  <c r="H69" i="84"/>
  <c r="G69" i="84"/>
  <c r="F69" i="84"/>
  <c r="E69" i="84"/>
  <c r="D69" i="84"/>
  <c r="C69" i="84"/>
  <c r="A69" i="84"/>
  <c r="V68" i="84"/>
  <c r="U68" i="84"/>
  <c r="T68" i="84"/>
  <c r="S68" i="84"/>
  <c r="R68" i="84"/>
  <c r="Q68" i="84"/>
  <c r="P68" i="84"/>
  <c r="O68" i="84"/>
  <c r="N68" i="84"/>
  <c r="C68" i="84"/>
  <c r="A68" i="84"/>
  <c r="V67" i="84"/>
  <c r="U67" i="84"/>
  <c r="T67" i="84"/>
  <c r="S67" i="84"/>
  <c r="R67" i="84"/>
  <c r="Q67" i="84"/>
  <c r="P67" i="84"/>
  <c r="O67" i="84"/>
  <c r="N67" i="84"/>
  <c r="A67" i="84"/>
  <c r="V66" i="84"/>
  <c r="U66" i="84"/>
  <c r="T66" i="84"/>
  <c r="S66" i="84"/>
  <c r="R66" i="84"/>
  <c r="Q66" i="84"/>
  <c r="P66" i="84"/>
  <c r="O66" i="84"/>
  <c r="N66" i="84"/>
  <c r="A66" i="84"/>
  <c r="C65" i="84"/>
  <c r="A65" i="84"/>
  <c r="V64" i="84"/>
  <c r="U64" i="84"/>
  <c r="T64" i="84"/>
  <c r="S64" i="84"/>
  <c r="R64" i="84"/>
  <c r="Q64" i="84"/>
  <c r="P64" i="84"/>
  <c r="O64" i="84"/>
  <c r="N64" i="84"/>
  <c r="C64" i="84"/>
  <c r="A64" i="84"/>
  <c r="V63" i="84"/>
  <c r="U63" i="84"/>
  <c r="T63" i="84"/>
  <c r="S63" i="84"/>
  <c r="R63" i="84"/>
  <c r="Q63" i="84"/>
  <c r="P63" i="84"/>
  <c r="O63" i="84"/>
  <c r="N63" i="84"/>
  <c r="A63" i="84"/>
  <c r="V62" i="84"/>
  <c r="U62" i="84"/>
  <c r="T62" i="84"/>
  <c r="S62" i="84"/>
  <c r="R62" i="84"/>
  <c r="Q62" i="84"/>
  <c r="P62" i="84"/>
  <c r="O62" i="84"/>
  <c r="N62" i="84"/>
  <c r="A62" i="84"/>
  <c r="V61" i="84"/>
  <c r="U61" i="84"/>
  <c r="T61" i="84"/>
  <c r="S61" i="84"/>
  <c r="R61" i="84"/>
  <c r="Q61" i="84"/>
  <c r="P61" i="84"/>
  <c r="O61" i="84"/>
  <c r="N61" i="84"/>
  <c r="A61" i="84"/>
  <c r="V60" i="84"/>
  <c r="U60" i="84"/>
  <c r="T60" i="84"/>
  <c r="S60" i="84"/>
  <c r="R60" i="84"/>
  <c r="Q60" i="84"/>
  <c r="P60" i="84"/>
  <c r="O60" i="84"/>
  <c r="N60" i="84"/>
  <c r="A60" i="84"/>
  <c r="V59" i="84"/>
  <c r="U59" i="84"/>
  <c r="T59" i="84"/>
  <c r="S59" i="84"/>
  <c r="R59" i="84"/>
  <c r="Q59" i="84"/>
  <c r="P59" i="84"/>
  <c r="O59" i="84"/>
  <c r="N59" i="84"/>
  <c r="A59" i="84"/>
  <c r="V58" i="84"/>
  <c r="U58" i="84"/>
  <c r="T58" i="84"/>
  <c r="S58" i="84"/>
  <c r="R58" i="84"/>
  <c r="Q58" i="84"/>
  <c r="P58" i="84"/>
  <c r="O58" i="84"/>
  <c r="N58" i="84"/>
  <c r="C58" i="84"/>
  <c r="A58" i="84"/>
  <c r="V57" i="84"/>
  <c r="U57" i="84"/>
  <c r="T57" i="84"/>
  <c r="S57" i="84"/>
  <c r="R57" i="84"/>
  <c r="Q57" i="84"/>
  <c r="P57" i="84"/>
  <c r="O57" i="84"/>
  <c r="N57" i="84"/>
  <c r="C57" i="84"/>
  <c r="A57" i="84"/>
  <c r="V56" i="84"/>
  <c r="U56" i="84"/>
  <c r="T56" i="84"/>
  <c r="S56" i="84"/>
  <c r="R56" i="84"/>
  <c r="Q56" i="84"/>
  <c r="P56" i="84"/>
  <c r="O56" i="84"/>
  <c r="N56" i="84"/>
  <c r="A56" i="84"/>
  <c r="V55" i="84"/>
  <c r="U55" i="84"/>
  <c r="T55" i="84"/>
  <c r="S55" i="84"/>
  <c r="R55" i="84"/>
  <c r="Q55" i="84"/>
  <c r="P55" i="84"/>
  <c r="O55" i="84"/>
  <c r="N55" i="84"/>
  <c r="A55" i="84"/>
  <c r="V54" i="84"/>
  <c r="U54" i="84"/>
  <c r="T54" i="84"/>
  <c r="S54" i="84"/>
  <c r="R54" i="84"/>
  <c r="Q54" i="84"/>
  <c r="P54" i="84"/>
  <c r="O54" i="84"/>
  <c r="N54" i="84"/>
  <c r="C54" i="84"/>
  <c r="A54" i="84"/>
  <c r="V53" i="84"/>
  <c r="U53" i="84"/>
  <c r="T53" i="84"/>
  <c r="S53" i="84"/>
  <c r="R53" i="84"/>
  <c r="Q53" i="84"/>
  <c r="P53" i="84"/>
  <c r="O53" i="84"/>
  <c r="N53" i="84"/>
  <c r="L53" i="84"/>
  <c r="K53" i="84"/>
  <c r="J53" i="84"/>
  <c r="I53" i="84"/>
  <c r="H53" i="84"/>
  <c r="G53" i="84"/>
  <c r="F53" i="84"/>
  <c r="E53" i="84"/>
  <c r="D53" i="84"/>
  <c r="C53" i="84"/>
  <c r="A53" i="84"/>
  <c r="V52" i="84"/>
  <c r="U52" i="84"/>
  <c r="T52" i="84"/>
  <c r="S52" i="84"/>
  <c r="R52" i="84"/>
  <c r="Q52" i="84"/>
  <c r="P52" i="84"/>
  <c r="O52" i="84"/>
  <c r="N52" i="84"/>
  <c r="L52" i="84"/>
  <c r="K52" i="84"/>
  <c r="J52" i="84"/>
  <c r="I52" i="84"/>
  <c r="H52" i="84"/>
  <c r="G52" i="84"/>
  <c r="F52" i="84"/>
  <c r="E52" i="84"/>
  <c r="D52" i="84"/>
  <c r="C52" i="84"/>
  <c r="A52" i="84"/>
  <c r="V51" i="84"/>
  <c r="U51" i="84"/>
  <c r="T51" i="84"/>
  <c r="S51" i="84"/>
  <c r="R51" i="84"/>
  <c r="Q51" i="84"/>
  <c r="P51" i="84"/>
  <c r="O51" i="84"/>
  <c r="N51" i="84"/>
  <c r="A51" i="84"/>
  <c r="V50" i="84"/>
  <c r="U50" i="84"/>
  <c r="T50" i="84"/>
  <c r="S50" i="84"/>
  <c r="R50" i="84"/>
  <c r="Q50" i="84"/>
  <c r="P50" i="84"/>
  <c r="O50" i="84"/>
  <c r="N50" i="84"/>
  <c r="A50" i="84"/>
  <c r="V49" i="84"/>
  <c r="U49" i="84"/>
  <c r="T49" i="84"/>
  <c r="S49" i="84"/>
  <c r="R49" i="84"/>
  <c r="Q49" i="84"/>
  <c r="P49" i="84"/>
  <c r="O49" i="84"/>
  <c r="N49" i="84"/>
  <c r="A49" i="84"/>
  <c r="V48" i="84"/>
  <c r="U48" i="84"/>
  <c r="T48" i="84"/>
  <c r="S48" i="84"/>
  <c r="R48" i="84"/>
  <c r="Q48" i="84"/>
  <c r="P48" i="84"/>
  <c r="O48" i="84"/>
  <c r="N48" i="84"/>
  <c r="A48" i="84"/>
  <c r="V47" i="84"/>
  <c r="U47" i="84"/>
  <c r="T47" i="84"/>
  <c r="S47" i="84"/>
  <c r="R47" i="84"/>
  <c r="Q47" i="84"/>
  <c r="P47" i="84"/>
  <c r="O47" i="84"/>
  <c r="N47" i="84"/>
  <c r="A47" i="84"/>
  <c r="V46" i="84"/>
  <c r="U46" i="84"/>
  <c r="T46" i="84"/>
  <c r="S46" i="84"/>
  <c r="R46" i="84"/>
  <c r="Q46" i="84"/>
  <c r="P46" i="84"/>
  <c r="O46" i="84"/>
  <c r="N46" i="84"/>
  <c r="A46" i="84"/>
  <c r="V45" i="84"/>
  <c r="U45" i="84"/>
  <c r="T45" i="84"/>
  <c r="S45" i="84"/>
  <c r="R45" i="84"/>
  <c r="Q45" i="84"/>
  <c r="P45" i="84"/>
  <c r="O45" i="84"/>
  <c r="N45" i="84"/>
  <c r="A45" i="84"/>
  <c r="V44" i="84"/>
  <c r="U44" i="84"/>
  <c r="T44" i="84"/>
  <c r="S44" i="84"/>
  <c r="R44" i="84"/>
  <c r="Q44" i="84"/>
  <c r="P44" i="84"/>
  <c r="O44" i="84"/>
  <c r="N44" i="84"/>
  <c r="A44" i="84"/>
  <c r="V43" i="84"/>
  <c r="U43" i="84"/>
  <c r="T43" i="84"/>
  <c r="S43" i="84"/>
  <c r="R43" i="84"/>
  <c r="Q43" i="84"/>
  <c r="P43" i="84"/>
  <c r="O43" i="84"/>
  <c r="N43" i="84"/>
  <c r="L43" i="84"/>
  <c r="K43" i="84"/>
  <c r="J43" i="84"/>
  <c r="I43" i="84"/>
  <c r="H43" i="84"/>
  <c r="G43" i="84"/>
  <c r="F43" i="84"/>
  <c r="E43" i="84"/>
  <c r="D43" i="84"/>
  <c r="C43" i="84"/>
  <c r="A43" i="84"/>
  <c r="V42" i="84"/>
  <c r="U42" i="84"/>
  <c r="T42" i="84"/>
  <c r="S42" i="84"/>
  <c r="R42" i="84"/>
  <c r="Q42" i="84"/>
  <c r="P42" i="84"/>
  <c r="O42" i="84"/>
  <c r="N42" i="84"/>
  <c r="L42" i="84"/>
  <c r="K42" i="84"/>
  <c r="J42" i="84"/>
  <c r="I42" i="84"/>
  <c r="H42" i="84"/>
  <c r="G42" i="84"/>
  <c r="F42" i="84"/>
  <c r="E42" i="84"/>
  <c r="D42" i="84"/>
  <c r="C42" i="84"/>
  <c r="A42" i="84"/>
  <c r="V41" i="84"/>
  <c r="U41" i="84"/>
  <c r="T41" i="84"/>
  <c r="S41" i="84"/>
  <c r="R41" i="84"/>
  <c r="Q41" i="84"/>
  <c r="P41" i="84"/>
  <c r="O41" i="84"/>
  <c r="N41" i="84"/>
  <c r="L41" i="84"/>
  <c r="K41" i="84"/>
  <c r="J41" i="84"/>
  <c r="I41" i="84"/>
  <c r="H41" i="84"/>
  <c r="G41" i="84"/>
  <c r="F41" i="84"/>
  <c r="E41" i="84"/>
  <c r="D41" i="84"/>
  <c r="C41" i="84"/>
  <c r="A41" i="84"/>
  <c r="V40" i="84"/>
  <c r="U40" i="84"/>
  <c r="T40" i="84"/>
  <c r="S40" i="84"/>
  <c r="R40" i="84"/>
  <c r="Q40" i="84"/>
  <c r="P40" i="84"/>
  <c r="O40" i="84"/>
  <c r="N40" i="84"/>
  <c r="A40" i="84"/>
  <c r="V39" i="84"/>
  <c r="U39" i="84"/>
  <c r="T39" i="84"/>
  <c r="S39" i="84"/>
  <c r="R39" i="84"/>
  <c r="Q39" i="84"/>
  <c r="P39" i="84"/>
  <c r="O39" i="84"/>
  <c r="N39" i="84"/>
  <c r="L39" i="84"/>
  <c r="K39" i="84"/>
  <c r="J39" i="84"/>
  <c r="I39" i="84"/>
  <c r="H39" i="84"/>
  <c r="G39" i="84"/>
  <c r="F39" i="84"/>
  <c r="E39" i="84"/>
  <c r="D39" i="84"/>
  <c r="A39" i="84"/>
  <c r="V38" i="84"/>
  <c r="U38" i="84"/>
  <c r="T38" i="84"/>
  <c r="S38" i="84"/>
  <c r="R38" i="84"/>
  <c r="Q38" i="84"/>
  <c r="P38" i="84"/>
  <c r="O38" i="84"/>
  <c r="N38" i="84"/>
  <c r="A38" i="84"/>
  <c r="V37" i="84"/>
  <c r="U37" i="84"/>
  <c r="T37" i="84"/>
  <c r="S37" i="84"/>
  <c r="R37" i="84"/>
  <c r="Q37" i="84"/>
  <c r="P37" i="84"/>
  <c r="O37" i="84"/>
  <c r="N37" i="84"/>
  <c r="L37" i="84"/>
  <c r="K37" i="84"/>
  <c r="J37" i="84"/>
  <c r="I37" i="84"/>
  <c r="H37" i="84"/>
  <c r="G37" i="84"/>
  <c r="F37" i="84"/>
  <c r="E37" i="84"/>
  <c r="D37" i="84"/>
  <c r="C37" i="84"/>
  <c r="A37" i="84"/>
  <c r="V36" i="84"/>
  <c r="U36" i="84"/>
  <c r="T36" i="84"/>
  <c r="S36" i="84"/>
  <c r="R36" i="84"/>
  <c r="Q36" i="84"/>
  <c r="P36" i="84"/>
  <c r="O36" i="84"/>
  <c r="N36" i="84"/>
  <c r="C36" i="84"/>
  <c r="A36" i="84"/>
  <c r="V35" i="84"/>
  <c r="U35" i="84"/>
  <c r="T35" i="84"/>
  <c r="S35" i="84"/>
  <c r="R35" i="84"/>
  <c r="Q35" i="84"/>
  <c r="P35" i="84"/>
  <c r="O35" i="84"/>
  <c r="N35" i="84"/>
  <c r="A35" i="84"/>
  <c r="V34" i="84"/>
  <c r="U34" i="84"/>
  <c r="T34" i="84"/>
  <c r="S34" i="84"/>
  <c r="R34" i="84"/>
  <c r="Q34" i="84"/>
  <c r="P34" i="84"/>
  <c r="O34" i="84"/>
  <c r="N34" i="84"/>
  <c r="L34" i="84"/>
  <c r="K34" i="84"/>
  <c r="J34" i="84"/>
  <c r="I34" i="84"/>
  <c r="H34" i="84"/>
  <c r="G34" i="84"/>
  <c r="F34" i="84"/>
  <c r="E34" i="84"/>
  <c r="D34" i="84"/>
  <c r="C34" i="84"/>
  <c r="A34" i="84"/>
  <c r="V33" i="84"/>
  <c r="U33" i="84"/>
  <c r="T33" i="84"/>
  <c r="S33" i="84"/>
  <c r="R33" i="84"/>
  <c r="Q33" i="84"/>
  <c r="P33" i="84"/>
  <c r="O33" i="84"/>
  <c r="N33" i="84"/>
  <c r="L33" i="84"/>
  <c r="K33" i="84"/>
  <c r="J33" i="84"/>
  <c r="I33" i="84"/>
  <c r="H33" i="84"/>
  <c r="G33" i="84"/>
  <c r="F33" i="84"/>
  <c r="E33" i="84"/>
  <c r="D33" i="84"/>
  <c r="T32" i="84"/>
  <c r="S32" i="84"/>
  <c r="V31" i="84"/>
  <c r="U31" i="84"/>
  <c r="T31" i="84"/>
  <c r="S31" i="84"/>
  <c r="R31" i="84"/>
  <c r="Q31" i="84"/>
  <c r="P31" i="84"/>
  <c r="O31" i="84"/>
  <c r="N31" i="84"/>
  <c r="M31" i="84"/>
  <c r="J20" i="84"/>
  <c r="I20" i="84"/>
  <c r="H20" i="84"/>
  <c r="G20" i="84"/>
  <c r="J19" i="84"/>
  <c r="I19" i="84"/>
  <c r="H19" i="84"/>
  <c r="G19" i="84"/>
  <c r="J18" i="84"/>
  <c r="I18" i="84"/>
  <c r="H18" i="84"/>
  <c r="G18" i="84"/>
  <c r="J17" i="84"/>
  <c r="I17" i="84"/>
  <c r="H17" i="84"/>
  <c r="G17" i="84"/>
  <c r="J16" i="84"/>
  <c r="I16" i="84"/>
  <c r="H16" i="84"/>
  <c r="G16" i="84"/>
  <c r="J15" i="84"/>
  <c r="I15" i="84"/>
  <c r="H15" i="84"/>
  <c r="G15" i="84"/>
  <c r="J14" i="84"/>
  <c r="I14" i="84"/>
  <c r="H14" i="84"/>
  <c r="G14" i="84"/>
  <c r="J13" i="84"/>
  <c r="I13" i="84"/>
  <c r="H13" i="84"/>
  <c r="G13" i="84"/>
  <c r="J12" i="84"/>
  <c r="I12" i="84"/>
  <c r="H12" i="84"/>
  <c r="G12" i="84"/>
  <c r="J11" i="84"/>
  <c r="H11" i="84"/>
  <c r="G11" i="84"/>
  <c r="E7" i="84"/>
  <c r="B7" i="84"/>
  <c r="I11" i="84" s="1"/>
  <c r="C33" i="84" s="1"/>
  <c r="G120" i="79"/>
  <c r="F120" i="79"/>
  <c r="D120" i="79"/>
  <c r="C120" i="79"/>
  <c r="G119" i="79"/>
  <c r="F119" i="79"/>
  <c r="D119" i="79"/>
  <c r="C119" i="79"/>
  <c r="V103" i="79"/>
  <c r="U103" i="79"/>
  <c r="T103" i="79"/>
  <c r="S103" i="79"/>
  <c r="R103" i="79"/>
  <c r="Q103" i="79"/>
  <c r="P103" i="79"/>
  <c r="O103" i="79"/>
  <c r="N103" i="79"/>
  <c r="A103" i="79"/>
  <c r="V102" i="79"/>
  <c r="U102" i="79"/>
  <c r="T102" i="79"/>
  <c r="S102" i="79"/>
  <c r="R102" i="79"/>
  <c r="Q102" i="79"/>
  <c r="P102" i="79"/>
  <c r="O102" i="79"/>
  <c r="N102" i="79"/>
  <c r="A102" i="79"/>
  <c r="V101" i="79"/>
  <c r="U101" i="79"/>
  <c r="T101" i="79"/>
  <c r="S101" i="79"/>
  <c r="R101" i="79"/>
  <c r="Q101" i="79"/>
  <c r="P101" i="79"/>
  <c r="O101" i="79"/>
  <c r="N101" i="79"/>
  <c r="A101" i="79"/>
  <c r="V100" i="79"/>
  <c r="U100" i="79"/>
  <c r="T100" i="79"/>
  <c r="S100" i="79"/>
  <c r="R100" i="79"/>
  <c r="Q100" i="79"/>
  <c r="P100" i="79"/>
  <c r="O100" i="79"/>
  <c r="N100" i="79"/>
  <c r="A100" i="79"/>
  <c r="V99" i="79"/>
  <c r="U99" i="79"/>
  <c r="T99" i="79"/>
  <c r="S99" i="79"/>
  <c r="R99" i="79"/>
  <c r="Q99" i="79"/>
  <c r="P99" i="79"/>
  <c r="O99" i="79"/>
  <c r="N99" i="79"/>
  <c r="A99" i="79"/>
  <c r="V98" i="79"/>
  <c r="U98" i="79"/>
  <c r="T98" i="79"/>
  <c r="S98" i="79"/>
  <c r="R98" i="79"/>
  <c r="Q98" i="79"/>
  <c r="P98" i="79"/>
  <c r="O98" i="79"/>
  <c r="N98" i="79"/>
  <c r="A98" i="79"/>
  <c r="V97" i="79"/>
  <c r="U97" i="79"/>
  <c r="T97" i="79"/>
  <c r="S97" i="79"/>
  <c r="R97" i="79"/>
  <c r="Q97" i="79"/>
  <c r="P97" i="79"/>
  <c r="O97" i="79"/>
  <c r="N97" i="79"/>
  <c r="A97" i="79"/>
  <c r="V96" i="79"/>
  <c r="U96" i="79"/>
  <c r="T96" i="79"/>
  <c r="S96" i="79"/>
  <c r="R96" i="79"/>
  <c r="Q96" i="79"/>
  <c r="P96" i="79"/>
  <c r="O96" i="79"/>
  <c r="N96" i="79"/>
  <c r="A96" i="79"/>
  <c r="V95" i="79"/>
  <c r="U95" i="79"/>
  <c r="T95" i="79"/>
  <c r="S95" i="79"/>
  <c r="R95" i="79"/>
  <c r="Q95" i="79"/>
  <c r="P95" i="79"/>
  <c r="O95" i="79"/>
  <c r="N95" i="79"/>
  <c r="A95" i="79"/>
  <c r="V94" i="79"/>
  <c r="U94" i="79"/>
  <c r="T94" i="79"/>
  <c r="S94" i="79"/>
  <c r="R94" i="79"/>
  <c r="Q94" i="79"/>
  <c r="P94" i="79"/>
  <c r="O94" i="79"/>
  <c r="N94" i="79"/>
  <c r="A94" i="79"/>
  <c r="V93" i="79"/>
  <c r="U93" i="79"/>
  <c r="T93" i="79"/>
  <c r="S93" i="79"/>
  <c r="R93" i="79"/>
  <c r="Q93" i="79"/>
  <c r="P93" i="79"/>
  <c r="O93" i="79"/>
  <c r="N93" i="79"/>
  <c r="A93" i="79"/>
  <c r="V92" i="79"/>
  <c r="U92" i="79"/>
  <c r="T92" i="79"/>
  <c r="S92" i="79"/>
  <c r="R92" i="79"/>
  <c r="Q92" i="79"/>
  <c r="P92" i="79"/>
  <c r="O92" i="79"/>
  <c r="N92" i="79"/>
  <c r="A92" i="79"/>
  <c r="V91" i="79"/>
  <c r="U91" i="79"/>
  <c r="T91" i="79"/>
  <c r="S91" i="79"/>
  <c r="R91" i="79"/>
  <c r="Q91" i="79"/>
  <c r="P91" i="79"/>
  <c r="O91" i="79"/>
  <c r="N91" i="79"/>
  <c r="A91" i="79"/>
  <c r="V90" i="79"/>
  <c r="U90" i="79"/>
  <c r="T90" i="79"/>
  <c r="S90" i="79"/>
  <c r="R90" i="79"/>
  <c r="Q90" i="79"/>
  <c r="P90" i="79"/>
  <c r="O90" i="79"/>
  <c r="N90" i="79"/>
  <c r="A90" i="79"/>
  <c r="V89" i="79"/>
  <c r="U89" i="79"/>
  <c r="T89" i="79"/>
  <c r="S89" i="79"/>
  <c r="R89" i="79"/>
  <c r="Q89" i="79"/>
  <c r="P89" i="79"/>
  <c r="O89" i="79"/>
  <c r="N89" i="79"/>
  <c r="A89" i="79"/>
  <c r="V88" i="79"/>
  <c r="U88" i="79"/>
  <c r="T88" i="79"/>
  <c r="S88" i="79"/>
  <c r="R88" i="79"/>
  <c r="Q88" i="79"/>
  <c r="P88" i="79"/>
  <c r="O88" i="79"/>
  <c r="N88" i="79"/>
  <c r="A88" i="79"/>
  <c r="V87" i="79"/>
  <c r="U87" i="79"/>
  <c r="T87" i="79"/>
  <c r="S87" i="79"/>
  <c r="R87" i="79"/>
  <c r="Q87" i="79"/>
  <c r="P87" i="79"/>
  <c r="O87" i="79"/>
  <c r="N87" i="79"/>
  <c r="A87" i="79"/>
  <c r="V86" i="79"/>
  <c r="U86" i="79"/>
  <c r="T86" i="79"/>
  <c r="S86" i="79"/>
  <c r="R86" i="79"/>
  <c r="Q86" i="79"/>
  <c r="P86" i="79"/>
  <c r="O86" i="79"/>
  <c r="N86" i="79"/>
  <c r="A86" i="79"/>
  <c r="V85" i="79"/>
  <c r="U85" i="79"/>
  <c r="T85" i="79"/>
  <c r="S85" i="79"/>
  <c r="R85" i="79"/>
  <c r="Q85" i="79"/>
  <c r="P85" i="79"/>
  <c r="O85" i="79"/>
  <c r="N85" i="79"/>
  <c r="A85" i="79"/>
  <c r="V84" i="79"/>
  <c r="U84" i="79"/>
  <c r="T84" i="79"/>
  <c r="S84" i="79"/>
  <c r="R84" i="79"/>
  <c r="Q84" i="79"/>
  <c r="P84" i="79"/>
  <c r="O84" i="79"/>
  <c r="N84" i="79"/>
  <c r="A84" i="79"/>
  <c r="V83" i="79"/>
  <c r="U83" i="79"/>
  <c r="T83" i="79"/>
  <c r="S83" i="79"/>
  <c r="R83" i="79"/>
  <c r="Q83" i="79"/>
  <c r="P83" i="79"/>
  <c r="O83" i="79"/>
  <c r="N83" i="79"/>
  <c r="A83" i="79"/>
  <c r="V82" i="79"/>
  <c r="U82" i="79"/>
  <c r="T82" i="79"/>
  <c r="S82" i="79"/>
  <c r="R82" i="79"/>
  <c r="Q82" i="79"/>
  <c r="P82" i="79"/>
  <c r="O82" i="79"/>
  <c r="N82" i="79"/>
  <c r="L82" i="79"/>
  <c r="K82" i="79"/>
  <c r="J82" i="79"/>
  <c r="I82" i="79"/>
  <c r="H82" i="79"/>
  <c r="G82" i="79"/>
  <c r="F82" i="79"/>
  <c r="A82" i="79"/>
  <c r="V81" i="79"/>
  <c r="U81" i="79"/>
  <c r="T81" i="79"/>
  <c r="S81" i="79"/>
  <c r="R81" i="79"/>
  <c r="Q81" i="79"/>
  <c r="P81" i="79"/>
  <c r="O81" i="79"/>
  <c r="N81" i="79"/>
  <c r="A81" i="79"/>
  <c r="V80" i="79"/>
  <c r="U80" i="79"/>
  <c r="T80" i="79"/>
  <c r="S80" i="79"/>
  <c r="R80" i="79"/>
  <c r="Q80" i="79"/>
  <c r="P80" i="79"/>
  <c r="O80" i="79"/>
  <c r="N80" i="79"/>
  <c r="A80" i="79"/>
  <c r="V79" i="79"/>
  <c r="U79" i="79"/>
  <c r="T79" i="79"/>
  <c r="S79" i="79"/>
  <c r="R79" i="79"/>
  <c r="Q79" i="79"/>
  <c r="P79" i="79"/>
  <c r="O79" i="79"/>
  <c r="N79" i="79"/>
  <c r="A79" i="79"/>
  <c r="V78" i="79"/>
  <c r="U78" i="79"/>
  <c r="T78" i="79"/>
  <c r="S78" i="79"/>
  <c r="R78" i="79"/>
  <c r="Q78" i="79"/>
  <c r="P78" i="79"/>
  <c r="O78" i="79"/>
  <c r="N78" i="79"/>
  <c r="A78" i="79"/>
  <c r="V77" i="79"/>
  <c r="U77" i="79"/>
  <c r="T77" i="79"/>
  <c r="S77" i="79"/>
  <c r="R77" i="79"/>
  <c r="Q77" i="79"/>
  <c r="P77" i="79"/>
  <c r="O77" i="79"/>
  <c r="N77" i="79"/>
  <c r="A77" i="79"/>
  <c r="V76" i="79"/>
  <c r="U76" i="79"/>
  <c r="T76" i="79"/>
  <c r="S76" i="79"/>
  <c r="R76" i="79"/>
  <c r="Q76" i="79"/>
  <c r="P76" i="79"/>
  <c r="O76" i="79"/>
  <c r="N76" i="79"/>
  <c r="A76" i="79"/>
  <c r="V75" i="79"/>
  <c r="U75" i="79"/>
  <c r="T75" i="79"/>
  <c r="S75" i="79"/>
  <c r="R75" i="79"/>
  <c r="Q75" i="79"/>
  <c r="P75" i="79"/>
  <c r="O75" i="79"/>
  <c r="N75" i="79"/>
  <c r="A75" i="79"/>
  <c r="V74" i="79"/>
  <c r="U74" i="79"/>
  <c r="T74" i="79"/>
  <c r="S74" i="79"/>
  <c r="R74" i="79"/>
  <c r="Q74" i="79"/>
  <c r="P74" i="79"/>
  <c r="O74" i="79"/>
  <c r="N74" i="79"/>
  <c r="A74" i="79"/>
  <c r="V73" i="79"/>
  <c r="U73" i="79"/>
  <c r="T73" i="79"/>
  <c r="S73" i="79"/>
  <c r="R73" i="79"/>
  <c r="Q73" i="79"/>
  <c r="P73" i="79"/>
  <c r="O73" i="79"/>
  <c r="N73" i="79"/>
  <c r="A73" i="79"/>
  <c r="V72" i="79"/>
  <c r="U72" i="79"/>
  <c r="T72" i="79"/>
  <c r="S72" i="79"/>
  <c r="R72" i="79"/>
  <c r="Q72" i="79"/>
  <c r="P72" i="79"/>
  <c r="O72" i="79"/>
  <c r="N72" i="79"/>
  <c r="A72" i="79"/>
  <c r="V71" i="79"/>
  <c r="U71" i="79"/>
  <c r="T71" i="79"/>
  <c r="S71" i="79"/>
  <c r="R71" i="79"/>
  <c r="Q71" i="79"/>
  <c r="P71" i="79"/>
  <c r="O71" i="79"/>
  <c r="N71" i="79"/>
  <c r="L71" i="79"/>
  <c r="K71" i="79"/>
  <c r="J71" i="79"/>
  <c r="I71" i="79"/>
  <c r="H71" i="79"/>
  <c r="G71" i="79"/>
  <c r="F71" i="79"/>
  <c r="E71" i="79"/>
  <c r="D71" i="79"/>
  <c r="C71" i="79"/>
  <c r="A71" i="79"/>
  <c r="V70" i="79"/>
  <c r="U70" i="79"/>
  <c r="T70" i="79"/>
  <c r="S70" i="79"/>
  <c r="R70" i="79"/>
  <c r="Q70" i="79"/>
  <c r="P70" i="79"/>
  <c r="O70" i="79"/>
  <c r="N70" i="79"/>
  <c r="A70" i="79"/>
  <c r="V69" i="79"/>
  <c r="U69" i="79"/>
  <c r="T69" i="79"/>
  <c r="S69" i="79"/>
  <c r="R69" i="79"/>
  <c r="Q69" i="79"/>
  <c r="P69" i="79"/>
  <c r="O69" i="79"/>
  <c r="N69" i="79"/>
  <c r="L69" i="79"/>
  <c r="K69" i="79"/>
  <c r="J69" i="79"/>
  <c r="I69" i="79"/>
  <c r="H69" i="79"/>
  <c r="G69" i="79"/>
  <c r="F69" i="79"/>
  <c r="E69" i="79"/>
  <c r="C69" i="79"/>
  <c r="A69" i="79"/>
  <c r="V68" i="79"/>
  <c r="U68" i="79"/>
  <c r="T68" i="79"/>
  <c r="S68" i="79"/>
  <c r="R68" i="79"/>
  <c r="Q68" i="79"/>
  <c r="P68" i="79"/>
  <c r="O68" i="79"/>
  <c r="N68" i="79"/>
  <c r="A68" i="79"/>
  <c r="V67" i="79"/>
  <c r="U67" i="79"/>
  <c r="T67" i="79"/>
  <c r="S67" i="79"/>
  <c r="R67" i="79"/>
  <c r="Q67" i="79"/>
  <c r="P67" i="79"/>
  <c r="O67" i="79"/>
  <c r="N67" i="79"/>
  <c r="A67" i="79"/>
  <c r="V66" i="79"/>
  <c r="U66" i="79"/>
  <c r="T66" i="79"/>
  <c r="S66" i="79"/>
  <c r="R66" i="79"/>
  <c r="Q66" i="79"/>
  <c r="P66" i="79"/>
  <c r="O66" i="79"/>
  <c r="N66" i="79"/>
  <c r="A66" i="79"/>
  <c r="V65" i="79"/>
  <c r="U65" i="79"/>
  <c r="T65" i="79"/>
  <c r="S65" i="79"/>
  <c r="R65" i="79"/>
  <c r="Q65" i="79"/>
  <c r="P65" i="79"/>
  <c r="O65" i="79"/>
  <c r="N65" i="79"/>
  <c r="C65" i="79"/>
  <c r="A65" i="79"/>
  <c r="V64" i="79"/>
  <c r="U64" i="79"/>
  <c r="T64" i="79"/>
  <c r="S64" i="79"/>
  <c r="R64" i="79"/>
  <c r="Q64" i="79"/>
  <c r="P64" i="79"/>
  <c r="O64" i="79"/>
  <c r="N64" i="79"/>
  <c r="C64" i="79"/>
  <c r="A64" i="79"/>
  <c r="V63" i="79"/>
  <c r="U63" i="79"/>
  <c r="T63" i="79"/>
  <c r="S63" i="79"/>
  <c r="R63" i="79"/>
  <c r="Q63" i="79"/>
  <c r="P63" i="79"/>
  <c r="O63" i="79"/>
  <c r="N63" i="79"/>
  <c r="A63" i="79"/>
  <c r="V62" i="79"/>
  <c r="U62" i="79"/>
  <c r="T62" i="79"/>
  <c r="S62" i="79"/>
  <c r="R62" i="79"/>
  <c r="Q62" i="79"/>
  <c r="P62" i="79"/>
  <c r="O62" i="79"/>
  <c r="N62" i="79"/>
  <c r="A62" i="79"/>
  <c r="V61" i="79"/>
  <c r="U61" i="79"/>
  <c r="T61" i="79"/>
  <c r="S61" i="79"/>
  <c r="R61" i="79"/>
  <c r="Q61" i="79"/>
  <c r="P61" i="79"/>
  <c r="O61" i="79"/>
  <c r="N61" i="79"/>
  <c r="A61" i="79"/>
  <c r="V60" i="79"/>
  <c r="U60" i="79"/>
  <c r="T60" i="79"/>
  <c r="S60" i="79"/>
  <c r="R60" i="79"/>
  <c r="Q60" i="79"/>
  <c r="P60" i="79"/>
  <c r="O60" i="79"/>
  <c r="N60" i="79"/>
  <c r="A60" i="79"/>
  <c r="V59" i="79"/>
  <c r="U59" i="79"/>
  <c r="T59" i="79"/>
  <c r="S59" i="79"/>
  <c r="R59" i="79"/>
  <c r="Q59" i="79"/>
  <c r="P59" i="79"/>
  <c r="O59" i="79"/>
  <c r="N59" i="79"/>
  <c r="A59" i="79"/>
  <c r="V58" i="79"/>
  <c r="U58" i="79"/>
  <c r="T58" i="79"/>
  <c r="S58" i="79"/>
  <c r="R58" i="79"/>
  <c r="Q58" i="79"/>
  <c r="P58" i="79"/>
  <c r="O58" i="79"/>
  <c r="N58" i="79"/>
  <c r="C58" i="79"/>
  <c r="A58" i="79"/>
  <c r="V57" i="79"/>
  <c r="U57" i="79"/>
  <c r="T57" i="79"/>
  <c r="S57" i="79"/>
  <c r="R57" i="79"/>
  <c r="Q57" i="79"/>
  <c r="P57" i="79"/>
  <c r="O57" i="79"/>
  <c r="N57" i="79"/>
  <c r="C57" i="79"/>
  <c r="A57" i="79"/>
  <c r="V56" i="79"/>
  <c r="U56" i="79"/>
  <c r="T56" i="79"/>
  <c r="S56" i="79"/>
  <c r="R56" i="79"/>
  <c r="Q56" i="79"/>
  <c r="P56" i="79"/>
  <c r="O56" i="79"/>
  <c r="N56" i="79"/>
  <c r="A56" i="79"/>
  <c r="V55" i="79"/>
  <c r="U55" i="79"/>
  <c r="T55" i="79"/>
  <c r="S55" i="79"/>
  <c r="R55" i="79"/>
  <c r="Q55" i="79"/>
  <c r="P55" i="79"/>
  <c r="O55" i="79"/>
  <c r="N55" i="79"/>
  <c r="A55" i="79"/>
  <c r="V54" i="79"/>
  <c r="U54" i="79"/>
  <c r="T54" i="79"/>
  <c r="S54" i="79"/>
  <c r="R54" i="79"/>
  <c r="Q54" i="79"/>
  <c r="P54" i="79"/>
  <c r="O54" i="79"/>
  <c r="N54" i="79"/>
  <c r="C54" i="79"/>
  <c r="A54" i="79"/>
  <c r="V53" i="79"/>
  <c r="U53" i="79"/>
  <c r="T53" i="79"/>
  <c r="S53" i="79"/>
  <c r="R53" i="79"/>
  <c r="Q53" i="79"/>
  <c r="P53" i="79"/>
  <c r="O53" i="79"/>
  <c r="N53" i="79"/>
  <c r="L53" i="79"/>
  <c r="K53" i="79"/>
  <c r="J53" i="79"/>
  <c r="I53" i="79"/>
  <c r="H53" i="79"/>
  <c r="G53" i="79"/>
  <c r="F53" i="79"/>
  <c r="E53" i="79"/>
  <c r="D53" i="79"/>
  <c r="C53" i="79"/>
  <c r="A53" i="79"/>
  <c r="V52" i="79"/>
  <c r="U52" i="79"/>
  <c r="T52" i="79"/>
  <c r="S52" i="79"/>
  <c r="R52" i="79"/>
  <c r="Q52" i="79"/>
  <c r="P52" i="79"/>
  <c r="O52" i="79"/>
  <c r="N52" i="79"/>
  <c r="L52" i="79"/>
  <c r="K52" i="79"/>
  <c r="J52" i="79"/>
  <c r="I52" i="79"/>
  <c r="H52" i="79"/>
  <c r="G52" i="79"/>
  <c r="F52" i="79"/>
  <c r="E52" i="79"/>
  <c r="D52" i="79"/>
  <c r="C52" i="79"/>
  <c r="A52" i="79"/>
  <c r="V51" i="79"/>
  <c r="U51" i="79"/>
  <c r="T51" i="79"/>
  <c r="S51" i="79"/>
  <c r="R51" i="79"/>
  <c r="Q51" i="79"/>
  <c r="P51" i="79"/>
  <c r="O51" i="79"/>
  <c r="N51" i="79"/>
  <c r="A51" i="79"/>
  <c r="V50" i="79"/>
  <c r="U50" i="79"/>
  <c r="T50" i="79"/>
  <c r="S50" i="79"/>
  <c r="R50" i="79"/>
  <c r="Q50" i="79"/>
  <c r="P50" i="79"/>
  <c r="O50" i="79"/>
  <c r="N50" i="79"/>
  <c r="A50" i="79"/>
  <c r="V49" i="79"/>
  <c r="U49" i="79"/>
  <c r="T49" i="79"/>
  <c r="S49" i="79"/>
  <c r="R49" i="79"/>
  <c r="Q49" i="79"/>
  <c r="P49" i="79"/>
  <c r="O49" i="79"/>
  <c r="N49" i="79"/>
  <c r="A49" i="79"/>
  <c r="V48" i="79"/>
  <c r="U48" i="79"/>
  <c r="T48" i="79"/>
  <c r="S48" i="79"/>
  <c r="R48" i="79"/>
  <c r="Q48" i="79"/>
  <c r="P48" i="79"/>
  <c r="O48" i="79"/>
  <c r="N48" i="79"/>
  <c r="A48" i="79"/>
  <c r="V47" i="79"/>
  <c r="U47" i="79"/>
  <c r="T47" i="79"/>
  <c r="S47" i="79"/>
  <c r="R47" i="79"/>
  <c r="Q47" i="79"/>
  <c r="P47" i="79"/>
  <c r="O47" i="79"/>
  <c r="N47" i="79"/>
  <c r="A47" i="79"/>
  <c r="V46" i="79"/>
  <c r="U46" i="79"/>
  <c r="T46" i="79"/>
  <c r="S46" i="79"/>
  <c r="R46" i="79"/>
  <c r="Q46" i="79"/>
  <c r="P46" i="79"/>
  <c r="O46" i="79"/>
  <c r="N46" i="79"/>
  <c r="A46" i="79"/>
  <c r="V45" i="79"/>
  <c r="U45" i="79"/>
  <c r="T45" i="79"/>
  <c r="S45" i="79"/>
  <c r="R45" i="79"/>
  <c r="Q45" i="79"/>
  <c r="P45" i="79"/>
  <c r="O45" i="79"/>
  <c r="N45" i="79"/>
  <c r="A45" i="79"/>
  <c r="V44" i="79"/>
  <c r="U44" i="79"/>
  <c r="T44" i="79"/>
  <c r="S44" i="79"/>
  <c r="R44" i="79"/>
  <c r="Q44" i="79"/>
  <c r="P44" i="79"/>
  <c r="O44" i="79"/>
  <c r="N44" i="79"/>
  <c r="A44" i="79"/>
  <c r="V43" i="79"/>
  <c r="U43" i="79"/>
  <c r="T43" i="79"/>
  <c r="S43" i="79"/>
  <c r="R43" i="79"/>
  <c r="Q43" i="79"/>
  <c r="P43" i="79"/>
  <c r="O43" i="79"/>
  <c r="N43" i="79"/>
  <c r="L43" i="79"/>
  <c r="K43" i="79"/>
  <c r="J43" i="79"/>
  <c r="I43" i="79"/>
  <c r="H43" i="79"/>
  <c r="G43" i="79"/>
  <c r="F43" i="79"/>
  <c r="E43" i="79"/>
  <c r="D43" i="79"/>
  <c r="C43" i="79"/>
  <c r="A43" i="79"/>
  <c r="V42" i="79"/>
  <c r="U42" i="79"/>
  <c r="T42" i="79"/>
  <c r="S42" i="79"/>
  <c r="R42" i="79"/>
  <c r="Q42" i="79"/>
  <c r="P42" i="79"/>
  <c r="O42" i="79"/>
  <c r="N42" i="79"/>
  <c r="L42" i="79"/>
  <c r="K42" i="79"/>
  <c r="J42" i="79"/>
  <c r="I42" i="79"/>
  <c r="H42" i="79"/>
  <c r="G42" i="79"/>
  <c r="F42" i="79"/>
  <c r="E42" i="79"/>
  <c r="D42" i="79"/>
  <c r="C42" i="79"/>
  <c r="A42" i="79"/>
  <c r="V41" i="79"/>
  <c r="U41" i="79"/>
  <c r="T41" i="79"/>
  <c r="S41" i="79"/>
  <c r="R41" i="79"/>
  <c r="Q41" i="79"/>
  <c r="P41" i="79"/>
  <c r="O41" i="79"/>
  <c r="N41" i="79"/>
  <c r="L41" i="79"/>
  <c r="K41" i="79"/>
  <c r="J41" i="79"/>
  <c r="I41" i="79"/>
  <c r="H41" i="79"/>
  <c r="G41" i="79"/>
  <c r="F41" i="79"/>
  <c r="E41" i="79"/>
  <c r="D41" i="79"/>
  <c r="C41" i="79"/>
  <c r="A41" i="79"/>
  <c r="V40" i="79"/>
  <c r="U40" i="79"/>
  <c r="T40" i="79"/>
  <c r="S40" i="79"/>
  <c r="R40" i="79"/>
  <c r="Q40" i="79"/>
  <c r="P40" i="79"/>
  <c r="O40" i="79"/>
  <c r="N40" i="79"/>
  <c r="A40" i="79"/>
  <c r="V39" i="79"/>
  <c r="U39" i="79"/>
  <c r="T39" i="79"/>
  <c r="S39" i="79"/>
  <c r="R39" i="79"/>
  <c r="Q39" i="79"/>
  <c r="P39" i="79"/>
  <c r="O39" i="79"/>
  <c r="N39" i="79"/>
  <c r="L39" i="79"/>
  <c r="K39" i="79"/>
  <c r="J39" i="79"/>
  <c r="I39" i="79"/>
  <c r="H39" i="79"/>
  <c r="G39" i="79"/>
  <c r="F39" i="79"/>
  <c r="E39" i="79"/>
  <c r="D39" i="79"/>
  <c r="C39" i="79"/>
  <c r="A39" i="79"/>
  <c r="V38" i="79"/>
  <c r="U38" i="79"/>
  <c r="T38" i="79"/>
  <c r="S38" i="79"/>
  <c r="R38" i="79"/>
  <c r="Q38" i="79"/>
  <c r="P38" i="79"/>
  <c r="O38" i="79"/>
  <c r="N38" i="79"/>
  <c r="A38" i="79"/>
  <c r="V37" i="79"/>
  <c r="U37" i="79"/>
  <c r="T37" i="79"/>
  <c r="S37" i="79"/>
  <c r="R37" i="79"/>
  <c r="Q37" i="79"/>
  <c r="P37" i="79"/>
  <c r="O37" i="79"/>
  <c r="N37" i="79"/>
  <c r="L37" i="79"/>
  <c r="K37" i="79"/>
  <c r="J37" i="79"/>
  <c r="I37" i="79"/>
  <c r="H37" i="79"/>
  <c r="G37" i="79"/>
  <c r="F37" i="79"/>
  <c r="E37" i="79"/>
  <c r="D37" i="79"/>
  <c r="C37" i="79"/>
  <c r="A37" i="79"/>
  <c r="V36" i="79"/>
  <c r="U36" i="79"/>
  <c r="T36" i="79"/>
  <c r="S36" i="79"/>
  <c r="R36" i="79"/>
  <c r="Q36" i="79"/>
  <c r="P36" i="79"/>
  <c r="O36" i="79"/>
  <c r="N36" i="79"/>
  <c r="C36" i="79"/>
  <c r="A36" i="79"/>
  <c r="V35" i="79"/>
  <c r="U35" i="79"/>
  <c r="T35" i="79"/>
  <c r="S35" i="79"/>
  <c r="R35" i="79"/>
  <c r="Q35" i="79"/>
  <c r="P35" i="79"/>
  <c r="O35" i="79"/>
  <c r="N35" i="79"/>
  <c r="A35" i="79"/>
  <c r="V34" i="79"/>
  <c r="U34" i="79"/>
  <c r="T34" i="79"/>
  <c r="S34" i="79"/>
  <c r="R34" i="79"/>
  <c r="Q34" i="79"/>
  <c r="P34" i="79"/>
  <c r="O34" i="79"/>
  <c r="N34" i="79"/>
  <c r="L34" i="79"/>
  <c r="K34" i="79"/>
  <c r="J34" i="79"/>
  <c r="I34" i="79"/>
  <c r="H34" i="79"/>
  <c r="G34" i="79"/>
  <c r="F34" i="79"/>
  <c r="E34" i="79"/>
  <c r="D34" i="79"/>
  <c r="C34" i="79"/>
  <c r="A34" i="79"/>
  <c r="V33" i="79"/>
  <c r="U33" i="79"/>
  <c r="T33" i="79"/>
  <c r="S33" i="79"/>
  <c r="R33" i="79"/>
  <c r="Q33" i="79"/>
  <c r="P33" i="79"/>
  <c r="O33" i="79"/>
  <c r="N33" i="79"/>
  <c r="L33" i="79"/>
  <c r="K33" i="79"/>
  <c r="J33" i="79"/>
  <c r="I33" i="79"/>
  <c r="H33" i="79"/>
  <c r="G33" i="79"/>
  <c r="F33" i="79"/>
  <c r="E33" i="79"/>
  <c r="D33" i="79"/>
  <c r="T32" i="79"/>
  <c r="S32" i="79"/>
  <c r="V31" i="79"/>
  <c r="U31" i="79"/>
  <c r="T31" i="79"/>
  <c r="S31" i="79"/>
  <c r="R31" i="79"/>
  <c r="Q31" i="79"/>
  <c r="P31" i="79"/>
  <c r="O31" i="79"/>
  <c r="N31" i="79"/>
  <c r="M31" i="79"/>
  <c r="J20" i="79"/>
  <c r="I20" i="79"/>
  <c r="H20" i="79"/>
  <c r="G20" i="79"/>
  <c r="J19" i="79"/>
  <c r="I19" i="79"/>
  <c r="H19" i="79"/>
  <c r="G19" i="79"/>
  <c r="J18" i="79"/>
  <c r="I18" i="79"/>
  <c r="H18" i="79"/>
  <c r="G18" i="79"/>
  <c r="J17" i="79"/>
  <c r="I17" i="79"/>
  <c r="H17" i="79"/>
  <c r="G17" i="79"/>
  <c r="J16" i="79"/>
  <c r="I16" i="79"/>
  <c r="H16" i="79"/>
  <c r="G16" i="79"/>
  <c r="J15" i="79"/>
  <c r="I15" i="79"/>
  <c r="H15" i="79"/>
  <c r="G15" i="79"/>
  <c r="J14" i="79"/>
  <c r="I14" i="79"/>
  <c r="H14" i="79"/>
  <c r="G14" i="79"/>
  <c r="J13" i="79"/>
  <c r="I13" i="79"/>
  <c r="H13" i="79"/>
  <c r="G13" i="79"/>
  <c r="J12" i="79"/>
  <c r="I12" i="79"/>
  <c r="H12" i="79"/>
  <c r="G12" i="79"/>
  <c r="J11" i="79"/>
  <c r="H11" i="79"/>
  <c r="G11" i="79"/>
  <c r="E7" i="79"/>
  <c r="B7" i="79"/>
  <c r="I11" i="79" s="1"/>
  <c r="C33" i="79" s="1"/>
  <c r="E121" i="83"/>
  <c r="D121" i="83"/>
  <c r="C121" i="83"/>
  <c r="F120" i="83"/>
  <c r="C120" i="83"/>
  <c r="V103" i="83"/>
  <c r="U103" i="83"/>
  <c r="T103" i="83"/>
  <c r="S103" i="83"/>
  <c r="R103" i="83"/>
  <c r="Q103" i="83"/>
  <c r="P103" i="83"/>
  <c r="O103" i="83"/>
  <c r="N103" i="83"/>
  <c r="A103" i="83"/>
  <c r="V102" i="83"/>
  <c r="U102" i="83"/>
  <c r="T102" i="83"/>
  <c r="S102" i="83"/>
  <c r="R102" i="83"/>
  <c r="Q102" i="83"/>
  <c r="P102" i="83"/>
  <c r="O102" i="83"/>
  <c r="N102" i="83"/>
  <c r="A102" i="83"/>
  <c r="V101" i="83"/>
  <c r="U101" i="83"/>
  <c r="T101" i="83"/>
  <c r="S101" i="83"/>
  <c r="R101" i="83"/>
  <c r="Q101" i="83"/>
  <c r="P101" i="83"/>
  <c r="O101" i="83"/>
  <c r="N101" i="83"/>
  <c r="A101" i="83"/>
  <c r="V100" i="83"/>
  <c r="U100" i="83"/>
  <c r="T100" i="83"/>
  <c r="S100" i="83"/>
  <c r="R100" i="83"/>
  <c r="Q100" i="83"/>
  <c r="P100" i="83"/>
  <c r="O100" i="83"/>
  <c r="N100" i="83"/>
  <c r="A100" i="83"/>
  <c r="V99" i="83"/>
  <c r="U99" i="83"/>
  <c r="T99" i="83"/>
  <c r="S99" i="83"/>
  <c r="R99" i="83"/>
  <c r="Q99" i="83"/>
  <c r="P99" i="83"/>
  <c r="O99" i="83"/>
  <c r="N99" i="83"/>
  <c r="A99" i="83"/>
  <c r="V98" i="83"/>
  <c r="U98" i="83"/>
  <c r="T98" i="83"/>
  <c r="S98" i="83"/>
  <c r="R98" i="83"/>
  <c r="Q98" i="83"/>
  <c r="P98" i="83"/>
  <c r="O98" i="83"/>
  <c r="N98" i="83"/>
  <c r="A98" i="83"/>
  <c r="V97" i="83"/>
  <c r="U97" i="83"/>
  <c r="T97" i="83"/>
  <c r="S97" i="83"/>
  <c r="R97" i="83"/>
  <c r="Q97" i="83"/>
  <c r="P97" i="83"/>
  <c r="O97" i="83"/>
  <c r="N97" i="83"/>
  <c r="A97" i="83"/>
  <c r="V96" i="83"/>
  <c r="U96" i="83"/>
  <c r="T96" i="83"/>
  <c r="S96" i="83"/>
  <c r="R96" i="83"/>
  <c r="Q96" i="83"/>
  <c r="P96" i="83"/>
  <c r="O96" i="83"/>
  <c r="N96" i="83"/>
  <c r="A96" i="83"/>
  <c r="V95" i="83"/>
  <c r="U95" i="83"/>
  <c r="T95" i="83"/>
  <c r="S95" i="83"/>
  <c r="R95" i="83"/>
  <c r="Q95" i="83"/>
  <c r="P95" i="83"/>
  <c r="O95" i="83"/>
  <c r="N95" i="83"/>
  <c r="A95" i="83"/>
  <c r="V94" i="83"/>
  <c r="U94" i="83"/>
  <c r="T94" i="83"/>
  <c r="S94" i="83"/>
  <c r="R94" i="83"/>
  <c r="Q94" i="83"/>
  <c r="P94" i="83"/>
  <c r="O94" i="83"/>
  <c r="N94" i="83"/>
  <c r="A94" i="83"/>
  <c r="V93" i="83"/>
  <c r="U93" i="83"/>
  <c r="T93" i="83"/>
  <c r="S93" i="83"/>
  <c r="R93" i="83"/>
  <c r="Q93" i="83"/>
  <c r="P93" i="83"/>
  <c r="O93" i="83"/>
  <c r="N93" i="83"/>
  <c r="A93" i="83"/>
  <c r="V92" i="83"/>
  <c r="U92" i="83"/>
  <c r="T92" i="83"/>
  <c r="S92" i="83"/>
  <c r="R92" i="83"/>
  <c r="Q92" i="83"/>
  <c r="P92" i="83"/>
  <c r="O92" i="83"/>
  <c r="N92" i="83"/>
  <c r="A92" i="83"/>
  <c r="V91" i="83"/>
  <c r="U91" i="83"/>
  <c r="T91" i="83"/>
  <c r="S91" i="83"/>
  <c r="R91" i="83"/>
  <c r="Q91" i="83"/>
  <c r="P91" i="83"/>
  <c r="O91" i="83"/>
  <c r="N91" i="83"/>
  <c r="A91" i="83"/>
  <c r="V90" i="83"/>
  <c r="U90" i="83"/>
  <c r="T90" i="83"/>
  <c r="S90" i="83"/>
  <c r="R90" i="83"/>
  <c r="Q90" i="83"/>
  <c r="P90" i="83"/>
  <c r="O90" i="83"/>
  <c r="N90" i="83"/>
  <c r="A90" i="83"/>
  <c r="V89" i="83"/>
  <c r="U89" i="83"/>
  <c r="T89" i="83"/>
  <c r="S89" i="83"/>
  <c r="R89" i="83"/>
  <c r="Q89" i="83"/>
  <c r="P89" i="83"/>
  <c r="O89" i="83"/>
  <c r="N89" i="83"/>
  <c r="A89" i="83"/>
  <c r="V88" i="83"/>
  <c r="U88" i="83"/>
  <c r="T88" i="83"/>
  <c r="S88" i="83"/>
  <c r="R88" i="83"/>
  <c r="Q88" i="83"/>
  <c r="P88" i="83"/>
  <c r="O88" i="83"/>
  <c r="N88" i="83"/>
  <c r="A88" i="83"/>
  <c r="V87" i="83"/>
  <c r="U87" i="83"/>
  <c r="T87" i="83"/>
  <c r="S87" i="83"/>
  <c r="R87" i="83"/>
  <c r="Q87" i="83"/>
  <c r="P87" i="83"/>
  <c r="O87" i="83"/>
  <c r="N87" i="83"/>
  <c r="A87" i="83"/>
  <c r="V86" i="83"/>
  <c r="U86" i="83"/>
  <c r="T86" i="83"/>
  <c r="S86" i="83"/>
  <c r="R86" i="83"/>
  <c r="Q86" i="83"/>
  <c r="P86" i="83"/>
  <c r="O86" i="83"/>
  <c r="N86" i="83"/>
  <c r="A86" i="83"/>
  <c r="V85" i="83"/>
  <c r="U85" i="83"/>
  <c r="T85" i="83"/>
  <c r="S85" i="83"/>
  <c r="R85" i="83"/>
  <c r="Q85" i="83"/>
  <c r="P85" i="83"/>
  <c r="O85" i="83"/>
  <c r="N85" i="83"/>
  <c r="A85" i="83"/>
  <c r="V84" i="83"/>
  <c r="U84" i="83"/>
  <c r="T84" i="83"/>
  <c r="S84" i="83"/>
  <c r="R84" i="83"/>
  <c r="Q84" i="83"/>
  <c r="P84" i="83"/>
  <c r="O84" i="83"/>
  <c r="N84" i="83"/>
  <c r="A84" i="83"/>
  <c r="V83" i="83"/>
  <c r="U83" i="83"/>
  <c r="T83" i="83"/>
  <c r="S83" i="83"/>
  <c r="R83" i="83"/>
  <c r="Q83" i="83"/>
  <c r="P83" i="83"/>
  <c r="O83" i="83"/>
  <c r="N83" i="83"/>
  <c r="A83" i="83"/>
  <c r="V82" i="83"/>
  <c r="U82" i="83"/>
  <c r="T82" i="83"/>
  <c r="S82" i="83"/>
  <c r="R82" i="83"/>
  <c r="Q82" i="83"/>
  <c r="P82" i="83"/>
  <c r="O82" i="83"/>
  <c r="N82" i="83"/>
  <c r="L82" i="83"/>
  <c r="K82" i="83"/>
  <c r="J82" i="83"/>
  <c r="I82" i="83"/>
  <c r="H82" i="83"/>
  <c r="G82" i="83"/>
  <c r="F82" i="83"/>
  <c r="A82" i="83"/>
  <c r="V81" i="83"/>
  <c r="U81" i="83"/>
  <c r="T81" i="83"/>
  <c r="S81" i="83"/>
  <c r="R81" i="83"/>
  <c r="Q81" i="83"/>
  <c r="P81" i="83"/>
  <c r="O81" i="83"/>
  <c r="N81" i="83"/>
  <c r="A81" i="83"/>
  <c r="V80" i="83"/>
  <c r="U80" i="83"/>
  <c r="T80" i="83"/>
  <c r="S80" i="83"/>
  <c r="R80" i="83"/>
  <c r="Q80" i="83"/>
  <c r="P80" i="83"/>
  <c r="O80" i="83"/>
  <c r="N80" i="83"/>
  <c r="A80" i="83"/>
  <c r="V79" i="83"/>
  <c r="U79" i="83"/>
  <c r="T79" i="83"/>
  <c r="S79" i="83"/>
  <c r="R79" i="83"/>
  <c r="Q79" i="83"/>
  <c r="P79" i="83"/>
  <c r="O79" i="83"/>
  <c r="N79" i="83"/>
  <c r="A79" i="83"/>
  <c r="V78" i="83"/>
  <c r="U78" i="83"/>
  <c r="T78" i="83"/>
  <c r="S78" i="83"/>
  <c r="R78" i="83"/>
  <c r="Q78" i="83"/>
  <c r="P78" i="83"/>
  <c r="O78" i="83"/>
  <c r="N78" i="83"/>
  <c r="A78" i="83"/>
  <c r="V77" i="83"/>
  <c r="U77" i="83"/>
  <c r="T77" i="83"/>
  <c r="S77" i="83"/>
  <c r="R77" i="83"/>
  <c r="Q77" i="83"/>
  <c r="P77" i="83"/>
  <c r="O77" i="83"/>
  <c r="N77" i="83"/>
  <c r="A77" i="83"/>
  <c r="V76" i="83"/>
  <c r="U76" i="83"/>
  <c r="T76" i="83"/>
  <c r="S76" i="83"/>
  <c r="R76" i="83"/>
  <c r="Q76" i="83"/>
  <c r="P76" i="83"/>
  <c r="O76" i="83"/>
  <c r="N76" i="83"/>
  <c r="A76" i="83"/>
  <c r="V75" i="83"/>
  <c r="U75" i="83"/>
  <c r="T75" i="83"/>
  <c r="S75" i="83"/>
  <c r="R75" i="83"/>
  <c r="Q75" i="83"/>
  <c r="P75" i="83"/>
  <c r="O75" i="83"/>
  <c r="N75" i="83"/>
  <c r="A75" i="83"/>
  <c r="V74" i="83"/>
  <c r="U74" i="83"/>
  <c r="T74" i="83"/>
  <c r="S74" i="83"/>
  <c r="R74" i="83"/>
  <c r="Q74" i="83"/>
  <c r="P74" i="83"/>
  <c r="O74" i="83"/>
  <c r="N74" i="83"/>
  <c r="A74" i="83"/>
  <c r="V73" i="83"/>
  <c r="U73" i="83"/>
  <c r="T73" i="83"/>
  <c r="S73" i="83"/>
  <c r="R73" i="83"/>
  <c r="Q73" i="83"/>
  <c r="P73" i="83"/>
  <c r="O73" i="83"/>
  <c r="N73" i="83"/>
  <c r="A73" i="83"/>
  <c r="V72" i="83"/>
  <c r="U72" i="83"/>
  <c r="T72" i="83"/>
  <c r="S72" i="83"/>
  <c r="R72" i="83"/>
  <c r="Q72" i="83"/>
  <c r="P72" i="83"/>
  <c r="O72" i="83"/>
  <c r="N72" i="83"/>
  <c r="A72" i="83"/>
  <c r="V71" i="83"/>
  <c r="U71" i="83"/>
  <c r="T71" i="83"/>
  <c r="S71" i="83"/>
  <c r="R71" i="83"/>
  <c r="Q71" i="83"/>
  <c r="P71" i="83"/>
  <c r="O71" i="83"/>
  <c r="N71" i="83"/>
  <c r="L71" i="83"/>
  <c r="K71" i="83"/>
  <c r="J71" i="83"/>
  <c r="I71" i="83"/>
  <c r="H71" i="83"/>
  <c r="G71" i="83"/>
  <c r="F71" i="83"/>
  <c r="E71" i="83"/>
  <c r="D71" i="83"/>
  <c r="C71" i="83"/>
  <c r="A71" i="83"/>
  <c r="V70" i="83"/>
  <c r="U70" i="83"/>
  <c r="T70" i="83"/>
  <c r="S70" i="83"/>
  <c r="R70" i="83"/>
  <c r="Q70" i="83"/>
  <c r="P70" i="83"/>
  <c r="O70" i="83"/>
  <c r="N70" i="83"/>
  <c r="A70" i="83"/>
  <c r="L69" i="83"/>
  <c r="K69" i="83"/>
  <c r="J69" i="83"/>
  <c r="I69" i="83"/>
  <c r="H69" i="83"/>
  <c r="G69" i="83"/>
  <c r="F69" i="83"/>
  <c r="E69" i="83"/>
  <c r="D69" i="83"/>
  <c r="C69" i="83"/>
  <c r="A69" i="83"/>
  <c r="V68" i="83"/>
  <c r="U68" i="83"/>
  <c r="T68" i="83"/>
  <c r="S68" i="83"/>
  <c r="R68" i="83"/>
  <c r="Q68" i="83"/>
  <c r="P68" i="83"/>
  <c r="O68" i="83"/>
  <c r="N68" i="83"/>
  <c r="C68" i="83"/>
  <c r="A68" i="83"/>
  <c r="V67" i="83"/>
  <c r="U67" i="83"/>
  <c r="T67" i="83"/>
  <c r="S67" i="83"/>
  <c r="R67" i="83"/>
  <c r="Q67" i="83"/>
  <c r="P67" i="83"/>
  <c r="O67" i="83"/>
  <c r="N67" i="83"/>
  <c r="A67" i="83"/>
  <c r="V66" i="83"/>
  <c r="U66" i="83"/>
  <c r="T66" i="83"/>
  <c r="S66" i="83"/>
  <c r="R66" i="83"/>
  <c r="Q66" i="83"/>
  <c r="P66" i="83"/>
  <c r="O66" i="83"/>
  <c r="N66" i="83"/>
  <c r="A66" i="83"/>
  <c r="C65" i="83"/>
  <c r="A65" i="83"/>
  <c r="V64" i="83"/>
  <c r="U64" i="83"/>
  <c r="T64" i="83"/>
  <c r="S64" i="83"/>
  <c r="R64" i="83"/>
  <c r="Q64" i="83"/>
  <c r="P64" i="83"/>
  <c r="O64" i="83"/>
  <c r="N64" i="83"/>
  <c r="C64" i="83"/>
  <c r="A64" i="83"/>
  <c r="V63" i="83"/>
  <c r="U63" i="83"/>
  <c r="T63" i="83"/>
  <c r="S63" i="83"/>
  <c r="R63" i="83"/>
  <c r="Q63" i="83"/>
  <c r="P63" i="83"/>
  <c r="O63" i="83"/>
  <c r="N63" i="83"/>
  <c r="A63" i="83"/>
  <c r="V62" i="83"/>
  <c r="U62" i="83"/>
  <c r="T62" i="83"/>
  <c r="S62" i="83"/>
  <c r="R62" i="83"/>
  <c r="Q62" i="83"/>
  <c r="P62" i="83"/>
  <c r="O62" i="83"/>
  <c r="N62" i="83"/>
  <c r="A62" i="83"/>
  <c r="V61" i="83"/>
  <c r="U61" i="83"/>
  <c r="T61" i="83"/>
  <c r="S61" i="83"/>
  <c r="R61" i="83"/>
  <c r="Q61" i="83"/>
  <c r="P61" i="83"/>
  <c r="O61" i="83"/>
  <c r="N61" i="83"/>
  <c r="A61" i="83"/>
  <c r="V60" i="83"/>
  <c r="U60" i="83"/>
  <c r="T60" i="83"/>
  <c r="S60" i="83"/>
  <c r="R60" i="83"/>
  <c r="Q60" i="83"/>
  <c r="P60" i="83"/>
  <c r="O60" i="83"/>
  <c r="N60" i="83"/>
  <c r="A60" i="83"/>
  <c r="V59" i="83"/>
  <c r="U59" i="83"/>
  <c r="T59" i="83"/>
  <c r="S59" i="83"/>
  <c r="R59" i="83"/>
  <c r="Q59" i="83"/>
  <c r="P59" i="83"/>
  <c r="O59" i="83"/>
  <c r="N59" i="83"/>
  <c r="A59" i="83"/>
  <c r="V58" i="83"/>
  <c r="U58" i="83"/>
  <c r="T58" i="83"/>
  <c r="S58" i="83"/>
  <c r="R58" i="83"/>
  <c r="Q58" i="83"/>
  <c r="P58" i="83"/>
  <c r="O58" i="83"/>
  <c r="N58" i="83"/>
  <c r="C58" i="83"/>
  <c r="A58" i="83"/>
  <c r="V57" i="83"/>
  <c r="U57" i="83"/>
  <c r="T57" i="83"/>
  <c r="S57" i="83"/>
  <c r="R57" i="83"/>
  <c r="Q57" i="83"/>
  <c r="P57" i="83"/>
  <c r="O57" i="83"/>
  <c r="N57" i="83"/>
  <c r="C57" i="83"/>
  <c r="A57" i="83"/>
  <c r="V56" i="83"/>
  <c r="U56" i="83"/>
  <c r="T56" i="83"/>
  <c r="S56" i="83"/>
  <c r="R56" i="83"/>
  <c r="Q56" i="83"/>
  <c r="P56" i="83"/>
  <c r="O56" i="83"/>
  <c r="N56" i="83"/>
  <c r="A56" i="83"/>
  <c r="V55" i="83"/>
  <c r="U55" i="83"/>
  <c r="T55" i="83"/>
  <c r="S55" i="83"/>
  <c r="R55" i="83"/>
  <c r="Q55" i="83"/>
  <c r="P55" i="83"/>
  <c r="O55" i="83"/>
  <c r="N55" i="83"/>
  <c r="A55" i="83"/>
  <c r="V54" i="83"/>
  <c r="U54" i="83"/>
  <c r="T54" i="83"/>
  <c r="S54" i="83"/>
  <c r="R54" i="83"/>
  <c r="Q54" i="83"/>
  <c r="P54" i="83"/>
  <c r="O54" i="83"/>
  <c r="N54" i="83"/>
  <c r="C54" i="83"/>
  <c r="A54" i="83"/>
  <c r="V53" i="83"/>
  <c r="U53" i="83"/>
  <c r="T53" i="83"/>
  <c r="S53" i="83"/>
  <c r="R53" i="83"/>
  <c r="Q53" i="83"/>
  <c r="P53" i="83"/>
  <c r="O53" i="83"/>
  <c r="N53" i="83"/>
  <c r="L53" i="83"/>
  <c r="K53" i="83"/>
  <c r="J53" i="83"/>
  <c r="I53" i="83"/>
  <c r="H53" i="83"/>
  <c r="G53" i="83"/>
  <c r="F53" i="83"/>
  <c r="E53" i="83"/>
  <c r="D53" i="83"/>
  <c r="C53" i="83"/>
  <c r="A53" i="83"/>
  <c r="V52" i="83"/>
  <c r="U52" i="83"/>
  <c r="T52" i="83"/>
  <c r="S52" i="83"/>
  <c r="R52" i="83"/>
  <c r="Q52" i="83"/>
  <c r="P52" i="83"/>
  <c r="O52" i="83"/>
  <c r="N52" i="83"/>
  <c r="L52" i="83"/>
  <c r="K52" i="83"/>
  <c r="J52" i="83"/>
  <c r="I52" i="83"/>
  <c r="H52" i="83"/>
  <c r="G52" i="83"/>
  <c r="F52" i="83"/>
  <c r="E52" i="83"/>
  <c r="D52" i="83"/>
  <c r="C52" i="83"/>
  <c r="A52" i="83"/>
  <c r="V51" i="83"/>
  <c r="U51" i="83"/>
  <c r="T51" i="83"/>
  <c r="S51" i="83"/>
  <c r="R51" i="83"/>
  <c r="Q51" i="83"/>
  <c r="P51" i="83"/>
  <c r="O51" i="83"/>
  <c r="N51" i="83"/>
  <c r="A51" i="83"/>
  <c r="V50" i="83"/>
  <c r="U50" i="83"/>
  <c r="T50" i="83"/>
  <c r="S50" i="83"/>
  <c r="R50" i="83"/>
  <c r="Q50" i="83"/>
  <c r="P50" i="83"/>
  <c r="O50" i="83"/>
  <c r="N50" i="83"/>
  <c r="A50" i="83"/>
  <c r="V49" i="83"/>
  <c r="U49" i="83"/>
  <c r="T49" i="83"/>
  <c r="S49" i="83"/>
  <c r="R49" i="83"/>
  <c r="Q49" i="83"/>
  <c r="P49" i="83"/>
  <c r="O49" i="83"/>
  <c r="N49" i="83"/>
  <c r="A49" i="83"/>
  <c r="V48" i="83"/>
  <c r="U48" i="83"/>
  <c r="T48" i="83"/>
  <c r="S48" i="83"/>
  <c r="R48" i="83"/>
  <c r="Q48" i="83"/>
  <c r="P48" i="83"/>
  <c r="O48" i="83"/>
  <c r="N48" i="83"/>
  <c r="A48" i="83"/>
  <c r="V47" i="83"/>
  <c r="U47" i="83"/>
  <c r="T47" i="83"/>
  <c r="S47" i="83"/>
  <c r="R47" i="83"/>
  <c r="Q47" i="83"/>
  <c r="P47" i="83"/>
  <c r="O47" i="83"/>
  <c r="N47" i="83"/>
  <c r="A47" i="83"/>
  <c r="V46" i="83"/>
  <c r="U46" i="83"/>
  <c r="T46" i="83"/>
  <c r="S46" i="83"/>
  <c r="R46" i="83"/>
  <c r="Q46" i="83"/>
  <c r="P46" i="83"/>
  <c r="O46" i="83"/>
  <c r="N46" i="83"/>
  <c r="A46" i="83"/>
  <c r="V45" i="83"/>
  <c r="U45" i="83"/>
  <c r="T45" i="83"/>
  <c r="S45" i="83"/>
  <c r="R45" i="83"/>
  <c r="Q45" i="83"/>
  <c r="P45" i="83"/>
  <c r="O45" i="83"/>
  <c r="N45" i="83"/>
  <c r="A45" i="83"/>
  <c r="V44" i="83"/>
  <c r="U44" i="83"/>
  <c r="T44" i="83"/>
  <c r="S44" i="83"/>
  <c r="R44" i="83"/>
  <c r="Q44" i="83"/>
  <c r="P44" i="83"/>
  <c r="O44" i="83"/>
  <c r="N44" i="83"/>
  <c r="A44" i="83"/>
  <c r="V43" i="83"/>
  <c r="U43" i="83"/>
  <c r="T43" i="83"/>
  <c r="S43" i="83"/>
  <c r="R43" i="83"/>
  <c r="Q43" i="83"/>
  <c r="P43" i="83"/>
  <c r="O43" i="83"/>
  <c r="N43" i="83"/>
  <c r="L43" i="83"/>
  <c r="K43" i="83"/>
  <c r="J43" i="83"/>
  <c r="I43" i="83"/>
  <c r="H43" i="83"/>
  <c r="G43" i="83"/>
  <c r="F43" i="83"/>
  <c r="E43" i="83"/>
  <c r="D43" i="83"/>
  <c r="C43" i="83"/>
  <c r="A43" i="83"/>
  <c r="V42" i="83"/>
  <c r="U42" i="83"/>
  <c r="T42" i="83"/>
  <c r="S42" i="83"/>
  <c r="R42" i="83"/>
  <c r="Q42" i="83"/>
  <c r="P42" i="83"/>
  <c r="O42" i="83"/>
  <c r="N42" i="83"/>
  <c r="L42" i="83"/>
  <c r="K42" i="83"/>
  <c r="J42" i="83"/>
  <c r="I42" i="83"/>
  <c r="H42" i="83"/>
  <c r="G42" i="83"/>
  <c r="F42" i="83"/>
  <c r="E42" i="83"/>
  <c r="D42" i="83"/>
  <c r="C42" i="83"/>
  <c r="A42" i="83"/>
  <c r="V41" i="83"/>
  <c r="U41" i="83"/>
  <c r="T41" i="83"/>
  <c r="S41" i="83"/>
  <c r="R41" i="83"/>
  <c r="Q41" i="83"/>
  <c r="P41" i="83"/>
  <c r="O41" i="83"/>
  <c r="N41" i="83"/>
  <c r="L41" i="83"/>
  <c r="K41" i="83"/>
  <c r="J41" i="83"/>
  <c r="I41" i="83"/>
  <c r="H41" i="83"/>
  <c r="G41" i="83"/>
  <c r="F41" i="83"/>
  <c r="E41" i="83"/>
  <c r="D41" i="83"/>
  <c r="C41" i="83"/>
  <c r="A41" i="83"/>
  <c r="V40" i="83"/>
  <c r="U40" i="83"/>
  <c r="T40" i="83"/>
  <c r="S40" i="83"/>
  <c r="R40" i="83"/>
  <c r="Q40" i="83"/>
  <c r="P40" i="83"/>
  <c r="O40" i="83"/>
  <c r="N40" i="83"/>
  <c r="A40" i="83"/>
  <c r="V39" i="83"/>
  <c r="U39" i="83"/>
  <c r="T39" i="83"/>
  <c r="S39" i="83"/>
  <c r="R39" i="83"/>
  <c r="Q39" i="83"/>
  <c r="P39" i="83"/>
  <c r="O39" i="83"/>
  <c r="N39" i="83"/>
  <c r="L39" i="83"/>
  <c r="K39" i="83"/>
  <c r="J39" i="83"/>
  <c r="I39" i="83"/>
  <c r="H39" i="83"/>
  <c r="G39" i="83"/>
  <c r="F39" i="83"/>
  <c r="E39" i="83"/>
  <c r="D39" i="83"/>
  <c r="A39" i="83"/>
  <c r="V38" i="83"/>
  <c r="U38" i="83"/>
  <c r="T38" i="83"/>
  <c r="S38" i="83"/>
  <c r="R38" i="83"/>
  <c r="Q38" i="83"/>
  <c r="P38" i="83"/>
  <c r="O38" i="83"/>
  <c r="N38" i="83"/>
  <c r="A38" i="83"/>
  <c r="V37" i="83"/>
  <c r="U37" i="83"/>
  <c r="T37" i="83"/>
  <c r="S37" i="83"/>
  <c r="R37" i="83"/>
  <c r="Q37" i="83"/>
  <c r="P37" i="83"/>
  <c r="O37" i="83"/>
  <c r="N37" i="83"/>
  <c r="L37" i="83"/>
  <c r="K37" i="83"/>
  <c r="J37" i="83"/>
  <c r="I37" i="83"/>
  <c r="H37" i="83"/>
  <c r="G37" i="83"/>
  <c r="F37" i="83"/>
  <c r="E37" i="83"/>
  <c r="D37" i="83"/>
  <c r="C37" i="83"/>
  <c r="A37" i="83"/>
  <c r="V36" i="83"/>
  <c r="U36" i="83"/>
  <c r="T36" i="83"/>
  <c r="S36" i="83"/>
  <c r="R36" i="83"/>
  <c r="Q36" i="83"/>
  <c r="P36" i="83"/>
  <c r="O36" i="83"/>
  <c r="N36" i="83"/>
  <c r="C36" i="83"/>
  <c r="A36" i="83"/>
  <c r="V35" i="83"/>
  <c r="U35" i="83"/>
  <c r="T35" i="83"/>
  <c r="S35" i="83"/>
  <c r="R35" i="83"/>
  <c r="Q35" i="83"/>
  <c r="P35" i="83"/>
  <c r="O35" i="83"/>
  <c r="N35" i="83"/>
  <c r="A35" i="83"/>
  <c r="V34" i="83"/>
  <c r="U34" i="83"/>
  <c r="T34" i="83"/>
  <c r="S34" i="83"/>
  <c r="R34" i="83"/>
  <c r="Q34" i="83"/>
  <c r="P34" i="83"/>
  <c r="O34" i="83"/>
  <c r="N34" i="83"/>
  <c r="L34" i="83"/>
  <c r="K34" i="83"/>
  <c r="J34" i="83"/>
  <c r="I34" i="83"/>
  <c r="H34" i="83"/>
  <c r="G34" i="83"/>
  <c r="F34" i="83"/>
  <c r="E34" i="83"/>
  <c r="D34" i="83"/>
  <c r="C34" i="83"/>
  <c r="A34" i="83"/>
  <c r="V33" i="83"/>
  <c r="U33" i="83"/>
  <c r="T33" i="83"/>
  <c r="S33" i="83"/>
  <c r="R33" i="83"/>
  <c r="Q33" i="83"/>
  <c r="P33" i="83"/>
  <c r="O33" i="83"/>
  <c r="N33" i="83"/>
  <c r="L33" i="83"/>
  <c r="K33" i="83"/>
  <c r="J33" i="83"/>
  <c r="I33" i="83"/>
  <c r="H33" i="83"/>
  <c r="G33" i="83"/>
  <c r="F33" i="83"/>
  <c r="E33" i="83"/>
  <c r="D33" i="83"/>
  <c r="T32" i="83"/>
  <c r="S32" i="83"/>
  <c r="V31" i="83"/>
  <c r="U31" i="83"/>
  <c r="T31" i="83"/>
  <c r="S31" i="83"/>
  <c r="R31" i="83"/>
  <c r="Q31" i="83"/>
  <c r="P31" i="83"/>
  <c r="O31" i="83"/>
  <c r="N31" i="83"/>
  <c r="M31" i="83"/>
  <c r="J20" i="83"/>
  <c r="I20" i="83"/>
  <c r="H20" i="83"/>
  <c r="G20" i="83"/>
  <c r="J19" i="83"/>
  <c r="I19" i="83"/>
  <c r="H19" i="83"/>
  <c r="G19" i="83"/>
  <c r="J18" i="83"/>
  <c r="I18" i="83"/>
  <c r="H18" i="83"/>
  <c r="G18" i="83"/>
  <c r="J17" i="83"/>
  <c r="I17" i="83"/>
  <c r="H17" i="83"/>
  <c r="G17" i="83"/>
  <c r="J16" i="83"/>
  <c r="I16" i="83"/>
  <c r="H16" i="83"/>
  <c r="G16" i="83"/>
  <c r="J15" i="83"/>
  <c r="I15" i="83"/>
  <c r="H15" i="83"/>
  <c r="G15" i="83"/>
  <c r="J14" i="83"/>
  <c r="I14" i="83"/>
  <c r="H14" i="83"/>
  <c r="G14" i="83"/>
  <c r="J13" i="83"/>
  <c r="I13" i="83"/>
  <c r="H13" i="83"/>
  <c r="G13" i="83"/>
  <c r="J12" i="83"/>
  <c r="I12" i="83"/>
  <c r="H12" i="83"/>
  <c r="G12" i="83"/>
  <c r="J11" i="83"/>
  <c r="H11" i="83"/>
  <c r="G11" i="83"/>
  <c r="E7" i="83"/>
  <c r="B7" i="83"/>
  <c r="I11" i="83" s="1"/>
  <c r="C33" i="83" s="1"/>
  <c r="I126" i="96"/>
  <c r="H126" i="96"/>
  <c r="G126" i="96"/>
  <c r="F126" i="96"/>
  <c r="E126" i="96"/>
  <c r="J125" i="96"/>
  <c r="G125" i="96"/>
  <c r="F125" i="96"/>
  <c r="E125" i="96"/>
  <c r="C125" i="96"/>
  <c r="V103" i="96"/>
  <c r="U103" i="96"/>
  <c r="T103" i="96"/>
  <c r="S103" i="96"/>
  <c r="R103" i="96"/>
  <c r="Q103" i="96"/>
  <c r="P103" i="96"/>
  <c r="O103" i="96"/>
  <c r="N103" i="96"/>
  <c r="A103" i="96"/>
  <c r="V102" i="96"/>
  <c r="U102" i="96"/>
  <c r="T102" i="96"/>
  <c r="S102" i="96"/>
  <c r="R102" i="96"/>
  <c r="Q102" i="96"/>
  <c r="P102" i="96"/>
  <c r="O102" i="96"/>
  <c r="N102" i="96"/>
  <c r="A102" i="96"/>
  <c r="V101" i="96"/>
  <c r="U101" i="96"/>
  <c r="T101" i="96"/>
  <c r="S101" i="96"/>
  <c r="R101" i="96"/>
  <c r="Q101" i="96"/>
  <c r="P101" i="96"/>
  <c r="O101" i="96"/>
  <c r="N101" i="96"/>
  <c r="A101" i="96"/>
  <c r="V100" i="96"/>
  <c r="U100" i="96"/>
  <c r="T100" i="96"/>
  <c r="S100" i="96"/>
  <c r="R100" i="96"/>
  <c r="Q100" i="96"/>
  <c r="P100" i="96"/>
  <c r="O100" i="96"/>
  <c r="N100" i="96"/>
  <c r="A100" i="96"/>
  <c r="V99" i="96"/>
  <c r="U99" i="96"/>
  <c r="T99" i="96"/>
  <c r="S99" i="96"/>
  <c r="R99" i="96"/>
  <c r="Q99" i="96"/>
  <c r="P99" i="96"/>
  <c r="O99" i="96"/>
  <c r="N99" i="96"/>
  <c r="A99" i="96"/>
  <c r="V98" i="96"/>
  <c r="U98" i="96"/>
  <c r="T98" i="96"/>
  <c r="S98" i="96"/>
  <c r="R98" i="96"/>
  <c r="Q98" i="96"/>
  <c r="P98" i="96"/>
  <c r="O98" i="96"/>
  <c r="N98" i="96"/>
  <c r="A98" i="96"/>
  <c r="V97" i="96"/>
  <c r="U97" i="96"/>
  <c r="T97" i="96"/>
  <c r="S97" i="96"/>
  <c r="R97" i="96"/>
  <c r="Q97" i="96"/>
  <c r="P97" i="96"/>
  <c r="O97" i="96"/>
  <c r="N97" i="96"/>
  <c r="A97" i="96"/>
  <c r="V96" i="96"/>
  <c r="U96" i="96"/>
  <c r="T96" i="96"/>
  <c r="S96" i="96"/>
  <c r="R96" i="96"/>
  <c r="Q96" i="96"/>
  <c r="P96" i="96"/>
  <c r="O96" i="96"/>
  <c r="N96" i="96"/>
  <c r="A96" i="96"/>
  <c r="V95" i="96"/>
  <c r="U95" i="96"/>
  <c r="T95" i="96"/>
  <c r="S95" i="96"/>
  <c r="R95" i="96"/>
  <c r="Q95" i="96"/>
  <c r="P95" i="96"/>
  <c r="O95" i="96"/>
  <c r="N95" i="96"/>
  <c r="A95" i="96"/>
  <c r="V94" i="96"/>
  <c r="U94" i="96"/>
  <c r="T94" i="96"/>
  <c r="S94" i="96"/>
  <c r="R94" i="96"/>
  <c r="Q94" i="96"/>
  <c r="P94" i="96"/>
  <c r="O94" i="96"/>
  <c r="N94" i="96"/>
  <c r="A94" i="96"/>
  <c r="V93" i="96"/>
  <c r="U93" i="96"/>
  <c r="T93" i="96"/>
  <c r="S93" i="96"/>
  <c r="R93" i="96"/>
  <c r="Q93" i="96"/>
  <c r="P93" i="96"/>
  <c r="O93" i="96"/>
  <c r="N93" i="96"/>
  <c r="A93" i="96"/>
  <c r="V92" i="96"/>
  <c r="U92" i="96"/>
  <c r="T92" i="96"/>
  <c r="S92" i="96"/>
  <c r="R92" i="96"/>
  <c r="Q92" i="96"/>
  <c r="P92" i="96"/>
  <c r="O92" i="96"/>
  <c r="N92" i="96"/>
  <c r="A92" i="96"/>
  <c r="V91" i="96"/>
  <c r="U91" i="96"/>
  <c r="T91" i="96"/>
  <c r="S91" i="96"/>
  <c r="R91" i="96"/>
  <c r="Q91" i="96"/>
  <c r="P91" i="96"/>
  <c r="O91" i="96"/>
  <c r="N91" i="96"/>
  <c r="A91" i="96"/>
  <c r="V90" i="96"/>
  <c r="U90" i="96"/>
  <c r="T90" i="96"/>
  <c r="S90" i="96"/>
  <c r="R90" i="96"/>
  <c r="Q90" i="96"/>
  <c r="P90" i="96"/>
  <c r="O90" i="96"/>
  <c r="N90" i="96"/>
  <c r="A90" i="96"/>
  <c r="V89" i="96"/>
  <c r="U89" i="96"/>
  <c r="T89" i="96"/>
  <c r="S89" i="96"/>
  <c r="R89" i="96"/>
  <c r="Q89" i="96"/>
  <c r="P89" i="96"/>
  <c r="O89" i="96"/>
  <c r="N89" i="96"/>
  <c r="A89" i="96"/>
  <c r="V88" i="96"/>
  <c r="U88" i="96"/>
  <c r="T88" i="96"/>
  <c r="S88" i="96"/>
  <c r="R88" i="96"/>
  <c r="Q88" i="96"/>
  <c r="P88" i="96"/>
  <c r="O88" i="96"/>
  <c r="N88" i="96"/>
  <c r="A88" i="96"/>
  <c r="V87" i="96"/>
  <c r="U87" i="96"/>
  <c r="T87" i="96"/>
  <c r="S87" i="96"/>
  <c r="R87" i="96"/>
  <c r="Q87" i="96"/>
  <c r="P87" i="96"/>
  <c r="O87" i="96"/>
  <c r="N87" i="96"/>
  <c r="A87" i="96"/>
  <c r="V86" i="96"/>
  <c r="U86" i="96"/>
  <c r="T86" i="96"/>
  <c r="S86" i="96"/>
  <c r="R86" i="96"/>
  <c r="Q86" i="96"/>
  <c r="P86" i="96"/>
  <c r="O86" i="96"/>
  <c r="N86" i="96"/>
  <c r="A86" i="96"/>
  <c r="V85" i="96"/>
  <c r="U85" i="96"/>
  <c r="T85" i="96"/>
  <c r="S85" i="96"/>
  <c r="R85" i="96"/>
  <c r="Q85" i="96"/>
  <c r="P85" i="96"/>
  <c r="O85" i="96"/>
  <c r="N85" i="96"/>
  <c r="A85" i="96"/>
  <c r="V84" i="96"/>
  <c r="U84" i="96"/>
  <c r="T84" i="96"/>
  <c r="S84" i="96"/>
  <c r="R84" i="96"/>
  <c r="Q84" i="96"/>
  <c r="P84" i="96"/>
  <c r="O84" i="96"/>
  <c r="N84" i="96"/>
  <c r="A84" i="96"/>
  <c r="V83" i="96"/>
  <c r="U83" i="96"/>
  <c r="T83" i="96"/>
  <c r="S83" i="96"/>
  <c r="R83" i="96"/>
  <c r="Q83" i="96"/>
  <c r="P83" i="96"/>
  <c r="O83" i="96"/>
  <c r="N83" i="96"/>
  <c r="A83" i="96"/>
  <c r="V82" i="96"/>
  <c r="U82" i="96"/>
  <c r="T82" i="96"/>
  <c r="S82" i="96"/>
  <c r="R82" i="96"/>
  <c r="Q82" i="96"/>
  <c r="P82" i="96"/>
  <c r="O82" i="96"/>
  <c r="N82" i="96"/>
  <c r="L82" i="96"/>
  <c r="K82" i="96"/>
  <c r="J82" i="96"/>
  <c r="I82" i="96"/>
  <c r="H82" i="96"/>
  <c r="G82" i="96"/>
  <c r="F82" i="96"/>
  <c r="A82" i="96"/>
  <c r="V81" i="96"/>
  <c r="U81" i="96"/>
  <c r="T81" i="96"/>
  <c r="S81" i="96"/>
  <c r="R81" i="96"/>
  <c r="Q81" i="96"/>
  <c r="P81" i="96"/>
  <c r="O81" i="96"/>
  <c r="N81" i="96"/>
  <c r="A81" i="96"/>
  <c r="V80" i="96"/>
  <c r="U80" i="96"/>
  <c r="T80" i="96"/>
  <c r="S80" i="96"/>
  <c r="R80" i="96"/>
  <c r="Q80" i="96"/>
  <c r="P80" i="96"/>
  <c r="O80" i="96"/>
  <c r="N80" i="96"/>
  <c r="A80" i="96"/>
  <c r="V79" i="96"/>
  <c r="U79" i="96"/>
  <c r="T79" i="96"/>
  <c r="S79" i="96"/>
  <c r="R79" i="96"/>
  <c r="Q79" i="96"/>
  <c r="P79" i="96"/>
  <c r="O79" i="96"/>
  <c r="N79" i="96"/>
  <c r="A79" i="96"/>
  <c r="V78" i="96"/>
  <c r="U78" i="96"/>
  <c r="T78" i="96"/>
  <c r="S78" i="96"/>
  <c r="R78" i="96"/>
  <c r="Q78" i="96"/>
  <c r="P78" i="96"/>
  <c r="O78" i="96"/>
  <c r="N78" i="96"/>
  <c r="A78" i="96"/>
  <c r="V77" i="96"/>
  <c r="U77" i="96"/>
  <c r="T77" i="96"/>
  <c r="S77" i="96"/>
  <c r="R77" i="96"/>
  <c r="Q77" i="96"/>
  <c r="P77" i="96"/>
  <c r="O77" i="96"/>
  <c r="N77" i="96"/>
  <c r="A77" i="96"/>
  <c r="V76" i="96"/>
  <c r="U76" i="96"/>
  <c r="T76" i="96"/>
  <c r="S76" i="96"/>
  <c r="R76" i="96"/>
  <c r="Q76" i="96"/>
  <c r="P76" i="96"/>
  <c r="O76" i="96"/>
  <c r="N76" i="96"/>
  <c r="A76" i="96"/>
  <c r="V75" i="96"/>
  <c r="U75" i="96"/>
  <c r="T75" i="96"/>
  <c r="S75" i="96"/>
  <c r="R75" i="96"/>
  <c r="Q75" i="96"/>
  <c r="P75" i="96"/>
  <c r="O75" i="96"/>
  <c r="N75" i="96"/>
  <c r="A75" i="96"/>
  <c r="V74" i="96"/>
  <c r="U74" i="96"/>
  <c r="T74" i="96"/>
  <c r="S74" i="96"/>
  <c r="R74" i="96"/>
  <c r="Q74" i="96"/>
  <c r="P74" i="96"/>
  <c r="O74" i="96"/>
  <c r="N74" i="96"/>
  <c r="A74" i="96"/>
  <c r="V73" i="96"/>
  <c r="U73" i="96"/>
  <c r="T73" i="96"/>
  <c r="S73" i="96"/>
  <c r="R73" i="96"/>
  <c r="Q73" i="96"/>
  <c r="P73" i="96"/>
  <c r="O73" i="96"/>
  <c r="N73" i="96"/>
  <c r="A73" i="96"/>
  <c r="V72" i="96"/>
  <c r="U72" i="96"/>
  <c r="T72" i="96"/>
  <c r="S72" i="96"/>
  <c r="R72" i="96"/>
  <c r="Q72" i="96"/>
  <c r="P72" i="96"/>
  <c r="O72" i="96"/>
  <c r="N72" i="96"/>
  <c r="A72" i="96"/>
  <c r="V71" i="96"/>
  <c r="U71" i="96"/>
  <c r="T71" i="96"/>
  <c r="S71" i="96"/>
  <c r="R71" i="96"/>
  <c r="Q71" i="96"/>
  <c r="P71" i="96"/>
  <c r="O71" i="96"/>
  <c r="N71" i="96"/>
  <c r="L71" i="96"/>
  <c r="K71" i="96"/>
  <c r="J71" i="96"/>
  <c r="I71" i="96"/>
  <c r="H71" i="96"/>
  <c r="G71" i="96"/>
  <c r="F71" i="96"/>
  <c r="E71" i="96"/>
  <c r="D71" i="96"/>
  <c r="C71" i="96"/>
  <c r="A71" i="96"/>
  <c r="V70" i="96"/>
  <c r="U70" i="96"/>
  <c r="T70" i="96"/>
  <c r="S70" i="96"/>
  <c r="R70" i="96"/>
  <c r="Q70" i="96"/>
  <c r="P70" i="96"/>
  <c r="O70" i="96"/>
  <c r="N70" i="96"/>
  <c r="A70" i="96"/>
  <c r="L69" i="96"/>
  <c r="K69" i="96"/>
  <c r="J69" i="96"/>
  <c r="I69" i="96"/>
  <c r="H69" i="96"/>
  <c r="G69" i="96"/>
  <c r="F69" i="96"/>
  <c r="E69" i="96"/>
  <c r="C69" i="96"/>
  <c r="A69" i="96"/>
  <c r="V68" i="96"/>
  <c r="U68" i="96"/>
  <c r="T68" i="96"/>
  <c r="S68" i="96"/>
  <c r="R68" i="96"/>
  <c r="Q68" i="96"/>
  <c r="P68" i="96"/>
  <c r="O68" i="96"/>
  <c r="N68" i="96"/>
  <c r="C68" i="96"/>
  <c r="A68" i="96"/>
  <c r="V67" i="96"/>
  <c r="U67" i="96"/>
  <c r="T67" i="96"/>
  <c r="S67" i="96"/>
  <c r="R67" i="96"/>
  <c r="Q67" i="96"/>
  <c r="P67" i="96"/>
  <c r="O67" i="96"/>
  <c r="N67" i="96"/>
  <c r="A67" i="96"/>
  <c r="V66" i="96"/>
  <c r="U66" i="96"/>
  <c r="T66" i="96"/>
  <c r="S66" i="96"/>
  <c r="R66" i="96"/>
  <c r="Q66" i="96"/>
  <c r="P66" i="96"/>
  <c r="O66" i="96"/>
  <c r="N66" i="96"/>
  <c r="A66" i="96"/>
  <c r="C65" i="96"/>
  <c r="A65" i="96"/>
  <c r="V64" i="96"/>
  <c r="U64" i="96"/>
  <c r="T64" i="96"/>
  <c r="S64" i="96"/>
  <c r="R64" i="96"/>
  <c r="Q64" i="96"/>
  <c r="P64" i="96"/>
  <c r="O64" i="96"/>
  <c r="N64" i="96"/>
  <c r="C64" i="96"/>
  <c r="A64" i="96"/>
  <c r="V63" i="96"/>
  <c r="U63" i="96"/>
  <c r="T63" i="96"/>
  <c r="S63" i="96"/>
  <c r="R63" i="96"/>
  <c r="Q63" i="96"/>
  <c r="P63" i="96"/>
  <c r="O63" i="96"/>
  <c r="N63" i="96"/>
  <c r="A63" i="96"/>
  <c r="V62" i="96"/>
  <c r="U62" i="96"/>
  <c r="T62" i="96"/>
  <c r="S62" i="96"/>
  <c r="R62" i="96"/>
  <c r="Q62" i="96"/>
  <c r="P62" i="96"/>
  <c r="O62" i="96"/>
  <c r="N62" i="96"/>
  <c r="A62" i="96"/>
  <c r="V61" i="96"/>
  <c r="U61" i="96"/>
  <c r="T61" i="96"/>
  <c r="S61" i="96"/>
  <c r="R61" i="96"/>
  <c r="Q61" i="96"/>
  <c r="P61" i="96"/>
  <c r="O61" i="96"/>
  <c r="N61" i="96"/>
  <c r="A61" i="96"/>
  <c r="V60" i="96"/>
  <c r="U60" i="96"/>
  <c r="T60" i="96"/>
  <c r="S60" i="96"/>
  <c r="R60" i="96"/>
  <c r="Q60" i="96"/>
  <c r="P60" i="96"/>
  <c r="O60" i="96"/>
  <c r="N60" i="96"/>
  <c r="A60" i="96"/>
  <c r="V59" i="96"/>
  <c r="U59" i="96"/>
  <c r="T59" i="96"/>
  <c r="S59" i="96"/>
  <c r="R59" i="96"/>
  <c r="Q59" i="96"/>
  <c r="P59" i="96"/>
  <c r="O59" i="96"/>
  <c r="N59" i="96"/>
  <c r="A59" i="96"/>
  <c r="V58" i="96"/>
  <c r="U58" i="96"/>
  <c r="T58" i="96"/>
  <c r="S58" i="96"/>
  <c r="R58" i="96"/>
  <c r="Q58" i="96"/>
  <c r="P58" i="96"/>
  <c r="O58" i="96"/>
  <c r="N58" i="96"/>
  <c r="C58" i="96"/>
  <c r="A58" i="96"/>
  <c r="V57" i="96"/>
  <c r="U57" i="96"/>
  <c r="T57" i="96"/>
  <c r="S57" i="96"/>
  <c r="R57" i="96"/>
  <c r="Q57" i="96"/>
  <c r="P57" i="96"/>
  <c r="O57" i="96"/>
  <c r="N57" i="96"/>
  <c r="C57" i="96"/>
  <c r="A57" i="96"/>
  <c r="V56" i="96"/>
  <c r="U56" i="96"/>
  <c r="T56" i="96"/>
  <c r="S56" i="96"/>
  <c r="R56" i="96"/>
  <c r="Q56" i="96"/>
  <c r="P56" i="96"/>
  <c r="O56" i="96"/>
  <c r="N56" i="96"/>
  <c r="A56" i="96"/>
  <c r="V55" i="96"/>
  <c r="U55" i="96"/>
  <c r="T55" i="96"/>
  <c r="S55" i="96"/>
  <c r="R55" i="96"/>
  <c r="Q55" i="96"/>
  <c r="P55" i="96"/>
  <c r="O55" i="96"/>
  <c r="N55" i="96"/>
  <c r="A55" i="96"/>
  <c r="V54" i="96"/>
  <c r="U54" i="96"/>
  <c r="T54" i="96"/>
  <c r="S54" i="96"/>
  <c r="R54" i="96"/>
  <c r="Q54" i="96"/>
  <c r="P54" i="96"/>
  <c r="O54" i="96"/>
  <c r="N54" i="96"/>
  <c r="C54" i="96"/>
  <c r="A54" i="96"/>
  <c r="V53" i="96"/>
  <c r="U53" i="96"/>
  <c r="T53" i="96"/>
  <c r="S53" i="96"/>
  <c r="R53" i="96"/>
  <c r="Q53" i="96"/>
  <c r="P53" i="96"/>
  <c r="O53" i="96"/>
  <c r="N53" i="96"/>
  <c r="L53" i="96"/>
  <c r="K53" i="96"/>
  <c r="J53" i="96"/>
  <c r="I53" i="96"/>
  <c r="H53" i="96"/>
  <c r="G53" i="96"/>
  <c r="F53" i="96"/>
  <c r="E53" i="96"/>
  <c r="D53" i="96"/>
  <c r="C53" i="96"/>
  <c r="A53" i="96"/>
  <c r="V52" i="96"/>
  <c r="U52" i="96"/>
  <c r="T52" i="96"/>
  <c r="S52" i="96"/>
  <c r="R52" i="96"/>
  <c r="Q52" i="96"/>
  <c r="P52" i="96"/>
  <c r="O52" i="96"/>
  <c r="N52" i="96"/>
  <c r="L52" i="96"/>
  <c r="K52" i="96"/>
  <c r="J52" i="96"/>
  <c r="I52" i="96"/>
  <c r="H52" i="96"/>
  <c r="G52" i="96"/>
  <c r="F52" i="96"/>
  <c r="E52" i="96"/>
  <c r="D52" i="96"/>
  <c r="C52" i="96"/>
  <c r="A52" i="96"/>
  <c r="V51" i="96"/>
  <c r="U51" i="96"/>
  <c r="T51" i="96"/>
  <c r="S51" i="96"/>
  <c r="R51" i="96"/>
  <c r="Q51" i="96"/>
  <c r="P51" i="96"/>
  <c r="O51" i="96"/>
  <c r="N51" i="96"/>
  <c r="A51" i="96"/>
  <c r="V50" i="96"/>
  <c r="U50" i="96"/>
  <c r="T50" i="96"/>
  <c r="S50" i="96"/>
  <c r="R50" i="96"/>
  <c r="Q50" i="96"/>
  <c r="P50" i="96"/>
  <c r="O50" i="96"/>
  <c r="N50" i="96"/>
  <c r="A50" i="96"/>
  <c r="V49" i="96"/>
  <c r="U49" i="96"/>
  <c r="T49" i="96"/>
  <c r="S49" i="96"/>
  <c r="R49" i="96"/>
  <c r="Q49" i="96"/>
  <c r="P49" i="96"/>
  <c r="O49" i="96"/>
  <c r="N49" i="96"/>
  <c r="A49" i="96"/>
  <c r="V48" i="96"/>
  <c r="U48" i="96"/>
  <c r="T48" i="96"/>
  <c r="S48" i="96"/>
  <c r="R48" i="96"/>
  <c r="Q48" i="96"/>
  <c r="P48" i="96"/>
  <c r="O48" i="96"/>
  <c r="N48" i="96"/>
  <c r="A48" i="96"/>
  <c r="V47" i="96"/>
  <c r="U47" i="96"/>
  <c r="T47" i="96"/>
  <c r="S47" i="96"/>
  <c r="R47" i="96"/>
  <c r="Q47" i="96"/>
  <c r="P47" i="96"/>
  <c r="O47" i="96"/>
  <c r="N47" i="96"/>
  <c r="A47" i="96"/>
  <c r="V46" i="96"/>
  <c r="U46" i="96"/>
  <c r="T46" i="96"/>
  <c r="S46" i="96"/>
  <c r="R46" i="96"/>
  <c r="Q46" i="96"/>
  <c r="P46" i="96"/>
  <c r="O46" i="96"/>
  <c r="N46" i="96"/>
  <c r="A46" i="96"/>
  <c r="V45" i="96"/>
  <c r="U45" i="96"/>
  <c r="T45" i="96"/>
  <c r="S45" i="96"/>
  <c r="R45" i="96"/>
  <c r="Q45" i="96"/>
  <c r="P45" i="96"/>
  <c r="O45" i="96"/>
  <c r="N45" i="96"/>
  <c r="A45" i="96"/>
  <c r="V44" i="96"/>
  <c r="U44" i="96"/>
  <c r="T44" i="96"/>
  <c r="S44" i="96"/>
  <c r="R44" i="96"/>
  <c r="Q44" i="96"/>
  <c r="P44" i="96"/>
  <c r="O44" i="96"/>
  <c r="N44" i="96"/>
  <c r="A44" i="96"/>
  <c r="V43" i="96"/>
  <c r="U43" i="96"/>
  <c r="T43" i="96"/>
  <c r="S43" i="96"/>
  <c r="R43" i="96"/>
  <c r="Q43" i="96"/>
  <c r="P43" i="96"/>
  <c r="O43" i="96"/>
  <c r="N43" i="96"/>
  <c r="L43" i="96"/>
  <c r="K43" i="96"/>
  <c r="J43" i="96"/>
  <c r="I43" i="96"/>
  <c r="H43" i="96"/>
  <c r="G43" i="96"/>
  <c r="F43" i="96"/>
  <c r="E43" i="96"/>
  <c r="D43" i="96"/>
  <c r="C43" i="96"/>
  <c r="A43" i="96"/>
  <c r="V42" i="96"/>
  <c r="U42" i="96"/>
  <c r="T42" i="96"/>
  <c r="S42" i="96"/>
  <c r="R42" i="96"/>
  <c r="Q42" i="96"/>
  <c r="P42" i="96"/>
  <c r="O42" i="96"/>
  <c r="N42" i="96"/>
  <c r="L42" i="96"/>
  <c r="K42" i="96"/>
  <c r="J42" i="96"/>
  <c r="I42" i="96"/>
  <c r="H42" i="96"/>
  <c r="G42" i="96"/>
  <c r="F42" i="96"/>
  <c r="E42" i="96"/>
  <c r="D42" i="96"/>
  <c r="C42" i="96"/>
  <c r="A42" i="96"/>
  <c r="V41" i="96"/>
  <c r="U41" i="96"/>
  <c r="T41" i="96"/>
  <c r="S41" i="96"/>
  <c r="R41" i="96"/>
  <c r="Q41" i="96"/>
  <c r="P41" i="96"/>
  <c r="O41" i="96"/>
  <c r="N41" i="96"/>
  <c r="L41" i="96"/>
  <c r="K41" i="96"/>
  <c r="J41" i="96"/>
  <c r="I41" i="96"/>
  <c r="H41" i="96"/>
  <c r="G41" i="96"/>
  <c r="F41" i="96"/>
  <c r="E41" i="96"/>
  <c r="D41" i="96"/>
  <c r="C41" i="96"/>
  <c r="A41" i="96"/>
  <c r="V40" i="96"/>
  <c r="U40" i="96"/>
  <c r="T40" i="96"/>
  <c r="S40" i="96"/>
  <c r="R40" i="96"/>
  <c r="Q40" i="96"/>
  <c r="P40" i="96"/>
  <c r="O40" i="96"/>
  <c r="N40" i="96"/>
  <c r="A40" i="96"/>
  <c r="V39" i="96"/>
  <c r="U39" i="96"/>
  <c r="T39" i="96"/>
  <c r="S39" i="96"/>
  <c r="R39" i="96"/>
  <c r="Q39" i="96"/>
  <c r="P39" i="96"/>
  <c r="O39" i="96"/>
  <c r="N39" i="96"/>
  <c r="L39" i="96"/>
  <c r="K39" i="96"/>
  <c r="J39" i="96"/>
  <c r="I39" i="96"/>
  <c r="H39" i="96"/>
  <c r="G39" i="96"/>
  <c r="F39" i="96"/>
  <c r="E39" i="96"/>
  <c r="D39" i="96"/>
  <c r="C39" i="96"/>
  <c r="A39" i="96"/>
  <c r="V38" i="96"/>
  <c r="U38" i="96"/>
  <c r="T38" i="96"/>
  <c r="S38" i="96"/>
  <c r="R38" i="96"/>
  <c r="Q38" i="96"/>
  <c r="P38" i="96"/>
  <c r="O38" i="96"/>
  <c r="N38" i="96"/>
  <c r="A38" i="96"/>
  <c r="V37" i="96"/>
  <c r="U37" i="96"/>
  <c r="T37" i="96"/>
  <c r="S37" i="96"/>
  <c r="R37" i="96"/>
  <c r="Q37" i="96"/>
  <c r="P37" i="96"/>
  <c r="O37" i="96"/>
  <c r="N37" i="96"/>
  <c r="L37" i="96"/>
  <c r="K37" i="96"/>
  <c r="J37" i="96"/>
  <c r="I37" i="96"/>
  <c r="H37" i="96"/>
  <c r="G37" i="96"/>
  <c r="F37" i="96"/>
  <c r="E37" i="96"/>
  <c r="D37" i="96"/>
  <c r="C37" i="96"/>
  <c r="A37" i="96"/>
  <c r="V36" i="96"/>
  <c r="U36" i="96"/>
  <c r="T36" i="96"/>
  <c r="S36" i="96"/>
  <c r="R36" i="96"/>
  <c r="Q36" i="96"/>
  <c r="P36" i="96"/>
  <c r="O36" i="96"/>
  <c r="N36" i="96"/>
  <c r="C36" i="96"/>
  <c r="A36" i="96"/>
  <c r="V35" i="96"/>
  <c r="U35" i="96"/>
  <c r="T35" i="96"/>
  <c r="S35" i="96"/>
  <c r="R35" i="96"/>
  <c r="Q35" i="96"/>
  <c r="P35" i="96"/>
  <c r="O35" i="96"/>
  <c r="N35" i="96"/>
  <c r="A35" i="96"/>
  <c r="V34" i="96"/>
  <c r="U34" i="96"/>
  <c r="T34" i="96"/>
  <c r="S34" i="96"/>
  <c r="R34" i="96"/>
  <c r="Q34" i="96"/>
  <c r="P34" i="96"/>
  <c r="O34" i="96"/>
  <c r="N34" i="96"/>
  <c r="L34" i="96"/>
  <c r="K34" i="96"/>
  <c r="J34" i="96"/>
  <c r="I34" i="96"/>
  <c r="H34" i="96"/>
  <c r="G34" i="96"/>
  <c r="F34" i="96"/>
  <c r="E34" i="96"/>
  <c r="D34" i="96"/>
  <c r="C34" i="96"/>
  <c r="A34" i="96"/>
  <c r="V33" i="96"/>
  <c r="U33" i="96"/>
  <c r="T33" i="96"/>
  <c r="S33" i="96"/>
  <c r="R33" i="96"/>
  <c r="Q33" i="96"/>
  <c r="P33" i="96"/>
  <c r="O33" i="96"/>
  <c r="N33" i="96"/>
  <c r="L33" i="96"/>
  <c r="K33" i="96"/>
  <c r="J33" i="96"/>
  <c r="I33" i="96"/>
  <c r="H33" i="96"/>
  <c r="G33" i="96"/>
  <c r="F33" i="96"/>
  <c r="E33" i="96"/>
  <c r="D33" i="96"/>
  <c r="T32" i="96"/>
  <c r="S32" i="96"/>
  <c r="V31" i="96"/>
  <c r="U31" i="96"/>
  <c r="T31" i="96"/>
  <c r="S31" i="96"/>
  <c r="R31" i="96"/>
  <c r="Q31" i="96"/>
  <c r="P31" i="96"/>
  <c r="O31" i="96"/>
  <c r="N31" i="96"/>
  <c r="M31" i="96"/>
  <c r="J20" i="96"/>
  <c r="I20" i="96"/>
  <c r="H20" i="96"/>
  <c r="G20" i="96"/>
  <c r="J19" i="96"/>
  <c r="I19" i="96"/>
  <c r="H19" i="96"/>
  <c r="G19" i="96"/>
  <c r="J18" i="96"/>
  <c r="I18" i="96"/>
  <c r="H18" i="96"/>
  <c r="G18" i="96"/>
  <c r="J17" i="96"/>
  <c r="I17" i="96"/>
  <c r="H17" i="96"/>
  <c r="G17" i="96"/>
  <c r="J16" i="96"/>
  <c r="I16" i="96"/>
  <c r="H16" i="96"/>
  <c r="G16" i="96"/>
  <c r="J15" i="96"/>
  <c r="I15" i="96"/>
  <c r="H15" i="96"/>
  <c r="G15" i="96"/>
  <c r="J14" i="96"/>
  <c r="I14" i="96"/>
  <c r="H14" i="96"/>
  <c r="G14" i="96"/>
  <c r="J13" i="96"/>
  <c r="I13" i="96"/>
  <c r="H13" i="96"/>
  <c r="G13" i="96"/>
  <c r="J12" i="96"/>
  <c r="I12" i="96"/>
  <c r="H12" i="96"/>
  <c r="G12" i="96"/>
  <c r="J11" i="96"/>
  <c r="H11" i="96"/>
  <c r="G11" i="96"/>
  <c r="E7" i="96"/>
  <c r="B7" i="96"/>
  <c r="I11" i="96" s="1"/>
  <c r="C33" i="96" s="1"/>
  <c r="I126" i="78"/>
  <c r="H126" i="78"/>
  <c r="G126" i="78"/>
  <c r="F126" i="78"/>
  <c r="E126" i="78"/>
  <c r="J125" i="78"/>
  <c r="G125" i="78"/>
  <c r="F125" i="78"/>
  <c r="E125" i="78"/>
  <c r="C125" i="78"/>
  <c r="V103" i="78"/>
  <c r="U103" i="78"/>
  <c r="T103" i="78"/>
  <c r="S103" i="78"/>
  <c r="R103" i="78"/>
  <c r="Q103" i="78"/>
  <c r="P103" i="78"/>
  <c r="O103" i="78"/>
  <c r="N103" i="78"/>
  <c r="A103" i="78"/>
  <c r="V102" i="78"/>
  <c r="U102" i="78"/>
  <c r="T102" i="78"/>
  <c r="S102" i="78"/>
  <c r="R102" i="78"/>
  <c r="Q102" i="78"/>
  <c r="P102" i="78"/>
  <c r="O102" i="78"/>
  <c r="N102" i="78"/>
  <c r="A102" i="78"/>
  <c r="V101" i="78"/>
  <c r="U101" i="78"/>
  <c r="T101" i="78"/>
  <c r="S101" i="78"/>
  <c r="R101" i="78"/>
  <c r="Q101" i="78"/>
  <c r="P101" i="78"/>
  <c r="O101" i="78"/>
  <c r="N101" i="78"/>
  <c r="A101" i="78"/>
  <c r="V100" i="78"/>
  <c r="U100" i="78"/>
  <c r="T100" i="78"/>
  <c r="S100" i="78"/>
  <c r="R100" i="78"/>
  <c r="Q100" i="78"/>
  <c r="P100" i="78"/>
  <c r="O100" i="78"/>
  <c r="N100" i="78"/>
  <c r="A100" i="78"/>
  <c r="V99" i="78"/>
  <c r="U99" i="78"/>
  <c r="T99" i="78"/>
  <c r="S99" i="78"/>
  <c r="R99" i="78"/>
  <c r="Q99" i="78"/>
  <c r="P99" i="78"/>
  <c r="O99" i="78"/>
  <c r="N99" i="78"/>
  <c r="A99" i="78"/>
  <c r="V98" i="78"/>
  <c r="U98" i="78"/>
  <c r="T98" i="78"/>
  <c r="S98" i="78"/>
  <c r="R98" i="78"/>
  <c r="Q98" i="78"/>
  <c r="P98" i="78"/>
  <c r="O98" i="78"/>
  <c r="N98" i="78"/>
  <c r="A98" i="78"/>
  <c r="V97" i="78"/>
  <c r="U97" i="78"/>
  <c r="T97" i="78"/>
  <c r="S97" i="78"/>
  <c r="R97" i="78"/>
  <c r="Q97" i="78"/>
  <c r="P97" i="78"/>
  <c r="O97" i="78"/>
  <c r="N97" i="78"/>
  <c r="A97" i="78"/>
  <c r="V96" i="78"/>
  <c r="U96" i="78"/>
  <c r="T96" i="78"/>
  <c r="S96" i="78"/>
  <c r="R96" i="78"/>
  <c r="Q96" i="78"/>
  <c r="P96" i="78"/>
  <c r="O96" i="78"/>
  <c r="N96" i="78"/>
  <c r="A96" i="78"/>
  <c r="V95" i="78"/>
  <c r="U95" i="78"/>
  <c r="T95" i="78"/>
  <c r="S95" i="78"/>
  <c r="R95" i="78"/>
  <c r="Q95" i="78"/>
  <c r="P95" i="78"/>
  <c r="O95" i="78"/>
  <c r="N95" i="78"/>
  <c r="A95" i="78"/>
  <c r="V94" i="78"/>
  <c r="U94" i="78"/>
  <c r="T94" i="78"/>
  <c r="S94" i="78"/>
  <c r="R94" i="78"/>
  <c r="Q94" i="78"/>
  <c r="P94" i="78"/>
  <c r="O94" i="78"/>
  <c r="N94" i="78"/>
  <c r="A94" i="78"/>
  <c r="V93" i="78"/>
  <c r="U93" i="78"/>
  <c r="T93" i="78"/>
  <c r="S93" i="78"/>
  <c r="R93" i="78"/>
  <c r="Q93" i="78"/>
  <c r="P93" i="78"/>
  <c r="O93" i="78"/>
  <c r="N93" i="78"/>
  <c r="A93" i="78"/>
  <c r="V92" i="78"/>
  <c r="U92" i="78"/>
  <c r="T92" i="78"/>
  <c r="S92" i="78"/>
  <c r="R92" i="78"/>
  <c r="Q92" i="78"/>
  <c r="P92" i="78"/>
  <c r="O92" i="78"/>
  <c r="N92" i="78"/>
  <c r="A92" i="78"/>
  <c r="V91" i="78"/>
  <c r="U91" i="78"/>
  <c r="T91" i="78"/>
  <c r="S91" i="78"/>
  <c r="R91" i="78"/>
  <c r="Q91" i="78"/>
  <c r="P91" i="78"/>
  <c r="O91" i="78"/>
  <c r="N91" i="78"/>
  <c r="A91" i="78"/>
  <c r="V90" i="78"/>
  <c r="U90" i="78"/>
  <c r="T90" i="78"/>
  <c r="S90" i="78"/>
  <c r="R90" i="78"/>
  <c r="Q90" i="78"/>
  <c r="P90" i="78"/>
  <c r="O90" i="78"/>
  <c r="N90" i="78"/>
  <c r="A90" i="78"/>
  <c r="V89" i="78"/>
  <c r="U89" i="78"/>
  <c r="T89" i="78"/>
  <c r="S89" i="78"/>
  <c r="R89" i="78"/>
  <c r="Q89" i="78"/>
  <c r="P89" i="78"/>
  <c r="O89" i="78"/>
  <c r="N89" i="78"/>
  <c r="A89" i="78"/>
  <c r="V88" i="78"/>
  <c r="U88" i="78"/>
  <c r="T88" i="78"/>
  <c r="S88" i="78"/>
  <c r="R88" i="78"/>
  <c r="Q88" i="78"/>
  <c r="P88" i="78"/>
  <c r="O88" i="78"/>
  <c r="N88" i="78"/>
  <c r="A88" i="78"/>
  <c r="V87" i="78"/>
  <c r="U87" i="78"/>
  <c r="T87" i="78"/>
  <c r="S87" i="78"/>
  <c r="R87" i="78"/>
  <c r="Q87" i="78"/>
  <c r="P87" i="78"/>
  <c r="O87" i="78"/>
  <c r="N87" i="78"/>
  <c r="A87" i="78"/>
  <c r="V86" i="78"/>
  <c r="U86" i="78"/>
  <c r="T86" i="78"/>
  <c r="S86" i="78"/>
  <c r="R86" i="78"/>
  <c r="Q86" i="78"/>
  <c r="P86" i="78"/>
  <c r="O86" i="78"/>
  <c r="N86" i="78"/>
  <c r="A86" i="78"/>
  <c r="V85" i="78"/>
  <c r="U85" i="78"/>
  <c r="T85" i="78"/>
  <c r="S85" i="78"/>
  <c r="R85" i="78"/>
  <c r="Q85" i="78"/>
  <c r="P85" i="78"/>
  <c r="O85" i="78"/>
  <c r="N85" i="78"/>
  <c r="A85" i="78"/>
  <c r="V84" i="78"/>
  <c r="U84" i="78"/>
  <c r="T84" i="78"/>
  <c r="S84" i="78"/>
  <c r="R84" i="78"/>
  <c r="Q84" i="78"/>
  <c r="P84" i="78"/>
  <c r="O84" i="78"/>
  <c r="N84" i="78"/>
  <c r="A84" i="78"/>
  <c r="V83" i="78"/>
  <c r="U83" i="78"/>
  <c r="T83" i="78"/>
  <c r="S83" i="78"/>
  <c r="R83" i="78"/>
  <c r="Q83" i="78"/>
  <c r="P83" i="78"/>
  <c r="O83" i="78"/>
  <c r="N83" i="78"/>
  <c r="A83" i="78"/>
  <c r="V82" i="78"/>
  <c r="U82" i="78"/>
  <c r="T82" i="78"/>
  <c r="S82" i="78"/>
  <c r="R82" i="78"/>
  <c r="Q82" i="78"/>
  <c r="P82" i="78"/>
  <c r="O82" i="78"/>
  <c r="N82" i="78"/>
  <c r="L82" i="78"/>
  <c r="K82" i="78"/>
  <c r="J82" i="78"/>
  <c r="I82" i="78"/>
  <c r="H82" i="78"/>
  <c r="G82" i="78"/>
  <c r="F82" i="78"/>
  <c r="A82" i="78"/>
  <c r="V81" i="78"/>
  <c r="U81" i="78"/>
  <c r="T81" i="78"/>
  <c r="S81" i="78"/>
  <c r="R81" i="78"/>
  <c r="Q81" i="78"/>
  <c r="P81" i="78"/>
  <c r="O81" i="78"/>
  <c r="N81" i="78"/>
  <c r="A81" i="78"/>
  <c r="V80" i="78"/>
  <c r="U80" i="78"/>
  <c r="T80" i="78"/>
  <c r="S80" i="78"/>
  <c r="R80" i="78"/>
  <c r="Q80" i="78"/>
  <c r="P80" i="78"/>
  <c r="O80" i="78"/>
  <c r="N80" i="78"/>
  <c r="A80" i="78"/>
  <c r="V79" i="78"/>
  <c r="U79" i="78"/>
  <c r="T79" i="78"/>
  <c r="S79" i="78"/>
  <c r="R79" i="78"/>
  <c r="Q79" i="78"/>
  <c r="P79" i="78"/>
  <c r="O79" i="78"/>
  <c r="N79" i="78"/>
  <c r="A79" i="78"/>
  <c r="V78" i="78"/>
  <c r="U78" i="78"/>
  <c r="T78" i="78"/>
  <c r="S78" i="78"/>
  <c r="R78" i="78"/>
  <c r="Q78" i="78"/>
  <c r="P78" i="78"/>
  <c r="O78" i="78"/>
  <c r="N78" i="78"/>
  <c r="A78" i="78"/>
  <c r="V77" i="78"/>
  <c r="U77" i="78"/>
  <c r="T77" i="78"/>
  <c r="S77" i="78"/>
  <c r="R77" i="78"/>
  <c r="Q77" i="78"/>
  <c r="P77" i="78"/>
  <c r="O77" i="78"/>
  <c r="N77" i="78"/>
  <c r="A77" i="78"/>
  <c r="V76" i="78"/>
  <c r="U76" i="78"/>
  <c r="T76" i="78"/>
  <c r="S76" i="78"/>
  <c r="R76" i="78"/>
  <c r="Q76" i="78"/>
  <c r="P76" i="78"/>
  <c r="O76" i="78"/>
  <c r="N76" i="78"/>
  <c r="A76" i="78"/>
  <c r="V75" i="78"/>
  <c r="U75" i="78"/>
  <c r="T75" i="78"/>
  <c r="S75" i="78"/>
  <c r="R75" i="78"/>
  <c r="Q75" i="78"/>
  <c r="P75" i="78"/>
  <c r="O75" i="78"/>
  <c r="N75" i="78"/>
  <c r="A75" i="78"/>
  <c r="V74" i="78"/>
  <c r="U74" i="78"/>
  <c r="T74" i="78"/>
  <c r="S74" i="78"/>
  <c r="R74" i="78"/>
  <c r="Q74" i="78"/>
  <c r="P74" i="78"/>
  <c r="O74" i="78"/>
  <c r="N74" i="78"/>
  <c r="A74" i="78"/>
  <c r="V73" i="78"/>
  <c r="U73" i="78"/>
  <c r="T73" i="78"/>
  <c r="S73" i="78"/>
  <c r="R73" i="78"/>
  <c r="Q73" i="78"/>
  <c r="P73" i="78"/>
  <c r="O73" i="78"/>
  <c r="N73" i="78"/>
  <c r="A73" i="78"/>
  <c r="V72" i="78"/>
  <c r="U72" i="78"/>
  <c r="T72" i="78"/>
  <c r="S72" i="78"/>
  <c r="R72" i="78"/>
  <c r="Q72" i="78"/>
  <c r="P72" i="78"/>
  <c r="O72" i="78"/>
  <c r="N72" i="78"/>
  <c r="A72" i="78"/>
  <c r="V71" i="78"/>
  <c r="U71" i="78"/>
  <c r="T71" i="78"/>
  <c r="S71" i="78"/>
  <c r="R71" i="78"/>
  <c r="Q71" i="78"/>
  <c r="P71" i="78"/>
  <c r="O71" i="78"/>
  <c r="N71" i="78"/>
  <c r="L71" i="78"/>
  <c r="K71" i="78"/>
  <c r="J71" i="78"/>
  <c r="I71" i="78"/>
  <c r="H71" i="78"/>
  <c r="G71" i="78"/>
  <c r="F71" i="78"/>
  <c r="E71" i="78"/>
  <c r="D71" i="78"/>
  <c r="C71" i="78"/>
  <c r="A71" i="78"/>
  <c r="V70" i="78"/>
  <c r="U70" i="78"/>
  <c r="T70" i="78"/>
  <c r="S70" i="78"/>
  <c r="R70" i="78"/>
  <c r="Q70" i="78"/>
  <c r="P70" i="78"/>
  <c r="O70" i="78"/>
  <c r="N70" i="78"/>
  <c r="A70" i="78"/>
  <c r="L69" i="78"/>
  <c r="K69" i="78"/>
  <c r="J69" i="78"/>
  <c r="I69" i="78"/>
  <c r="H69" i="78"/>
  <c r="G69" i="78"/>
  <c r="F69" i="78"/>
  <c r="E69" i="78"/>
  <c r="C69" i="78"/>
  <c r="A69" i="78"/>
  <c r="V68" i="78"/>
  <c r="U68" i="78"/>
  <c r="T68" i="78"/>
  <c r="S68" i="78"/>
  <c r="R68" i="78"/>
  <c r="Q68" i="78"/>
  <c r="P68" i="78"/>
  <c r="O68" i="78"/>
  <c r="N68" i="78"/>
  <c r="C68" i="78"/>
  <c r="A68" i="78"/>
  <c r="V67" i="78"/>
  <c r="U67" i="78"/>
  <c r="T67" i="78"/>
  <c r="S67" i="78"/>
  <c r="R67" i="78"/>
  <c r="Q67" i="78"/>
  <c r="P67" i="78"/>
  <c r="O67" i="78"/>
  <c r="N67" i="78"/>
  <c r="A67" i="78"/>
  <c r="V66" i="78"/>
  <c r="U66" i="78"/>
  <c r="T66" i="78"/>
  <c r="S66" i="78"/>
  <c r="R66" i="78"/>
  <c r="Q66" i="78"/>
  <c r="P66" i="78"/>
  <c r="O66" i="78"/>
  <c r="N66" i="78"/>
  <c r="A66" i="78"/>
  <c r="C65" i="78"/>
  <c r="A65" i="78"/>
  <c r="V64" i="78"/>
  <c r="U64" i="78"/>
  <c r="T64" i="78"/>
  <c r="S64" i="78"/>
  <c r="R64" i="78"/>
  <c r="Q64" i="78"/>
  <c r="P64" i="78"/>
  <c r="O64" i="78"/>
  <c r="N64" i="78"/>
  <c r="C64" i="78"/>
  <c r="A64" i="78"/>
  <c r="V63" i="78"/>
  <c r="U63" i="78"/>
  <c r="T63" i="78"/>
  <c r="S63" i="78"/>
  <c r="R63" i="78"/>
  <c r="Q63" i="78"/>
  <c r="P63" i="78"/>
  <c r="O63" i="78"/>
  <c r="N63" i="78"/>
  <c r="A63" i="78"/>
  <c r="V62" i="78"/>
  <c r="U62" i="78"/>
  <c r="T62" i="78"/>
  <c r="S62" i="78"/>
  <c r="R62" i="78"/>
  <c r="Q62" i="78"/>
  <c r="P62" i="78"/>
  <c r="O62" i="78"/>
  <c r="N62" i="78"/>
  <c r="A62" i="78"/>
  <c r="V61" i="78"/>
  <c r="U61" i="78"/>
  <c r="T61" i="78"/>
  <c r="S61" i="78"/>
  <c r="R61" i="78"/>
  <c r="Q61" i="78"/>
  <c r="P61" i="78"/>
  <c r="O61" i="78"/>
  <c r="N61" i="78"/>
  <c r="A61" i="78"/>
  <c r="V60" i="78"/>
  <c r="U60" i="78"/>
  <c r="T60" i="78"/>
  <c r="S60" i="78"/>
  <c r="R60" i="78"/>
  <c r="Q60" i="78"/>
  <c r="P60" i="78"/>
  <c r="O60" i="78"/>
  <c r="N60" i="78"/>
  <c r="A60" i="78"/>
  <c r="V59" i="78"/>
  <c r="U59" i="78"/>
  <c r="T59" i="78"/>
  <c r="S59" i="78"/>
  <c r="R59" i="78"/>
  <c r="Q59" i="78"/>
  <c r="P59" i="78"/>
  <c r="O59" i="78"/>
  <c r="N59" i="78"/>
  <c r="A59" i="78"/>
  <c r="V58" i="78"/>
  <c r="U58" i="78"/>
  <c r="T58" i="78"/>
  <c r="S58" i="78"/>
  <c r="R58" i="78"/>
  <c r="Q58" i="78"/>
  <c r="P58" i="78"/>
  <c r="O58" i="78"/>
  <c r="N58" i="78"/>
  <c r="C58" i="78"/>
  <c r="A58" i="78"/>
  <c r="V57" i="78"/>
  <c r="U57" i="78"/>
  <c r="T57" i="78"/>
  <c r="S57" i="78"/>
  <c r="R57" i="78"/>
  <c r="Q57" i="78"/>
  <c r="P57" i="78"/>
  <c r="O57" i="78"/>
  <c r="N57" i="78"/>
  <c r="C57" i="78"/>
  <c r="A57" i="78"/>
  <c r="V56" i="78"/>
  <c r="U56" i="78"/>
  <c r="T56" i="78"/>
  <c r="S56" i="78"/>
  <c r="R56" i="78"/>
  <c r="Q56" i="78"/>
  <c r="P56" i="78"/>
  <c r="O56" i="78"/>
  <c r="N56" i="78"/>
  <c r="A56" i="78"/>
  <c r="V55" i="78"/>
  <c r="U55" i="78"/>
  <c r="T55" i="78"/>
  <c r="S55" i="78"/>
  <c r="R55" i="78"/>
  <c r="Q55" i="78"/>
  <c r="P55" i="78"/>
  <c r="O55" i="78"/>
  <c r="N55" i="78"/>
  <c r="A55" i="78"/>
  <c r="V54" i="78"/>
  <c r="U54" i="78"/>
  <c r="T54" i="78"/>
  <c r="S54" i="78"/>
  <c r="R54" i="78"/>
  <c r="Q54" i="78"/>
  <c r="P54" i="78"/>
  <c r="O54" i="78"/>
  <c r="N54" i="78"/>
  <c r="C54" i="78"/>
  <c r="A54" i="78"/>
  <c r="V53" i="78"/>
  <c r="U53" i="78"/>
  <c r="T53" i="78"/>
  <c r="S53" i="78"/>
  <c r="R53" i="78"/>
  <c r="Q53" i="78"/>
  <c r="P53" i="78"/>
  <c r="O53" i="78"/>
  <c r="N53" i="78"/>
  <c r="L53" i="78"/>
  <c r="K53" i="78"/>
  <c r="J53" i="78"/>
  <c r="I53" i="78"/>
  <c r="H53" i="78"/>
  <c r="G53" i="78"/>
  <c r="F53" i="78"/>
  <c r="E53" i="78"/>
  <c r="D53" i="78"/>
  <c r="C53" i="78"/>
  <c r="A53" i="78"/>
  <c r="V52" i="78"/>
  <c r="U52" i="78"/>
  <c r="T52" i="78"/>
  <c r="S52" i="78"/>
  <c r="R52" i="78"/>
  <c r="Q52" i="78"/>
  <c r="P52" i="78"/>
  <c r="O52" i="78"/>
  <c r="N52" i="78"/>
  <c r="L52" i="78"/>
  <c r="K52" i="78"/>
  <c r="J52" i="78"/>
  <c r="I52" i="78"/>
  <c r="H52" i="78"/>
  <c r="G52" i="78"/>
  <c r="F52" i="78"/>
  <c r="E52" i="78"/>
  <c r="D52" i="78"/>
  <c r="C52" i="78"/>
  <c r="A52" i="78"/>
  <c r="V51" i="78"/>
  <c r="U51" i="78"/>
  <c r="T51" i="78"/>
  <c r="S51" i="78"/>
  <c r="R51" i="78"/>
  <c r="Q51" i="78"/>
  <c r="P51" i="78"/>
  <c r="O51" i="78"/>
  <c r="N51" i="78"/>
  <c r="A51" i="78"/>
  <c r="V50" i="78"/>
  <c r="U50" i="78"/>
  <c r="T50" i="78"/>
  <c r="S50" i="78"/>
  <c r="R50" i="78"/>
  <c r="Q50" i="78"/>
  <c r="P50" i="78"/>
  <c r="O50" i="78"/>
  <c r="N50" i="78"/>
  <c r="A50" i="78"/>
  <c r="V49" i="78"/>
  <c r="U49" i="78"/>
  <c r="T49" i="78"/>
  <c r="S49" i="78"/>
  <c r="R49" i="78"/>
  <c r="Q49" i="78"/>
  <c r="P49" i="78"/>
  <c r="O49" i="78"/>
  <c r="N49" i="78"/>
  <c r="A49" i="78"/>
  <c r="V48" i="78"/>
  <c r="U48" i="78"/>
  <c r="T48" i="78"/>
  <c r="S48" i="78"/>
  <c r="R48" i="78"/>
  <c r="Q48" i="78"/>
  <c r="P48" i="78"/>
  <c r="O48" i="78"/>
  <c r="N48" i="78"/>
  <c r="A48" i="78"/>
  <c r="V47" i="78"/>
  <c r="U47" i="78"/>
  <c r="T47" i="78"/>
  <c r="S47" i="78"/>
  <c r="R47" i="78"/>
  <c r="Q47" i="78"/>
  <c r="P47" i="78"/>
  <c r="O47" i="78"/>
  <c r="N47" i="78"/>
  <c r="A47" i="78"/>
  <c r="V46" i="78"/>
  <c r="U46" i="78"/>
  <c r="T46" i="78"/>
  <c r="S46" i="78"/>
  <c r="R46" i="78"/>
  <c r="Q46" i="78"/>
  <c r="P46" i="78"/>
  <c r="O46" i="78"/>
  <c r="N46" i="78"/>
  <c r="A46" i="78"/>
  <c r="V45" i="78"/>
  <c r="U45" i="78"/>
  <c r="T45" i="78"/>
  <c r="S45" i="78"/>
  <c r="R45" i="78"/>
  <c r="Q45" i="78"/>
  <c r="P45" i="78"/>
  <c r="O45" i="78"/>
  <c r="N45" i="78"/>
  <c r="A45" i="78"/>
  <c r="V44" i="78"/>
  <c r="U44" i="78"/>
  <c r="T44" i="78"/>
  <c r="S44" i="78"/>
  <c r="R44" i="78"/>
  <c r="Q44" i="78"/>
  <c r="P44" i="78"/>
  <c r="O44" i="78"/>
  <c r="N44" i="78"/>
  <c r="A44" i="78"/>
  <c r="V43" i="78"/>
  <c r="U43" i="78"/>
  <c r="T43" i="78"/>
  <c r="S43" i="78"/>
  <c r="R43" i="78"/>
  <c r="Q43" i="78"/>
  <c r="P43" i="78"/>
  <c r="O43" i="78"/>
  <c r="N43" i="78"/>
  <c r="L43" i="78"/>
  <c r="K43" i="78"/>
  <c r="J43" i="78"/>
  <c r="I43" i="78"/>
  <c r="H43" i="78"/>
  <c r="G43" i="78"/>
  <c r="F43" i="78"/>
  <c r="E43" i="78"/>
  <c r="D43" i="78"/>
  <c r="C43" i="78"/>
  <c r="A43" i="78"/>
  <c r="V42" i="78"/>
  <c r="U42" i="78"/>
  <c r="T42" i="78"/>
  <c r="S42" i="78"/>
  <c r="R42" i="78"/>
  <c r="Q42" i="78"/>
  <c r="P42" i="78"/>
  <c r="O42" i="78"/>
  <c r="N42" i="78"/>
  <c r="L42" i="78"/>
  <c r="K42" i="78"/>
  <c r="J42" i="78"/>
  <c r="I42" i="78"/>
  <c r="H42" i="78"/>
  <c r="G42" i="78"/>
  <c r="F42" i="78"/>
  <c r="E42" i="78"/>
  <c r="D42" i="78"/>
  <c r="C42" i="78"/>
  <c r="A42" i="78"/>
  <c r="V41" i="78"/>
  <c r="U41" i="78"/>
  <c r="T41" i="78"/>
  <c r="S41" i="78"/>
  <c r="R41" i="78"/>
  <c r="Q41" i="78"/>
  <c r="P41" i="78"/>
  <c r="O41" i="78"/>
  <c r="N41" i="78"/>
  <c r="L41" i="78"/>
  <c r="K41" i="78"/>
  <c r="J41" i="78"/>
  <c r="I41" i="78"/>
  <c r="H41" i="78"/>
  <c r="G41" i="78"/>
  <c r="F41" i="78"/>
  <c r="E41" i="78"/>
  <c r="D41" i="78"/>
  <c r="C41" i="78"/>
  <c r="A41" i="78"/>
  <c r="V40" i="78"/>
  <c r="U40" i="78"/>
  <c r="T40" i="78"/>
  <c r="S40" i="78"/>
  <c r="R40" i="78"/>
  <c r="Q40" i="78"/>
  <c r="P40" i="78"/>
  <c r="O40" i="78"/>
  <c r="N40" i="78"/>
  <c r="A40" i="78"/>
  <c r="V39" i="78"/>
  <c r="U39" i="78"/>
  <c r="T39" i="78"/>
  <c r="S39" i="78"/>
  <c r="R39" i="78"/>
  <c r="Q39" i="78"/>
  <c r="P39" i="78"/>
  <c r="O39" i="78"/>
  <c r="N39" i="78"/>
  <c r="L39" i="78"/>
  <c r="K39" i="78"/>
  <c r="J39" i="78"/>
  <c r="I39" i="78"/>
  <c r="H39" i="78"/>
  <c r="G39" i="78"/>
  <c r="F39" i="78"/>
  <c r="E39" i="78"/>
  <c r="D39" i="78"/>
  <c r="C39" i="78"/>
  <c r="A39" i="78"/>
  <c r="V38" i="78"/>
  <c r="U38" i="78"/>
  <c r="T38" i="78"/>
  <c r="S38" i="78"/>
  <c r="R38" i="78"/>
  <c r="Q38" i="78"/>
  <c r="P38" i="78"/>
  <c r="O38" i="78"/>
  <c r="N38" i="78"/>
  <c r="A38" i="78"/>
  <c r="V37" i="78"/>
  <c r="U37" i="78"/>
  <c r="T37" i="78"/>
  <c r="S37" i="78"/>
  <c r="R37" i="78"/>
  <c r="Q37" i="78"/>
  <c r="P37" i="78"/>
  <c r="O37" i="78"/>
  <c r="N37" i="78"/>
  <c r="L37" i="78"/>
  <c r="K37" i="78"/>
  <c r="J37" i="78"/>
  <c r="I37" i="78"/>
  <c r="H37" i="78"/>
  <c r="G37" i="78"/>
  <c r="F37" i="78"/>
  <c r="E37" i="78"/>
  <c r="D37" i="78"/>
  <c r="C37" i="78"/>
  <c r="A37" i="78"/>
  <c r="V36" i="78"/>
  <c r="U36" i="78"/>
  <c r="T36" i="78"/>
  <c r="S36" i="78"/>
  <c r="R36" i="78"/>
  <c r="Q36" i="78"/>
  <c r="P36" i="78"/>
  <c r="O36" i="78"/>
  <c r="N36" i="78"/>
  <c r="C36" i="78"/>
  <c r="A36" i="78"/>
  <c r="V35" i="78"/>
  <c r="U35" i="78"/>
  <c r="T35" i="78"/>
  <c r="S35" i="78"/>
  <c r="R35" i="78"/>
  <c r="Q35" i="78"/>
  <c r="P35" i="78"/>
  <c r="O35" i="78"/>
  <c r="N35" i="78"/>
  <c r="A35" i="78"/>
  <c r="V34" i="78"/>
  <c r="U34" i="78"/>
  <c r="T34" i="78"/>
  <c r="S34" i="78"/>
  <c r="R34" i="78"/>
  <c r="Q34" i="78"/>
  <c r="P34" i="78"/>
  <c r="O34" i="78"/>
  <c r="N34" i="78"/>
  <c r="L34" i="78"/>
  <c r="K34" i="78"/>
  <c r="J34" i="78"/>
  <c r="I34" i="78"/>
  <c r="H34" i="78"/>
  <c r="G34" i="78"/>
  <c r="F34" i="78"/>
  <c r="E34" i="78"/>
  <c r="D34" i="78"/>
  <c r="C34" i="78"/>
  <c r="A34" i="78"/>
  <c r="V33" i="78"/>
  <c r="U33" i="78"/>
  <c r="T33" i="78"/>
  <c r="S33" i="78"/>
  <c r="R33" i="78"/>
  <c r="Q33" i="78"/>
  <c r="P33" i="78"/>
  <c r="O33" i="78"/>
  <c r="N33" i="78"/>
  <c r="L33" i="78"/>
  <c r="K33" i="78"/>
  <c r="J33" i="78"/>
  <c r="I33" i="78"/>
  <c r="H33" i="78"/>
  <c r="G33" i="78"/>
  <c r="F33" i="78"/>
  <c r="E33" i="78"/>
  <c r="D33" i="78"/>
  <c r="T32" i="78"/>
  <c r="S32" i="78"/>
  <c r="V31" i="78"/>
  <c r="U31" i="78"/>
  <c r="T31" i="78"/>
  <c r="S31" i="78"/>
  <c r="R31" i="78"/>
  <c r="Q31" i="78"/>
  <c r="P31" i="78"/>
  <c r="O31" i="78"/>
  <c r="N31" i="78"/>
  <c r="M31" i="78"/>
  <c r="J20" i="78"/>
  <c r="I20" i="78"/>
  <c r="H20" i="78"/>
  <c r="G20" i="78"/>
  <c r="J19" i="78"/>
  <c r="I19" i="78"/>
  <c r="H19" i="78"/>
  <c r="G19" i="78"/>
  <c r="J18" i="78"/>
  <c r="I18" i="78"/>
  <c r="H18" i="78"/>
  <c r="G18" i="78"/>
  <c r="J17" i="78"/>
  <c r="I17" i="78"/>
  <c r="H17" i="78"/>
  <c r="G17" i="78"/>
  <c r="J16" i="78"/>
  <c r="I16" i="78"/>
  <c r="H16" i="78"/>
  <c r="G16" i="78"/>
  <c r="J15" i="78"/>
  <c r="I15" i="78"/>
  <c r="H15" i="78"/>
  <c r="G15" i="78"/>
  <c r="J14" i="78"/>
  <c r="I14" i="78"/>
  <c r="H14" i="78"/>
  <c r="G14" i="78"/>
  <c r="J13" i="78"/>
  <c r="I13" i="78"/>
  <c r="H13" i="78"/>
  <c r="G13" i="78"/>
  <c r="J12" i="78"/>
  <c r="I12" i="78"/>
  <c r="H12" i="78"/>
  <c r="G12" i="78"/>
  <c r="J11" i="78"/>
  <c r="H11" i="78"/>
  <c r="G11" i="78"/>
  <c r="E7" i="78"/>
  <c r="B7" i="78"/>
  <c r="I11" i="78" s="1"/>
  <c r="C33" i="78" s="1"/>
  <c r="F160" i="108"/>
  <c r="E160" i="108"/>
  <c r="C160" i="108"/>
  <c r="B160" i="108"/>
  <c r="V103" i="108"/>
  <c r="U103" i="108"/>
  <c r="T103" i="108"/>
  <c r="S103" i="108"/>
  <c r="R103" i="108"/>
  <c r="Q103" i="108"/>
  <c r="P103" i="108"/>
  <c r="O103" i="108"/>
  <c r="N103" i="108"/>
  <c r="A103" i="108"/>
  <c r="V102" i="108"/>
  <c r="U102" i="108"/>
  <c r="T102" i="108"/>
  <c r="S102" i="108"/>
  <c r="R102" i="108"/>
  <c r="Q102" i="108"/>
  <c r="P102" i="108"/>
  <c r="O102" i="108"/>
  <c r="N102" i="108"/>
  <c r="A102" i="108"/>
  <c r="V101" i="108"/>
  <c r="U101" i="108"/>
  <c r="T101" i="108"/>
  <c r="S101" i="108"/>
  <c r="R101" i="108"/>
  <c r="Q101" i="108"/>
  <c r="P101" i="108"/>
  <c r="O101" i="108"/>
  <c r="N101" i="108"/>
  <c r="A101" i="108"/>
  <c r="V100" i="108"/>
  <c r="U100" i="108"/>
  <c r="T100" i="108"/>
  <c r="S100" i="108"/>
  <c r="R100" i="108"/>
  <c r="Q100" i="108"/>
  <c r="P100" i="108"/>
  <c r="O100" i="108"/>
  <c r="N100" i="108"/>
  <c r="A100" i="108"/>
  <c r="V99" i="108"/>
  <c r="U99" i="108"/>
  <c r="T99" i="108"/>
  <c r="S99" i="108"/>
  <c r="R99" i="108"/>
  <c r="Q99" i="108"/>
  <c r="P99" i="108"/>
  <c r="O99" i="108"/>
  <c r="N99" i="108"/>
  <c r="A99" i="108"/>
  <c r="V98" i="108"/>
  <c r="U98" i="108"/>
  <c r="T98" i="108"/>
  <c r="S98" i="108"/>
  <c r="R98" i="108"/>
  <c r="Q98" i="108"/>
  <c r="P98" i="108"/>
  <c r="O98" i="108"/>
  <c r="N98" i="108"/>
  <c r="A98" i="108"/>
  <c r="V97" i="108"/>
  <c r="U97" i="108"/>
  <c r="T97" i="108"/>
  <c r="S97" i="108"/>
  <c r="R97" i="108"/>
  <c r="Q97" i="108"/>
  <c r="P97" i="108"/>
  <c r="O97" i="108"/>
  <c r="N97" i="108"/>
  <c r="A97" i="108"/>
  <c r="V96" i="108"/>
  <c r="U96" i="108"/>
  <c r="T96" i="108"/>
  <c r="S96" i="108"/>
  <c r="R96" i="108"/>
  <c r="Q96" i="108"/>
  <c r="P96" i="108"/>
  <c r="O96" i="108"/>
  <c r="N96" i="108"/>
  <c r="A96" i="108"/>
  <c r="V95" i="108"/>
  <c r="U95" i="108"/>
  <c r="T95" i="108"/>
  <c r="S95" i="108"/>
  <c r="R95" i="108"/>
  <c r="Q95" i="108"/>
  <c r="P95" i="108"/>
  <c r="O95" i="108"/>
  <c r="N95" i="108"/>
  <c r="A95" i="108"/>
  <c r="V94" i="108"/>
  <c r="U94" i="108"/>
  <c r="T94" i="108"/>
  <c r="S94" i="108"/>
  <c r="R94" i="108"/>
  <c r="Q94" i="108"/>
  <c r="P94" i="108"/>
  <c r="O94" i="108"/>
  <c r="N94" i="108"/>
  <c r="A94" i="108"/>
  <c r="V93" i="108"/>
  <c r="U93" i="108"/>
  <c r="T93" i="108"/>
  <c r="S93" i="108"/>
  <c r="R93" i="108"/>
  <c r="Q93" i="108"/>
  <c r="P93" i="108"/>
  <c r="O93" i="108"/>
  <c r="N93" i="108"/>
  <c r="A93" i="108"/>
  <c r="V92" i="108"/>
  <c r="U92" i="108"/>
  <c r="T92" i="108"/>
  <c r="S92" i="108"/>
  <c r="R92" i="108"/>
  <c r="Q92" i="108"/>
  <c r="P92" i="108"/>
  <c r="O92" i="108"/>
  <c r="N92" i="108"/>
  <c r="A92" i="108"/>
  <c r="V91" i="108"/>
  <c r="U91" i="108"/>
  <c r="T91" i="108"/>
  <c r="S91" i="108"/>
  <c r="R91" i="108"/>
  <c r="Q91" i="108"/>
  <c r="P91" i="108"/>
  <c r="O91" i="108"/>
  <c r="N91" i="108"/>
  <c r="A91" i="108"/>
  <c r="V90" i="108"/>
  <c r="U90" i="108"/>
  <c r="T90" i="108"/>
  <c r="S90" i="108"/>
  <c r="R90" i="108"/>
  <c r="Q90" i="108"/>
  <c r="P90" i="108"/>
  <c r="O90" i="108"/>
  <c r="N90" i="108"/>
  <c r="A90" i="108"/>
  <c r="V89" i="108"/>
  <c r="U89" i="108"/>
  <c r="T89" i="108"/>
  <c r="S89" i="108"/>
  <c r="R89" i="108"/>
  <c r="Q89" i="108"/>
  <c r="P89" i="108"/>
  <c r="O89" i="108"/>
  <c r="N89" i="108"/>
  <c r="A89" i="108"/>
  <c r="V88" i="108"/>
  <c r="U88" i="108"/>
  <c r="T88" i="108"/>
  <c r="S88" i="108"/>
  <c r="R88" i="108"/>
  <c r="Q88" i="108"/>
  <c r="P88" i="108"/>
  <c r="O88" i="108"/>
  <c r="N88" i="108"/>
  <c r="A88" i="108"/>
  <c r="V87" i="108"/>
  <c r="U87" i="108"/>
  <c r="T87" i="108"/>
  <c r="S87" i="108"/>
  <c r="R87" i="108"/>
  <c r="Q87" i="108"/>
  <c r="P87" i="108"/>
  <c r="O87" i="108"/>
  <c r="N87" i="108"/>
  <c r="A87" i="108"/>
  <c r="V86" i="108"/>
  <c r="U86" i="108"/>
  <c r="T86" i="108"/>
  <c r="S86" i="108"/>
  <c r="R86" i="108"/>
  <c r="Q86" i="108"/>
  <c r="P86" i="108"/>
  <c r="O86" i="108"/>
  <c r="N86" i="108"/>
  <c r="A86" i="108"/>
  <c r="V85" i="108"/>
  <c r="U85" i="108"/>
  <c r="T85" i="108"/>
  <c r="S85" i="108"/>
  <c r="R85" i="108"/>
  <c r="Q85" i="108"/>
  <c r="P85" i="108"/>
  <c r="O85" i="108"/>
  <c r="N85" i="108"/>
  <c r="A85" i="108"/>
  <c r="V84" i="108"/>
  <c r="U84" i="108"/>
  <c r="T84" i="108"/>
  <c r="S84" i="108"/>
  <c r="R84" i="108"/>
  <c r="Q84" i="108"/>
  <c r="P84" i="108"/>
  <c r="O84" i="108"/>
  <c r="N84" i="108"/>
  <c r="A84" i="108"/>
  <c r="V83" i="108"/>
  <c r="U83" i="108"/>
  <c r="T83" i="108"/>
  <c r="S83" i="108"/>
  <c r="R83" i="108"/>
  <c r="Q83" i="108"/>
  <c r="P83" i="108"/>
  <c r="O83" i="108"/>
  <c r="N83" i="108"/>
  <c r="A83" i="108"/>
  <c r="V82" i="108"/>
  <c r="U82" i="108"/>
  <c r="T82" i="108"/>
  <c r="S82" i="108"/>
  <c r="R82" i="108"/>
  <c r="Q82" i="108"/>
  <c r="P82" i="108"/>
  <c r="O82" i="108"/>
  <c r="N82" i="108"/>
  <c r="L82" i="108"/>
  <c r="K82" i="108"/>
  <c r="J82" i="108"/>
  <c r="I82" i="108"/>
  <c r="H82" i="108"/>
  <c r="G82" i="108"/>
  <c r="F82" i="108"/>
  <c r="A82" i="108"/>
  <c r="V81" i="108"/>
  <c r="U81" i="108"/>
  <c r="T81" i="108"/>
  <c r="S81" i="108"/>
  <c r="R81" i="108"/>
  <c r="Q81" i="108"/>
  <c r="P81" i="108"/>
  <c r="O81" i="108"/>
  <c r="N81" i="108"/>
  <c r="A81" i="108"/>
  <c r="V80" i="108"/>
  <c r="U80" i="108"/>
  <c r="T80" i="108"/>
  <c r="S80" i="108"/>
  <c r="R80" i="108"/>
  <c r="Q80" i="108"/>
  <c r="P80" i="108"/>
  <c r="O80" i="108"/>
  <c r="N80" i="108"/>
  <c r="A80" i="108"/>
  <c r="V79" i="108"/>
  <c r="U79" i="108"/>
  <c r="T79" i="108"/>
  <c r="S79" i="108"/>
  <c r="R79" i="108"/>
  <c r="Q79" i="108"/>
  <c r="P79" i="108"/>
  <c r="O79" i="108"/>
  <c r="N79" i="108"/>
  <c r="A79" i="108"/>
  <c r="V78" i="108"/>
  <c r="U78" i="108"/>
  <c r="T78" i="108"/>
  <c r="S78" i="108"/>
  <c r="R78" i="108"/>
  <c r="Q78" i="108"/>
  <c r="P78" i="108"/>
  <c r="O78" i="108"/>
  <c r="N78" i="108"/>
  <c r="A78" i="108"/>
  <c r="V77" i="108"/>
  <c r="U77" i="108"/>
  <c r="T77" i="108"/>
  <c r="S77" i="108"/>
  <c r="R77" i="108"/>
  <c r="Q77" i="108"/>
  <c r="P77" i="108"/>
  <c r="O77" i="108"/>
  <c r="N77" i="108"/>
  <c r="A77" i="108"/>
  <c r="V76" i="108"/>
  <c r="U76" i="108"/>
  <c r="T76" i="108"/>
  <c r="S76" i="108"/>
  <c r="R76" i="108"/>
  <c r="Q76" i="108"/>
  <c r="P76" i="108"/>
  <c r="O76" i="108"/>
  <c r="N76" i="108"/>
  <c r="A76" i="108"/>
  <c r="V75" i="108"/>
  <c r="U75" i="108"/>
  <c r="T75" i="108"/>
  <c r="S75" i="108"/>
  <c r="R75" i="108"/>
  <c r="Q75" i="108"/>
  <c r="P75" i="108"/>
  <c r="O75" i="108"/>
  <c r="N75" i="108"/>
  <c r="A75" i="108"/>
  <c r="V74" i="108"/>
  <c r="U74" i="108"/>
  <c r="T74" i="108"/>
  <c r="S74" i="108"/>
  <c r="R74" i="108"/>
  <c r="Q74" i="108"/>
  <c r="P74" i="108"/>
  <c r="O74" i="108"/>
  <c r="N74" i="108"/>
  <c r="A74" i="108"/>
  <c r="V73" i="108"/>
  <c r="U73" i="108"/>
  <c r="T73" i="108"/>
  <c r="S73" i="108"/>
  <c r="R73" i="108"/>
  <c r="Q73" i="108"/>
  <c r="P73" i="108"/>
  <c r="O73" i="108"/>
  <c r="N73" i="108"/>
  <c r="A73" i="108"/>
  <c r="V72" i="108"/>
  <c r="U72" i="108"/>
  <c r="T72" i="108"/>
  <c r="S72" i="108"/>
  <c r="R72" i="108"/>
  <c r="Q72" i="108"/>
  <c r="P72" i="108"/>
  <c r="O72" i="108"/>
  <c r="N72" i="108"/>
  <c r="A72" i="108"/>
  <c r="V71" i="108"/>
  <c r="U71" i="108"/>
  <c r="T71" i="108"/>
  <c r="S71" i="108"/>
  <c r="R71" i="108"/>
  <c r="Q71" i="108"/>
  <c r="P71" i="108"/>
  <c r="O71" i="108"/>
  <c r="N71" i="108"/>
  <c r="L71" i="108"/>
  <c r="K71" i="108"/>
  <c r="J71" i="108"/>
  <c r="I71" i="108"/>
  <c r="H71" i="108"/>
  <c r="G71" i="108"/>
  <c r="F71" i="108"/>
  <c r="E71" i="108"/>
  <c r="D71" i="108"/>
  <c r="C71" i="108"/>
  <c r="A71" i="108"/>
  <c r="V70" i="108"/>
  <c r="U70" i="108"/>
  <c r="T70" i="108"/>
  <c r="S70" i="108"/>
  <c r="R70" i="108"/>
  <c r="Q70" i="108"/>
  <c r="P70" i="108"/>
  <c r="O70" i="108"/>
  <c r="N70" i="108"/>
  <c r="A70" i="108"/>
  <c r="V69" i="108"/>
  <c r="U69" i="108"/>
  <c r="T69" i="108"/>
  <c r="S69" i="108"/>
  <c r="R69" i="108"/>
  <c r="Q69" i="108"/>
  <c r="P69" i="108"/>
  <c r="O69" i="108"/>
  <c r="N69" i="108"/>
  <c r="L69" i="108"/>
  <c r="K69" i="108"/>
  <c r="J69" i="108"/>
  <c r="I69" i="108"/>
  <c r="H69" i="108"/>
  <c r="G69" i="108"/>
  <c r="F69" i="108"/>
  <c r="E69" i="108"/>
  <c r="D69" i="108"/>
  <c r="C69" i="108"/>
  <c r="A69" i="108"/>
  <c r="V68" i="108"/>
  <c r="U68" i="108"/>
  <c r="T68" i="108"/>
  <c r="S68" i="108"/>
  <c r="R68" i="108"/>
  <c r="Q68" i="108"/>
  <c r="P68" i="108"/>
  <c r="O68" i="108"/>
  <c r="N68" i="108"/>
  <c r="C68" i="108"/>
  <c r="A68" i="108"/>
  <c r="V67" i="108"/>
  <c r="U67" i="108"/>
  <c r="T67" i="108"/>
  <c r="S67" i="108"/>
  <c r="R67" i="108"/>
  <c r="Q67" i="108"/>
  <c r="P67" i="108"/>
  <c r="O67" i="108"/>
  <c r="N67" i="108"/>
  <c r="A67" i="108"/>
  <c r="V66" i="108"/>
  <c r="U66" i="108"/>
  <c r="T66" i="108"/>
  <c r="S66" i="108"/>
  <c r="R66" i="108"/>
  <c r="Q66" i="108"/>
  <c r="P66" i="108"/>
  <c r="O66" i="108"/>
  <c r="N66" i="108"/>
  <c r="A66" i="108"/>
  <c r="V65" i="108"/>
  <c r="U65" i="108"/>
  <c r="T65" i="108"/>
  <c r="S65" i="108"/>
  <c r="R65" i="108"/>
  <c r="Q65" i="108"/>
  <c r="P65" i="108"/>
  <c r="O65" i="108"/>
  <c r="N65" i="108"/>
  <c r="C65" i="108"/>
  <c r="A65" i="108"/>
  <c r="V64" i="108"/>
  <c r="U64" i="108"/>
  <c r="T64" i="108"/>
  <c r="S64" i="108"/>
  <c r="R64" i="108"/>
  <c r="Q64" i="108"/>
  <c r="P64" i="108"/>
  <c r="O64" i="108"/>
  <c r="N64" i="108"/>
  <c r="C64" i="108"/>
  <c r="A64" i="108"/>
  <c r="V63" i="108"/>
  <c r="U63" i="108"/>
  <c r="T63" i="108"/>
  <c r="S63" i="108"/>
  <c r="R63" i="108"/>
  <c r="Q63" i="108"/>
  <c r="P63" i="108"/>
  <c r="O63" i="108"/>
  <c r="N63" i="108"/>
  <c r="A63" i="108"/>
  <c r="V62" i="108"/>
  <c r="U62" i="108"/>
  <c r="T62" i="108"/>
  <c r="S62" i="108"/>
  <c r="R62" i="108"/>
  <c r="Q62" i="108"/>
  <c r="P62" i="108"/>
  <c r="O62" i="108"/>
  <c r="N62" i="108"/>
  <c r="A62" i="108"/>
  <c r="V61" i="108"/>
  <c r="U61" i="108"/>
  <c r="T61" i="108"/>
  <c r="S61" i="108"/>
  <c r="R61" i="108"/>
  <c r="Q61" i="108"/>
  <c r="P61" i="108"/>
  <c r="O61" i="108"/>
  <c r="N61" i="108"/>
  <c r="A61" i="108"/>
  <c r="V60" i="108"/>
  <c r="U60" i="108"/>
  <c r="T60" i="108"/>
  <c r="S60" i="108"/>
  <c r="R60" i="108"/>
  <c r="Q60" i="108"/>
  <c r="P60" i="108"/>
  <c r="O60" i="108"/>
  <c r="N60" i="108"/>
  <c r="A60" i="108"/>
  <c r="V59" i="108"/>
  <c r="U59" i="108"/>
  <c r="T59" i="108"/>
  <c r="S59" i="108"/>
  <c r="R59" i="108"/>
  <c r="Q59" i="108"/>
  <c r="P59" i="108"/>
  <c r="O59" i="108"/>
  <c r="N59" i="108"/>
  <c r="A59" i="108"/>
  <c r="V58" i="108"/>
  <c r="U58" i="108"/>
  <c r="T58" i="108"/>
  <c r="S58" i="108"/>
  <c r="R58" i="108"/>
  <c r="Q58" i="108"/>
  <c r="P58" i="108"/>
  <c r="O58" i="108"/>
  <c r="N58" i="108"/>
  <c r="C58" i="108"/>
  <c r="A58" i="108"/>
  <c r="V57" i="108"/>
  <c r="U57" i="108"/>
  <c r="T57" i="108"/>
  <c r="S57" i="108"/>
  <c r="R57" i="108"/>
  <c r="Q57" i="108"/>
  <c r="P57" i="108"/>
  <c r="O57" i="108"/>
  <c r="N57" i="108"/>
  <c r="C57" i="108"/>
  <c r="A57" i="108"/>
  <c r="V56" i="108"/>
  <c r="U56" i="108"/>
  <c r="T56" i="108"/>
  <c r="S56" i="108"/>
  <c r="R56" i="108"/>
  <c r="Q56" i="108"/>
  <c r="P56" i="108"/>
  <c r="O56" i="108"/>
  <c r="N56" i="108"/>
  <c r="A56" i="108"/>
  <c r="V55" i="108"/>
  <c r="U55" i="108"/>
  <c r="T55" i="108"/>
  <c r="S55" i="108"/>
  <c r="R55" i="108"/>
  <c r="Q55" i="108"/>
  <c r="P55" i="108"/>
  <c r="O55" i="108"/>
  <c r="N55" i="108"/>
  <c r="A55" i="108"/>
  <c r="V54" i="108"/>
  <c r="U54" i="108"/>
  <c r="T54" i="108"/>
  <c r="S54" i="108"/>
  <c r="R54" i="108"/>
  <c r="Q54" i="108"/>
  <c r="P54" i="108"/>
  <c r="O54" i="108"/>
  <c r="N54" i="108"/>
  <c r="A54" i="108"/>
  <c r="V53" i="108"/>
  <c r="U53" i="108"/>
  <c r="T53" i="108"/>
  <c r="S53" i="108"/>
  <c r="R53" i="108"/>
  <c r="Q53" i="108"/>
  <c r="P53" i="108"/>
  <c r="O53" i="108"/>
  <c r="N53" i="108"/>
  <c r="L53" i="108"/>
  <c r="K53" i="108"/>
  <c r="J53" i="108"/>
  <c r="I53" i="108"/>
  <c r="H53" i="108"/>
  <c r="G53" i="108"/>
  <c r="F53" i="108"/>
  <c r="E53" i="108"/>
  <c r="D53" i="108"/>
  <c r="C53" i="108"/>
  <c r="A53" i="108"/>
  <c r="V52" i="108"/>
  <c r="U52" i="108"/>
  <c r="T52" i="108"/>
  <c r="S52" i="108"/>
  <c r="R52" i="108"/>
  <c r="Q52" i="108"/>
  <c r="P52" i="108"/>
  <c r="O52" i="108"/>
  <c r="N52" i="108"/>
  <c r="L52" i="108"/>
  <c r="K52" i="108"/>
  <c r="J52" i="108"/>
  <c r="I52" i="108"/>
  <c r="H52" i="108"/>
  <c r="G52" i="108"/>
  <c r="F52" i="108"/>
  <c r="E52" i="108"/>
  <c r="D52" i="108"/>
  <c r="C52" i="108"/>
  <c r="A52" i="108"/>
  <c r="V51" i="108"/>
  <c r="U51" i="108"/>
  <c r="T51" i="108"/>
  <c r="S51" i="108"/>
  <c r="R51" i="108"/>
  <c r="Q51" i="108"/>
  <c r="P51" i="108"/>
  <c r="O51" i="108"/>
  <c r="N51" i="108"/>
  <c r="A51" i="108"/>
  <c r="V50" i="108"/>
  <c r="U50" i="108"/>
  <c r="T50" i="108"/>
  <c r="S50" i="108"/>
  <c r="R50" i="108"/>
  <c r="Q50" i="108"/>
  <c r="P50" i="108"/>
  <c r="O50" i="108"/>
  <c r="N50" i="108"/>
  <c r="A50" i="108"/>
  <c r="V49" i="108"/>
  <c r="U49" i="108"/>
  <c r="T49" i="108"/>
  <c r="S49" i="108"/>
  <c r="R49" i="108"/>
  <c r="Q49" i="108"/>
  <c r="P49" i="108"/>
  <c r="O49" i="108"/>
  <c r="N49" i="108"/>
  <c r="A49" i="108"/>
  <c r="V48" i="108"/>
  <c r="U48" i="108"/>
  <c r="T48" i="108"/>
  <c r="S48" i="108"/>
  <c r="R48" i="108"/>
  <c r="Q48" i="108"/>
  <c r="P48" i="108"/>
  <c r="O48" i="108"/>
  <c r="N48" i="108"/>
  <c r="A48" i="108"/>
  <c r="V47" i="108"/>
  <c r="U47" i="108"/>
  <c r="T47" i="108"/>
  <c r="S47" i="108"/>
  <c r="R47" i="108"/>
  <c r="Q47" i="108"/>
  <c r="P47" i="108"/>
  <c r="O47" i="108"/>
  <c r="N47" i="108"/>
  <c r="A47" i="108"/>
  <c r="V46" i="108"/>
  <c r="U46" i="108"/>
  <c r="T46" i="108"/>
  <c r="S46" i="108"/>
  <c r="R46" i="108"/>
  <c r="Q46" i="108"/>
  <c r="P46" i="108"/>
  <c r="O46" i="108"/>
  <c r="N46" i="108"/>
  <c r="A46" i="108"/>
  <c r="V45" i="108"/>
  <c r="U45" i="108"/>
  <c r="T45" i="108"/>
  <c r="S45" i="108"/>
  <c r="R45" i="108"/>
  <c r="Q45" i="108"/>
  <c r="P45" i="108"/>
  <c r="O45" i="108"/>
  <c r="N45" i="108"/>
  <c r="A45" i="108"/>
  <c r="V44" i="108"/>
  <c r="U44" i="108"/>
  <c r="T44" i="108"/>
  <c r="S44" i="108"/>
  <c r="R44" i="108"/>
  <c r="Q44" i="108"/>
  <c r="P44" i="108"/>
  <c r="O44" i="108"/>
  <c r="N44" i="108"/>
  <c r="A44" i="108"/>
  <c r="V43" i="108"/>
  <c r="U43" i="108"/>
  <c r="T43" i="108"/>
  <c r="S43" i="108"/>
  <c r="R43" i="108"/>
  <c r="Q43" i="108"/>
  <c r="P43" i="108"/>
  <c r="O43" i="108"/>
  <c r="N43" i="108"/>
  <c r="L43" i="108"/>
  <c r="K43" i="108"/>
  <c r="J43" i="108"/>
  <c r="I43" i="108"/>
  <c r="H43" i="108"/>
  <c r="G43" i="108"/>
  <c r="F43" i="108"/>
  <c r="E43" i="108"/>
  <c r="D43" i="108"/>
  <c r="C43" i="108"/>
  <c r="A43" i="108"/>
  <c r="V42" i="108"/>
  <c r="U42" i="108"/>
  <c r="T42" i="108"/>
  <c r="S42" i="108"/>
  <c r="R42" i="108"/>
  <c r="Q42" i="108"/>
  <c r="P42" i="108"/>
  <c r="O42" i="108"/>
  <c r="N42" i="108"/>
  <c r="L42" i="108"/>
  <c r="K42" i="108"/>
  <c r="J42" i="108"/>
  <c r="I42" i="108"/>
  <c r="H42" i="108"/>
  <c r="G42" i="108"/>
  <c r="F42" i="108"/>
  <c r="E42" i="108"/>
  <c r="D42" i="108"/>
  <c r="C42" i="108"/>
  <c r="A42" i="108"/>
  <c r="V41" i="108"/>
  <c r="U41" i="108"/>
  <c r="T41" i="108"/>
  <c r="S41" i="108"/>
  <c r="R41" i="108"/>
  <c r="Q41" i="108"/>
  <c r="P41" i="108"/>
  <c r="O41" i="108"/>
  <c r="N41" i="108"/>
  <c r="L41" i="108"/>
  <c r="K41" i="108"/>
  <c r="J41" i="108"/>
  <c r="I41" i="108"/>
  <c r="H41" i="108"/>
  <c r="G41" i="108"/>
  <c r="F41" i="108"/>
  <c r="E41" i="108"/>
  <c r="D41" i="108"/>
  <c r="C41" i="108"/>
  <c r="A41" i="108"/>
  <c r="V40" i="108"/>
  <c r="U40" i="108"/>
  <c r="T40" i="108"/>
  <c r="S40" i="108"/>
  <c r="R40" i="108"/>
  <c r="Q40" i="108"/>
  <c r="P40" i="108"/>
  <c r="O40" i="108"/>
  <c r="N40" i="108"/>
  <c r="A40" i="108"/>
  <c r="V39" i="108"/>
  <c r="U39" i="108"/>
  <c r="T39" i="108"/>
  <c r="S39" i="108"/>
  <c r="R39" i="108"/>
  <c r="Q39" i="108"/>
  <c r="P39" i="108"/>
  <c r="O39" i="108"/>
  <c r="N39" i="108"/>
  <c r="L39" i="108"/>
  <c r="K39" i="108"/>
  <c r="J39" i="108"/>
  <c r="I39" i="108"/>
  <c r="H39" i="108"/>
  <c r="G39" i="108"/>
  <c r="F39" i="108"/>
  <c r="E39" i="108"/>
  <c r="D39" i="108"/>
  <c r="C39" i="108"/>
  <c r="A39" i="108"/>
  <c r="V38" i="108"/>
  <c r="U38" i="108"/>
  <c r="T38" i="108"/>
  <c r="S38" i="108"/>
  <c r="R38" i="108"/>
  <c r="Q38" i="108"/>
  <c r="P38" i="108"/>
  <c r="O38" i="108"/>
  <c r="N38" i="108"/>
  <c r="A38" i="108"/>
  <c r="V37" i="108"/>
  <c r="U37" i="108"/>
  <c r="T37" i="108"/>
  <c r="S37" i="108"/>
  <c r="R37" i="108"/>
  <c r="Q37" i="108"/>
  <c r="P37" i="108"/>
  <c r="O37" i="108"/>
  <c r="N37" i="108"/>
  <c r="L37" i="108"/>
  <c r="K37" i="108"/>
  <c r="J37" i="108"/>
  <c r="I37" i="108"/>
  <c r="H37" i="108"/>
  <c r="G37" i="108"/>
  <c r="F37" i="108"/>
  <c r="E37" i="108"/>
  <c r="D37" i="108"/>
  <c r="C37" i="108"/>
  <c r="A37" i="108"/>
  <c r="V36" i="108"/>
  <c r="U36" i="108"/>
  <c r="T36" i="108"/>
  <c r="S36" i="108"/>
  <c r="R36" i="108"/>
  <c r="Q36" i="108"/>
  <c r="P36" i="108"/>
  <c r="O36" i="108"/>
  <c r="N36" i="108"/>
  <c r="C36" i="108"/>
  <c r="A36" i="108"/>
  <c r="V35" i="108"/>
  <c r="U35" i="108"/>
  <c r="T35" i="108"/>
  <c r="S35" i="108"/>
  <c r="R35" i="108"/>
  <c r="Q35" i="108"/>
  <c r="P35" i="108"/>
  <c r="O35" i="108"/>
  <c r="N35" i="108"/>
  <c r="A35" i="108"/>
  <c r="V34" i="108"/>
  <c r="U34" i="108"/>
  <c r="T34" i="108"/>
  <c r="S34" i="108"/>
  <c r="R34" i="108"/>
  <c r="Q34" i="108"/>
  <c r="P34" i="108"/>
  <c r="O34" i="108"/>
  <c r="N34" i="108"/>
  <c r="L34" i="108"/>
  <c r="K34" i="108"/>
  <c r="J34" i="108"/>
  <c r="I34" i="108"/>
  <c r="H34" i="108"/>
  <c r="G34" i="108"/>
  <c r="F34" i="108"/>
  <c r="E34" i="108"/>
  <c r="D34" i="108"/>
  <c r="C34" i="108"/>
  <c r="A34" i="108"/>
  <c r="V33" i="108"/>
  <c r="U33" i="108"/>
  <c r="T33" i="108"/>
  <c r="S33" i="108"/>
  <c r="R33" i="108"/>
  <c r="Q33" i="108"/>
  <c r="P33" i="108"/>
  <c r="O33" i="108"/>
  <c r="N33" i="108"/>
  <c r="L33" i="108"/>
  <c r="K33" i="108"/>
  <c r="J33" i="108"/>
  <c r="I33" i="108"/>
  <c r="H33" i="108"/>
  <c r="G33" i="108"/>
  <c r="F33" i="108"/>
  <c r="E33" i="108"/>
  <c r="D33" i="108"/>
  <c r="T32" i="108"/>
  <c r="S32" i="108"/>
  <c r="V31" i="108"/>
  <c r="U31" i="108"/>
  <c r="T31" i="108"/>
  <c r="S31" i="108"/>
  <c r="R31" i="108"/>
  <c r="Q31" i="108"/>
  <c r="P31" i="108"/>
  <c r="O31" i="108"/>
  <c r="N31" i="108"/>
  <c r="M31" i="108"/>
  <c r="J20" i="108"/>
  <c r="I20" i="108"/>
  <c r="H20" i="108"/>
  <c r="G20" i="108"/>
  <c r="J19" i="108"/>
  <c r="I19" i="108"/>
  <c r="H19" i="108"/>
  <c r="G19" i="108"/>
  <c r="J18" i="108"/>
  <c r="I18" i="108"/>
  <c r="H18" i="108"/>
  <c r="G18" i="108"/>
  <c r="J17" i="108"/>
  <c r="I17" i="108"/>
  <c r="H17" i="108"/>
  <c r="G17" i="108"/>
  <c r="J16" i="108"/>
  <c r="I16" i="108"/>
  <c r="H16" i="108"/>
  <c r="G16" i="108"/>
  <c r="J15" i="108"/>
  <c r="I15" i="108"/>
  <c r="H15" i="108"/>
  <c r="G15" i="108"/>
  <c r="J14" i="108"/>
  <c r="I14" i="108"/>
  <c r="H14" i="108"/>
  <c r="G14" i="108"/>
  <c r="J13" i="108"/>
  <c r="I13" i="108"/>
  <c r="H13" i="108"/>
  <c r="G13" i="108"/>
  <c r="J12" i="108"/>
  <c r="I12" i="108"/>
  <c r="H12" i="108"/>
  <c r="G12" i="108"/>
  <c r="J11" i="108"/>
  <c r="H11" i="108"/>
  <c r="G11" i="108"/>
  <c r="E7" i="108"/>
  <c r="B7" i="108"/>
  <c r="I11" i="108" s="1"/>
  <c r="C33" i="108" s="1"/>
  <c r="F160" i="77"/>
  <c r="E160" i="77"/>
  <c r="C160" i="77"/>
  <c r="B160" i="77"/>
  <c r="E125" i="77"/>
  <c r="D125" i="77"/>
  <c r="C125" i="77"/>
  <c r="F124" i="77"/>
  <c r="E124" i="77"/>
  <c r="D124" i="77"/>
  <c r="C124" i="77"/>
  <c r="F123" i="77"/>
  <c r="E123" i="77"/>
  <c r="D123" i="77"/>
  <c r="C123" i="77"/>
  <c r="V103" i="77"/>
  <c r="U103" i="77"/>
  <c r="T103" i="77"/>
  <c r="S103" i="77"/>
  <c r="R103" i="77"/>
  <c r="Q103" i="77"/>
  <c r="P103" i="77"/>
  <c r="O103" i="77"/>
  <c r="N103" i="77"/>
  <c r="A103" i="77"/>
  <c r="V102" i="77"/>
  <c r="U102" i="77"/>
  <c r="T102" i="77"/>
  <c r="S102" i="77"/>
  <c r="R102" i="77"/>
  <c r="Q102" i="77"/>
  <c r="P102" i="77"/>
  <c r="O102" i="77"/>
  <c r="N102" i="77"/>
  <c r="A102" i="77"/>
  <c r="V101" i="77"/>
  <c r="U101" i="77"/>
  <c r="T101" i="77"/>
  <c r="S101" i="77"/>
  <c r="R101" i="77"/>
  <c r="Q101" i="77"/>
  <c r="P101" i="77"/>
  <c r="O101" i="77"/>
  <c r="N101" i="77"/>
  <c r="A101" i="77"/>
  <c r="V100" i="77"/>
  <c r="U100" i="77"/>
  <c r="T100" i="77"/>
  <c r="S100" i="77"/>
  <c r="R100" i="77"/>
  <c r="Q100" i="77"/>
  <c r="P100" i="77"/>
  <c r="O100" i="77"/>
  <c r="N100" i="77"/>
  <c r="A100" i="77"/>
  <c r="V99" i="77"/>
  <c r="U99" i="77"/>
  <c r="T99" i="77"/>
  <c r="S99" i="77"/>
  <c r="R99" i="77"/>
  <c r="Q99" i="77"/>
  <c r="P99" i="77"/>
  <c r="O99" i="77"/>
  <c r="N99" i="77"/>
  <c r="A99" i="77"/>
  <c r="V98" i="77"/>
  <c r="U98" i="77"/>
  <c r="T98" i="77"/>
  <c r="S98" i="77"/>
  <c r="R98" i="77"/>
  <c r="Q98" i="77"/>
  <c r="P98" i="77"/>
  <c r="O98" i="77"/>
  <c r="N98" i="77"/>
  <c r="A98" i="77"/>
  <c r="V97" i="77"/>
  <c r="U97" i="77"/>
  <c r="T97" i="77"/>
  <c r="S97" i="77"/>
  <c r="R97" i="77"/>
  <c r="Q97" i="77"/>
  <c r="P97" i="77"/>
  <c r="O97" i="77"/>
  <c r="N97" i="77"/>
  <c r="A97" i="77"/>
  <c r="V96" i="77"/>
  <c r="U96" i="77"/>
  <c r="T96" i="77"/>
  <c r="S96" i="77"/>
  <c r="R96" i="77"/>
  <c r="Q96" i="77"/>
  <c r="P96" i="77"/>
  <c r="O96" i="77"/>
  <c r="N96" i="77"/>
  <c r="A96" i="77"/>
  <c r="V95" i="77"/>
  <c r="U95" i="77"/>
  <c r="T95" i="77"/>
  <c r="S95" i="77"/>
  <c r="R95" i="77"/>
  <c r="Q95" i="77"/>
  <c r="P95" i="77"/>
  <c r="O95" i="77"/>
  <c r="N95" i="77"/>
  <c r="A95" i="77"/>
  <c r="V94" i="77"/>
  <c r="U94" i="77"/>
  <c r="T94" i="77"/>
  <c r="S94" i="77"/>
  <c r="R94" i="77"/>
  <c r="Q94" i="77"/>
  <c r="P94" i="77"/>
  <c r="O94" i="77"/>
  <c r="N94" i="77"/>
  <c r="A94" i="77"/>
  <c r="V93" i="77"/>
  <c r="U93" i="77"/>
  <c r="T93" i="77"/>
  <c r="S93" i="77"/>
  <c r="R93" i="77"/>
  <c r="Q93" i="77"/>
  <c r="P93" i="77"/>
  <c r="O93" i="77"/>
  <c r="N93" i="77"/>
  <c r="A93" i="77"/>
  <c r="V92" i="77"/>
  <c r="U92" i="77"/>
  <c r="T92" i="77"/>
  <c r="S92" i="77"/>
  <c r="R92" i="77"/>
  <c r="Q92" i="77"/>
  <c r="P92" i="77"/>
  <c r="O92" i="77"/>
  <c r="N92" i="77"/>
  <c r="A92" i="77"/>
  <c r="V91" i="77"/>
  <c r="U91" i="77"/>
  <c r="T91" i="77"/>
  <c r="S91" i="77"/>
  <c r="R91" i="77"/>
  <c r="Q91" i="77"/>
  <c r="P91" i="77"/>
  <c r="O91" i="77"/>
  <c r="N91" i="77"/>
  <c r="A91" i="77"/>
  <c r="V90" i="77"/>
  <c r="U90" i="77"/>
  <c r="T90" i="77"/>
  <c r="S90" i="77"/>
  <c r="R90" i="77"/>
  <c r="Q90" i="77"/>
  <c r="P90" i="77"/>
  <c r="O90" i="77"/>
  <c r="N90" i="77"/>
  <c r="A90" i="77"/>
  <c r="V89" i="77"/>
  <c r="U89" i="77"/>
  <c r="T89" i="77"/>
  <c r="S89" i="77"/>
  <c r="R89" i="77"/>
  <c r="Q89" i="77"/>
  <c r="P89" i="77"/>
  <c r="O89" i="77"/>
  <c r="N89" i="77"/>
  <c r="A89" i="77"/>
  <c r="V88" i="77"/>
  <c r="U88" i="77"/>
  <c r="T88" i="77"/>
  <c r="S88" i="77"/>
  <c r="R88" i="77"/>
  <c r="Q88" i="77"/>
  <c r="P88" i="77"/>
  <c r="O88" i="77"/>
  <c r="N88" i="77"/>
  <c r="A88" i="77"/>
  <c r="V87" i="77"/>
  <c r="U87" i="77"/>
  <c r="T87" i="77"/>
  <c r="S87" i="77"/>
  <c r="R87" i="77"/>
  <c r="Q87" i="77"/>
  <c r="P87" i="77"/>
  <c r="O87" i="77"/>
  <c r="N87" i="77"/>
  <c r="A87" i="77"/>
  <c r="V86" i="77"/>
  <c r="U86" i="77"/>
  <c r="T86" i="77"/>
  <c r="S86" i="77"/>
  <c r="R86" i="77"/>
  <c r="Q86" i="77"/>
  <c r="P86" i="77"/>
  <c r="O86" i="77"/>
  <c r="N86" i="77"/>
  <c r="A86" i="77"/>
  <c r="V85" i="77"/>
  <c r="U85" i="77"/>
  <c r="T85" i="77"/>
  <c r="S85" i="77"/>
  <c r="R85" i="77"/>
  <c r="Q85" i="77"/>
  <c r="P85" i="77"/>
  <c r="O85" i="77"/>
  <c r="N85" i="77"/>
  <c r="A85" i="77"/>
  <c r="V84" i="77"/>
  <c r="U84" i="77"/>
  <c r="T84" i="77"/>
  <c r="S84" i="77"/>
  <c r="R84" i="77"/>
  <c r="Q84" i="77"/>
  <c r="P84" i="77"/>
  <c r="O84" i="77"/>
  <c r="N84" i="77"/>
  <c r="A84" i="77"/>
  <c r="V83" i="77"/>
  <c r="U83" i="77"/>
  <c r="T83" i="77"/>
  <c r="S83" i="77"/>
  <c r="R83" i="77"/>
  <c r="Q83" i="77"/>
  <c r="P83" i="77"/>
  <c r="O83" i="77"/>
  <c r="N83" i="77"/>
  <c r="A83" i="77"/>
  <c r="V82" i="77"/>
  <c r="U82" i="77"/>
  <c r="T82" i="77"/>
  <c r="S82" i="77"/>
  <c r="R82" i="77"/>
  <c r="Q82" i="77"/>
  <c r="P82" i="77"/>
  <c r="O82" i="77"/>
  <c r="N82" i="77"/>
  <c r="L82" i="77"/>
  <c r="K82" i="77"/>
  <c r="J82" i="77"/>
  <c r="I82" i="77"/>
  <c r="H82" i="77"/>
  <c r="G82" i="77"/>
  <c r="F82" i="77"/>
  <c r="A82" i="77"/>
  <c r="V81" i="77"/>
  <c r="U81" i="77"/>
  <c r="T81" i="77"/>
  <c r="S81" i="77"/>
  <c r="R81" i="77"/>
  <c r="Q81" i="77"/>
  <c r="P81" i="77"/>
  <c r="O81" i="77"/>
  <c r="N81" i="77"/>
  <c r="A81" i="77"/>
  <c r="V80" i="77"/>
  <c r="U80" i="77"/>
  <c r="T80" i="77"/>
  <c r="S80" i="77"/>
  <c r="R80" i="77"/>
  <c r="Q80" i="77"/>
  <c r="P80" i="77"/>
  <c r="O80" i="77"/>
  <c r="N80" i="77"/>
  <c r="A80" i="77"/>
  <c r="V79" i="77"/>
  <c r="U79" i="77"/>
  <c r="T79" i="77"/>
  <c r="S79" i="77"/>
  <c r="R79" i="77"/>
  <c r="Q79" i="77"/>
  <c r="P79" i="77"/>
  <c r="O79" i="77"/>
  <c r="N79" i="77"/>
  <c r="A79" i="77"/>
  <c r="V78" i="77"/>
  <c r="U78" i="77"/>
  <c r="T78" i="77"/>
  <c r="S78" i="77"/>
  <c r="R78" i="77"/>
  <c r="Q78" i="77"/>
  <c r="P78" i="77"/>
  <c r="O78" i="77"/>
  <c r="N78" i="77"/>
  <c r="A78" i="77"/>
  <c r="V77" i="77"/>
  <c r="U77" i="77"/>
  <c r="T77" i="77"/>
  <c r="S77" i="77"/>
  <c r="R77" i="77"/>
  <c r="Q77" i="77"/>
  <c r="P77" i="77"/>
  <c r="O77" i="77"/>
  <c r="N77" i="77"/>
  <c r="A77" i="77"/>
  <c r="V76" i="77"/>
  <c r="U76" i="77"/>
  <c r="T76" i="77"/>
  <c r="S76" i="77"/>
  <c r="R76" i="77"/>
  <c r="Q76" i="77"/>
  <c r="P76" i="77"/>
  <c r="O76" i="77"/>
  <c r="N76" i="77"/>
  <c r="A76" i="77"/>
  <c r="V75" i="77"/>
  <c r="U75" i="77"/>
  <c r="T75" i="77"/>
  <c r="S75" i="77"/>
  <c r="R75" i="77"/>
  <c r="Q75" i="77"/>
  <c r="P75" i="77"/>
  <c r="O75" i="77"/>
  <c r="N75" i="77"/>
  <c r="A75" i="77"/>
  <c r="V74" i="77"/>
  <c r="U74" i="77"/>
  <c r="T74" i="77"/>
  <c r="S74" i="77"/>
  <c r="R74" i="77"/>
  <c r="Q74" i="77"/>
  <c r="P74" i="77"/>
  <c r="O74" i="77"/>
  <c r="N74" i="77"/>
  <c r="A74" i="77"/>
  <c r="V73" i="77"/>
  <c r="U73" i="77"/>
  <c r="T73" i="77"/>
  <c r="S73" i="77"/>
  <c r="R73" i="77"/>
  <c r="Q73" i="77"/>
  <c r="P73" i="77"/>
  <c r="O73" i="77"/>
  <c r="N73" i="77"/>
  <c r="A73" i="77"/>
  <c r="V72" i="77"/>
  <c r="U72" i="77"/>
  <c r="T72" i="77"/>
  <c r="S72" i="77"/>
  <c r="R72" i="77"/>
  <c r="Q72" i="77"/>
  <c r="P72" i="77"/>
  <c r="O72" i="77"/>
  <c r="N72" i="77"/>
  <c r="A72" i="77"/>
  <c r="V71" i="77"/>
  <c r="U71" i="77"/>
  <c r="T71" i="77"/>
  <c r="S71" i="77"/>
  <c r="R71" i="77"/>
  <c r="Q71" i="77"/>
  <c r="P71" i="77"/>
  <c r="O71" i="77"/>
  <c r="N71" i="77"/>
  <c r="L71" i="77"/>
  <c r="K71" i="77"/>
  <c r="J71" i="77"/>
  <c r="I71" i="77"/>
  <c r="H71" i="77"/>
  <c r="G71" i="77"/>
  <c r="F71" i="77"/>
  <c r="E71" i="77"/>
  <c r="D71" i="77"/>
  <c r="C71" i="77"/>
  <c r="A71" i="77"/>
  <c r="V70" i="77"/>
  <c r="U70" i="77"/>
  <c r="T70" i="77"/>
  <c r="S70" i="77"/>
  <c r="R70" i="77"/>
  <c r="Q70" i="77"/>
  <c r="P70" i="77"/>
  <c r="O70" i="77"/>
  <c r="N70" i="77"/>
  <c r="A70" i="77"/>
  <c r="V69" i="77"/>
  <c r="U69" i="77"/>
  <c r="T69" i="77"/>
  <c r="S69" i="77"/>
  <c r="R69" i="77"/>
  <c r="Q69" i="77"/>
  <c r="P69" i="77"/>
  <c r="O69" i="77"/>
  <c r="N69" i="77"/>
  <c r="L69" i="77"/>
  <c r="K69" i="77"/>
  <c r="J69" i="77"/>
  <c r="I69" i="77"/>
  <c r="H69" i="77"/>
  <c r="G69" i="77"/>
  <c r="F69" i="77"/>
  <c r="E69" i="77"/>
  <c r="D69" i="77"/>
  <c r="C69" i="77"/>
  <c r="A69" i="77"/>
  <c r="V68" i="77"/>
  <c r="U68" i="77"/>
  <c r="T68" i="77"/>
  <c r="S68" i="77"/>
  <c r="R68" i="77"/>
  <c r="Q68" i="77"/>
  <c r="P68" i="77"/>
  <c r="O68" i="77"/>
  <c r="N68" i="77"/>
  <c r="C68" i="77"/>
  <c r="A68" i="77"/>
  <c r="V67" i="77"/>
  <c r="U67" i="77"/>
  <c r="T67" i="77"/>
  <c r="S67" i="77"/>
  <c r="R67" i="77"/>
  <c r="Q67" i="77"/>
  <c r="P67" i="77"/>
  <c r="O67" i="77"/>
  <c r="N67" i="77"/>
  <c r="A67" i="77"/>
  <c r="V66" i="77"/>
  <c r="U66" i="77"/>
  <c r="T66" i="77"/>
  <c r="S66" i="77"/>
  <c r="R66" i="77"/>
  <c r="Q66" i="77"/>
  <c r="P66" i="77"/>
  <c r="O66" i="77"/>
  <c r="N66" i="77"/>
  <c r="A66" i="77"/>
  <c r="V65" i="77"/>
  <c r="U65" i="77"/>
  <c r="T65" i="77"/>
  <c r="S65" i="77"/>
  <c r="R65" i="77"/>
  <c r="Q65" i="77"/>
  <c r="P65" i="77"/>
  <c r="O65" i="77"/>
  <c r="N65" i="77"/>
  <c r="C65" i="77"/>
  <c r="A65" i="77"/>
  <c r="V64" i="77"/>
  <c r="U64" i="77"/>
  <c r="T64" i="77"/>
  <c r="S64" i="77"/>
  <c r="R64" i="77"/>
  <c r="Q64" i="77"/>
  <c r="P64" i="77"/>
  <c r="O64" i="77"/>
  <c r="N64" i="77"/>
  <c r="C64" i="77"/>
  <c r="A64" i="77"/>
  <c r="V63" i="77"/>
  <c r="U63" i="77"/>
  <c r="T63" i="77"/>
  <c r="S63" i="77"/>
  <c r="R63" i="77"/>
  <c r="Q63" i="77"/>
  <c r="P63" i="77"/>
  <c r="O63" i="77"/>
  <c r="N63" i="77"/>
  <c r="A63" i="77"/>
  <c r="V62" i="77"/>
  <c r="U62" i="77"/>
  <c r="T62" i="77"/>
  <c r="S62" i="77"/>
  <c r="R62" i="77"/>
  <c r="Q62" i="77"/>
  <c r="P62" i="77"/>
  <c r="O62" i="77"/>
  <c r="N62" i="77"/>
  <c r="A62" i="77"/>
  <c r="V61" i="77"/>
  <c r="U61" i="77"/>
  <c r="T61" i="77"/>
  <c r="S61" i="77"/>
  <c r="R61" i="77"/>
  <c r="Q61" i="77"/>
  <c r="P61" i="77"/>
  <c r="O61" i="77"/>
  <c r="N61" i="77"/>
  <c r="A61" i="77"/>
  <c r="V60" i="77"/>
  <c r="U60" i="77"/>
  <c r="T60" i="77"/>
  <c r="S60" i="77"/>
  <c r="R60" i="77"/>
  <c r="Q60" i="77"/>
  <c r="P60" i="77"/>
  <c r="O60" i="77"/>
  <c r="N60" i="77"/>
  <c r="A60" i="77"/>
  <c r="V59" i="77"/>
  <c r="U59" i="77"/>
  <c r="T59" i="77"/>
  <c r="S59" i="77"/>
  <c r="R59" i="77"/>
  <c r="Q59" i="77"/>
  <c r="P59" i="77"/>
  <c r="O59" i="77"/>
  <c r="N59" i="77"/>
  <c r="A59" i="77"/>
  <c r="V58" i="77"/>
  <c r="U58" i="77"/>
  <c r="T58" i="77"/>
  <c r="S58" i="77"/>
  <c r="R58" i="77"/>
  <c r="Q58" i="77"/>
  <c r="P58" i="77"/>
  <c r="O58" i="77"/>
  <c r="N58" i="77"/>
  <c r="C58" i="77"/>
  <c r="A58" i="77"/>
  <c r="V57" i="77"/>
  <c r="U57" i="77"/>
  <c r="T57" i="77"/>
  <c r="S57" i="77"/>
  <c r="R57" i="77"/>
  <c r="Q57" i="77"/>
  <c r="P57" i="77"/>
  <c r="O57" i="77"/>
  <c r="N57" i="77"/>
  <c r="C57" i="77"/>
  <c r="A57" i="77"/>
  <c r="V56" i="77"/>
  <c r="U56" i="77"/>
  <c r="T56" i="77"/>
  <c r="S56" i="77"/>
  <c r="R56" i="77"/>
  <c r="Q56" i="77"/>
  <c r="P56" i="77"/>
  <c r="O56" i="77"/>
  <c r="N56" i="77"/>
  <c r="A56" i="77"/>
  <c r="V55" i="77"/>
  <c r="U55" i="77"/>
  <c r="T55" i="77"/>
  <c r="S55" i="77"/>
  <c r="R55" i="77"/>
  <c r="Q55" i="77"/>
  <c r="P55" i="77"/>
  <c r="O55" i="77"/>
  <c r="N55" i="77"/>
  <c r="A55" i="77"/>
  <c r="V54" i="77"/>
  <c r="U54" i="77"/>
  <c r="T54" i="77"/>
  <c r="S54" i="77"/>
  <c r="R54" i="77"/>
  <c r="Q54" i="77"/>
  <c r="P54" i="77"/>
  <c r="O54" i="77"/>
  <c r="N54" i="77"/>
  <c r="C54" i="77"/>
  <c r="A54" i="77"/>
  <c r="V53" i="77"/>
  <c r="U53" i="77"/>
  <c r="T53" i="77"/>
  <c r="S53" i="77"/>
  <c r="R53" i="77"/>
  <c r="Q53" i="77"/>
  <c r="P53" i="77"/>
  <c r="O53" i="77"/>
  <c r="N53" i="77"/>
  <c r="L53" i="77"/>
  <c r="K53" i="77"/>
  <c r="J53" i="77"/>
  <c r="I53" i="77"/>
  <c r="H53" i="77"/>
  <c r="G53" i="77"/>
  <c r="F53" i="77"/>
  <c r="E53" i="77"/>
  <c r="D53" i="77"/>
  <c r="C53" i="77"/>
  <c r="A53" i="77"/>
  <c r="V52" i="77"/>
  <c r="U52" i="77"/>
  <c r="T52" i="77"/>
  <c r="S52" i="77"/>
  <c r="R52" i="77"/>
  <c r="Q52" i="77"/>
  <c r="P52" i="77"/>
  <c r="O52" i="77"/>
  <c r="N52" i="77"/>
  <c r="L52" i="77"/>
  <c r="K52" i="77"/>
  <c r="J52" i="77"/>
  <c r="I52" i="77"/>
  <c r="H52" i="77"/>
  <c r="G52" i="77"/>
  <c r="F52" i="77"/>
  <c r="E52" i="77"/>
  <c r="D52" i="77"/>
  <c r="C52" i="77"/>
  <c r="A52" i="77"/>
  <c r="V51" i="77"/>
  <c r="U51" i="77"/>
  <c r="T51" i="77"/>
  <c r="S51" i="77"/>
  <c r="R51" i="77"/>
  <c r="Q51" i="77"/>
  <c r="P51" i="77"/>
  <c r="O51" i="77"/>
  <c r="N51" i="77"/>
  <c r="A51" i="77"/>
  <c r="V50" i="77"/>
  <c r="U50" i="77"/>
  <c r="T50" i="77"/>
  <c r="S50" i="77"/>
  <c r="R50" i="77"/>
  <c r="Q50" i="77"/>
  <c r="P50" i="77"/>
  <c r="O50" i="77"/>
  <c r="N50" i="77"/>
  <c r="A50" i="77"/>
  <c r="V49" i="77"/>
  <c r="U49" i="77"/>
  <c r="T49" i="77"/>
  <c r="S49" i="77"/>
  <c r="R49" i="77"/>
  <c r="Q49" i="77"/>
  <c r="P49" i="77"/>
  <c r="O49" i="77"/>
  <c r="N49" i="77"/>
  <c r="A49" i="77"/>
  <c r="V48" i="77"/>
  <c r="U48" i="77"/>
  <c r="T48" i="77"/>
  <c r="S48" i="77"/>
  <c r="R48" i="77"/>
  <c r="Q48" i="77"/>
  <c r="P48" i="77"/>
  <c r="O48" i="77"/>
  <c r="N48" i="77"/>
  <c r="A48" i="77"/>
  <c r="V47" i="77"/>
  <c r="U47" i="77"/>
  <c r="T47" i="77"/>
  <c r="S47" i="77"/>
  <c r="R47" i="77"/>
  <c r="Q47" i="77"/>
  <c r="P47" i="77"/>
  <c r="O47" i="77"/>
  <c r="N47" i="77"/>
  <c r="A47" i="77"/>
  <c r="V46" i="77"/>
  <c r="U46" i="77"/>
  <c r="T46" i="77"/>
  <c r="S46" i="77"/>
  <c r="R46" i="77"/>
  <c r="Q46" i="77"/>
  <c r="P46" i="77"/>
  <c r="O46" i="77"/>
  <c r="N46" i="77"/>
  <c r="A46" i="77"/>
  <c r="V45" i="77"/>
  <c r="U45" i="77"/>
  <c r="T45" i="77"/>
  <c r="S45" i="77"/>
  <c r="R45" i="77"/>
  <c r="Q45" i="77"/>
  <c r="P45" i="77"/>
  <c r="O45" i="77"/>
  <c r="N45" i="77"/>
  <c r="A45" i="77"/>
  <c r="V44" i="77"/>
  <c r="U44" i="77"/>
  <c r="T44" i="77"/>
  <c r="S44" i="77"/>
  <c r="R44" i="77"/>
  <c r="Q44" i="77"/>
  <c r="P44" i="77"/>
  <c r="O44" i="77"/>
  <c r="N44" i="77"/>
  <c r="A44" i="77"/>
  <c r="V43" i="77"/>
  <c r="U43" i="77"/>
  <c r="T43" i="77"/>
  <c r="S43" i="77"/>
  <c r="R43" i="77"/>
  <c r="Q43" i="77"/>
  <c r="P43" i="77"/>
  <c r="O43" i="77"/>
  <c r="N43" i="77"/>
  <c r="L43" i="77"/>
  <c r="K43" i="77"/>
  <c r="J43" i="77"/>
  <c r="I43" i="77"/>
  <c r="H43" i="77"/>
  <c r="G43" i="77"/>
  <c r="F43" i="77"/>
  <c r="E43" i="77"/>
  <c r="D43" i="77"/>
  <c r="C43" i="77"/>
  <c r="A43" i="77"/>
  <c r="V42" i="77"/>
  <c r="U42" i="77"/>
  <c r="T42" i="77"/>
  <c r="S42" i="77"/>
  <c r="R42" i="77"/>
  <c r="Q42" i="77"/>
  <c r="P42" i="77"/>
  <c r="O42" i="77"/>
  <c r="N42" i="77"/>
  <c r="L42" i="77"/>
  <c r="K42" i="77"/>
  <c r="J42" i="77"/>
  <c r="I42" i="77"/>
  <c r="H42" i="77"/>
  <c r="G42" i="77"/>
  <c r="F42" i="77"/>
  <c r="E42" i="77"/>
  <c r="D42" i="77"/>
  <c r="C42" i="77"/>
  <c r="A42" i="77"/>
  <c r="V41" i="77"/>
  <c r="U41" i="77"/>
  <c r="T41" i="77"/>
  <c r="S41" i="77"/>
  <c r="R41" i="77"/>
  <c r="Q41" i="77"/>
  <c r="P41" i="77"/>
  <c r="O41" i="77"/>
  <c r="N41" i="77"/>
  <c r="L41" i="77"/>
  <c r="K41" i="77"/>
  <c r="J41" i="77"/>
  <c r="I41" i="77"/>
  <c r="H41" i="77"/>
  <c r="G41" i="77"/>
  <c r="F41" i="77"/>
  <c r="E41" i="77"/>
  <c r="D41" i="77"/>
  <c r="C41" i="77"/>
  <c r="A41" i="77"/>
  <c r="V40" i="77"/>
  <c r="U40" i="77"/>
  <c r="T40" i="77"/>
  <c r="S40" i="77"/>
  <c r="R40" i="77"/>
  <c r="Q40" i="77"/>
  <c r="P40" i="77"/>
  <c r="O40" i="77"/>
  <c r="N40" i="77"/>
  <c r="A40" i="77"/>
  <c r="V39" i="77"/>
  <c r="U39" i="77"/>
  <c r="T39" i="77"/>
  <c r="S39" i="77"/>
  <c r="R39" i="77"/>
  <c r="Q39" i="77"/>
  <c r="P39" i="77"/>
  <c r="O39" i="77"/>
  <c r="N39" i="77"/>
  <c r="L39" i="77"/>
  <c r="K39" i="77"/>
  <c r="J39" i="77"/>
  <c r="I39" i="77"/>
  <c r="H39" i="77"/>
  <c r="G39" i="77"/>
  <c r="F39" i="77"/>
  <c r="E39" i="77"/>
  <c r="D39" i="77"/>
  <c r="C39" i="77"/>
  <c r="A39" i="77"/>
  <c r="V38" i="77"/>
  <c r="U38" i="77"/>
  <c r="T38" i="77"/>
  <c r="S38" i="77"/>
  <c r="R38" i="77"/>
  <c r="Q38" i="77"/>
  <c r="P38" i="77"/>
  <c r="O38" i="77"/>
  <c r="N38" i="77"/>
  <c r="A38" i="77"/>
  <c r="V37" i="77"/>
  <c r="U37" i="77"/>
  <c r="T37" i="77"/>
  <c r="S37" i="77"/>
  <c r="R37" i="77"/>
  <c r="Q37" i="77"/>
  <c r="P37" i="77"/>
  <c r="O37" i="77"/>
  <c r="N37" i="77"/>
  <c r="L37" i="77"/>
  <c r="K37" i="77"/>
  <c r="J37" i="77"/>
  <c r="I37" i="77"/>
  <c r="H37" i="77"/>
  <c r="G37" i="77"/>
  <c r="F37" i="77"/>
  <c r="E37" i="77"/>
  <c r="D37" i="77"/>
  <c r="C37" i="77"/>
  <c r="A37" i="77"/>
  <c r="V36" i="77"/>
  <c r="U36" i="77"/>
  <c r="T36" i="77"/>
  <c r="S36" i="77"/>
  <c r="R36" i="77"/>
  <c r="Q36" i="77"/>
  <c r="P36" i="77"/>
  <c r="O36" i="77"/>
  <c r="N36" i="77"/>
  <c r="C36" i="77"/>
  <c r="A36" i="77"/>
  <c r="V35" i="77"/>
  <c r="U35" i="77"/>
  <c r="T35" i="77"/>
  <c r="S35" i="77"/>
  <c r="R35" i="77"/>
  <c r="Q35" i="77"/>
  <c r="P35" i="77"/>
  <c r="O35" i="77"/>
  <c r="N35" i="77"/>
  <c r="A35" i="77"/>
  <c r="V34" i="77"/>
  <c r="U34" i="77"/>
  <c r="T34" i="77"/>
  <c r="S34" i="77"/>
  <c r="R34" i="77"/>
  <c r="Q34" i="77"/>
  <c r="P34" i="77"/>
  <c r="O34" i="77"/>
  <c r="N34" i="77"/>
  <c r="L34" i="77"/>
  <c r="K34" i="77"/>
  <c r="J34" i="77"/>
  <c r="I34" i="77"/>
  <c r="H34" i="77"/>
  <c r="G34" i="77"/>
  <c r="F34" i="77"/>
  <c r="E34" i="77"/>
  <c r="D34" i="77"/>
  <c r="C34" i="77"/>
  <c r="A34" i="77"/>
  <c r="V33" i="77"/>
  <c r="U33" i="77"/>
  <c r="T33" i="77"/>
  <c r="S33" i="77"/>
  <c r="R33" i="77"/>
  <c r="Q33" i="77"/>
  <c r="P33" i="77"/>
  <c r="O33" i="77"/>
  <c r="N33" i="77"/>
  <c r="L33" i="77"/>
  <c r="K33" i="77"/>
  <c r="J33" i="77"/>
  <c r="I33" i="77"/>
  <c r="H33" i="77"/>
  <c r="G33" i="77"/>
  <c r="F33" i="77"/>
  <c r="E33" i="77"/>
  <c r="D33" i="77"/>
  <c r="T32" i="77"/>
  <c r="S32" i="77"/>
  <c r="V31" i="77"/>
  <c r="U31" i="77"/>
  <c r="T31" i="77"/>
  <c r="S31" i="77"/>
  <c r="R31" i="77"/>
  <c r="Q31" i="77"/>
  <c r="P31" i="77"/>
  <c r="O31" i="77"/>
  <c r="N31" i="77"/>
  <c r="M31" i="77"/>
  <c r="J20" i="77"/>
  <c r="I20" i="77"/>
  <c r="H20" i="77"/>
  <c r="G20" i="77"/>
  <c r="J19" i="77"/>
  <c r="I19" i="77"/>
  <c r="H19" i="77"/>
  <c r="G19" i="77"/>
  <c r="J18" i="77"/>
  <c r="I18" i="77"/>
  <c r="H18" i="77"/>
  <c r="G18" i="77"/>
  <c r="J17" i="77"/>
  <c r="I17" i="77"/>
  <c r="H17" i="77"/>
  <c r="G17" i="77"/>
  <c r="J16" i="77"/>
  <c r="I16" i="77"/>
  <c r="H16" i="77"/>
  <c r="G16" i="77"/>
  <c r="J15" i="77"/>
  <c r="I15" i="77"/>
  <c r="H15" i="77"/>
  <c r="G15" i="77"/>
  <c r="J14" i="77"/>
  <c r="I14" i="77"/>
  <c r="H14" i="77"/>
  <c r="G14" i="77"/>
  <c r="J13" i="77"/>
  <c r="I13" i="77"/>
  <c r="H13" i="77"/>
  <c r="G13" i="77"/>
  <c r="J12" i="77"/>
  <c r="I12" i="77"/>
  <c r="H12" i="77"/>
  <c r="G12" i="77"/>
  <c r="J11" i="77"/>
  <c r="H11" i="77"/>
  <c r="G11" i="77"/>
  <c r="B7" i="77"/>
  <c r="I11" i="77" s="1"/>
  <c r="C33" i="77" s="1"/>
  <c r="F160" i="107"/>
  <c r="E160" i="107"/>
  <c r="C160" i="107"/>
  <c r="B160" i="107"/>
  <c r="V103" i="107"/>
  <c r="U103" i="107"/>
  <c r="T103" i="107"/>
  <c r="S103" i="107"/>
  <c r="R103" i="107"/>
  <c r="Q103" i="107"/>
  <c r="P103" i="107"/>
  <c r="O103" i="107"/>
  <c r="N103" i="107"/>
  <c r="A103" i="107"/>
  <c r="V102" i="107"/>
  <c r="U102" i="107"/>
  <c r="T102" i="107"/>
  <c r="S102" i="107"/>
  <c r="R102" i="107"/>
  <c r="Q102" i="107"/>
  <c r="P102" i="107"/>
  <c r="O102" i="107"/>
  <c r="N102" i="107"/>
  <c r="A102" i="107"/>
  <c r="V101" i="107"/>
  <c r="U101" i="107"/>
  <c r="T101" i="107"/>
  <c r="S101" i="107"/>
  <c r="R101" i="107"/>
  <c r="Q101" i="107"/>
  <c r="P101" i="107"/>
  <c r="O101" i="107"/>
  <c r="N101" i="107"/>
  <c r="A101" i="107"/>
  <c r="V100" i="107"/>
  <c r="U100" i="107"/>
  <c r="T100" i="107"/>
  <c r="S100" i="107"/>
  <c r="R100" i="107"/>
  <c r="Q100" i="107"/>
  <c r="P100" i="107"/>
  <c r="O100" i="107"/>
  <c r="N100" i="107"/>
  <c r="A100" i="107"/>
  <c r="V99" i="107"/>
  <c r="U99" i="107"/>
  <c r="T99" i="107"/>
  <c r="S99" i="107"/>
  <c r="R99" i="107"/>
  <c r="Q99" i="107"/>
  <c r="P99" i="107"/>
  <c r="O99" i="107"/>
  <c r="N99" i="107"/>
  <c r="A99" i="107"/>
  <c r="V98" i="107"/>
  <c r="U98" i="107"/>
  <c r="T98" i="107"/>
  <c r="S98" i="107"/>
  <c r="R98" i="107"/>
  <c r="Q98" i="107"/>
  <c r="P98" i="107"/>
  <c r="O98" i="107"/>
  <c r="N98" i="107"/>
  <c r="A98" i="107"/>
  <c r="V97" i="107"/>
  <c r="U97" i="107"/>
  <c r="T97" i="107"/>
  <c r="S97" i="107"/>
  <c r="R97" i="107"/>
  <c r="Q97" i="107"/>
  <c r="P97" i="107"/>
  <c r="O97" i="107"/>
  <c r="N97" i="107"/>
  <c r="A97" i="107"/>
  <c r="V96" i="107"/>
  <c r="U96" i="107"/>
  <c r="T96" i="107"/>
  <c r="S96" i="107"/>
  <c r="R96" i="107"/>
  <c r="Q96" i="107"/>
  <c r="P96" i="107"/>
  <c r="O96" i="107"/>
  <c r="N96" i="107"/>
  <c r="A96" i="107"/>
  <c r="V95" i="107"/>
  <c r="U95" i="107"/>
  <c r="T95" i="107"/>
  <c r="S95" i="107"/>
  <c r="R95" i="107"/>
  <c r="Q95" i="107"/>
  <c r="P95" i="107"/>
  <c r="O95" i="107"/>
  <c r="N95" i="107"/>
  <c r="A95" i="107"/>
  <c r="V94" i="107"/>
  <c r="U94" i="107"/>
  <c r="T94" i="107"/>
  <c r="S94" i="107"/>
  <c r="R94" i="107"/>
  <c r="Q94" i="107"/>
  <c r="P94" i="107"/>
  <c r="O94" i="107"/>
  <c r="N94" i="107"/>
  <c r="A94" i="107"/>
  <c r="V93" i="107"/>
  <c r="U93" i="107"/>
  <c r="T93" i="107"/>
  <c r="S93" i="107"/>
  <c r="R93" i="107"/>
  <c r="Q93" i="107"/>
  <c r="P93" i="107"/>
  <c r="O93" i="107"/>
  <c r="N93" i="107"/>
  <c r="A93" i="107"/>
  <c r="V92" i="107"/>
  <c r="U92" i="107"/>
  <c r="T92" i="107"/>
  <c r="S92" i="107"/>
  <c r="R92" i="107"/>
  <c r="Q92" i="107"/>
  <c r="P92" i="107"/>
  <c r="O92" i="107"/>
  <c r="N92" i="107"/>
  <c r="A92" i="107"/>
  <c r="V91" i="107"/>
  <c r="U91" i="107"/>
  <c r="T91" i="107"/>
  <c r="S91" i="107"/>
  <c r="R91" i="107"/>
  <c r="Q91" i="107"/>
  <c r="P91" i="107"/>
  <c r="O91" i="107"/>
  <c r="N91" i="107"/>
  <c r="A91" i="107"/>
  <c r="V90" i="107"/>
  <c r="U90" i="107"/>
  <c r="T90" i="107"/>
  <c r="S90" i="107"/>
  <c r="R90" i="107"/>
  <c r="Q90" i="107"/>
  <c r="P90" i="107"/>
  <c r="O90" i="107"/>
  <c r="N90" i="107"/>
  <c r="A90" i="107"/>
  <c r="V89" i="107"/>
  <c r="U89" i="107"/>
  <c r="T89" i="107"/>
  <c r="S89" i="107"/>
  <c r="R89" i="107"/>
  <c r="Q89" i="107"/>
  <c r="P89" i="107"/>
  <c r="O89" i="107"/>
  <c r="N89" i="107"/>
  <c r="A89" i="107"/>
  <c r="V88" i="107"/>
  <c r="U88" i="107"/>
  <c r="T88" i="107"/>
  <c r="S88" i="107"/>
  <c r="R88" i="107"/>
  <c r="Q88" i="107"/>
  <c r="P88" i="107"/>
  <c r="O88" i="107"/>
  <c r="N88" i="107"/>
  <c r="A88" i="107"/>
  <c r="V87" i="107"/>
  <c r="U87" i="107"/>
  <c r="T87" i="107"/>
  <c r="S87" i="107"/>
  <c r="R87" i="107"/>
  <c r="Q87" i="107"/>
  <c r="P87" i="107"/>
  <c r="O87" i="107"/>
  <c r="N87" i="107"/>
  <c r="A87" i="107"/>
  <c r="V86" i="107"/>
  <c r="U86" i="107"/>
  <c r="T86" i="107"/>
  <c r="S86" i="107"/>
  <c r="R86" i="107"/>
  <c r="Q86" i="107"/>
  <c r="P86" i="107"/>
  <c r="O86" i="107"/>
  <c r="N86" i="107"/>
  <c r="A86" i="107"/>
  <c r="V85" i="107"/>
  <c r="U85" i="107"/>
  <c r="T85" i="107"/>
  <c r="S85" i="107"/>
  <c r="R85" i="107"/>
  <c r="Q85" i="107"/>
  <c r="P85" i="107"/>
  <c r="O85" i="107"/>
  <c r="N85" i="107"/>
  <c r="A85" i="107"/>
  <c r="V84" i="107"/>
  <c r="U84" i="107"/>
  <c r="T84" i="107"/>
  <c r="S84" i="107"/>
  <c r="R84" i="107"/>
  <c r="Q84" i="107"/>
  <c r="P84" i="107"/>
  <c r="O84" i="107"/>
  <c r="N84" i="107"/>
  <c r="A84" i="107"/>
  <c r="V83" i="107"/>
  <c r="U83" i="107"/>
  <c r="T83" i="107"/>
  <c r="S83" i="107"/>
  <c r="R83" i="107"/>
  <c r="Q83" i="107"/>
  <c r="P83" i="107"/>
  <c r="O83" i="107"/>
  <c r="N83" i="107"/>
  <c r="A83" i="107"/>
  <c r="V82" i="107"/>
  <c r="U82" i="107"/>
  <c r="T82" i="107"/>
  <c r="S82" i="107"/>
  <c r="R82" i="107"/>
  <c r="Q82" i="107"/>
  <c r="P82" i="107"/>
  <c r="O82" i="107"/>
  <c r="N82" i="107"/>
  <c r="L82" i="107"/>
  <c r="K82" i="107"/>
  <c r="J82" i="107"/>
  <c r="I82" i="107"/>
  <c r="H82" i="107"/>
  <c r="G82" i="107"/>
  <c r="F82" i="107"/>
  <c r="A82" i="107"/>
  <c r="V81" i="107"/>
  <c r="U81" i="107"/>
  <c r="T81" i="107"/>
  <c r="S81" i="107"/>
  <c r="R81" i="107"/>
  <c r="Q81" i="107"/>
  <c r="P81" i="107"/>
  <c r="O81" i="107"/>
  <c r="N81" i="107"/>
  <c r="A81" i="107"/>
  <c r="V80" i="107"/>
  <c r="U80" i="107"/>
  <c r="T80" i="107"/>
  <c r="S80" i="107"/>
  <c r="R80" i="107"/>
  <c r="Q80" i="107"/>
  <c r="P80" i="107"/>
  <c r="O80" i="107"/>
  <c r="N80" i="107"/>
  <c r="A80" i="107"/>
  <c r="V79" i="107"/>
  <c r="U79" i="107"/>
  <c r="T79" i="107"/>
  <c r="S79" i="107"/>
  <c r="R79" i="107"/>
  <c r="Q79" i="107"/>
  <c r="P79" i="107"/>
  <c r="O79" i="107"/>
  <c r="N79" i="107"/>
  <c r="A79" i="107"/>
  <c r="V78" i="107"/>
  <c r="U78" i="107"/>
  <c r="T78" i="107"/>
  <c r="S78" i="107"/>
  <c r="R78" i="107"/>
  <c r="Q78" i="107"/>
  <c r="P78" i="107"/>
  <c r="O78" i="107"/>
  <c r="N78" i="107"/>
  <c r="A78" i="107"/>
  <c r="V77" i="107"/>
  <c r="U77" i="107"/>
  <c r="T77" i="107"/>
  <c r="S77" i="107"/>
  <c r="R77" i="107"/>
  <c r="Q77" i="107"/>
  <c r="P77" i="107"/>
  <c r="O77" i="107"/>
  <c r="N77" i="107"/>
  <c r="A77" i="107"/>
  <c r="V76" i="107"/>
  <c r="U76" i="107"/>
  <c r="T76" i="107"/>
  <c r="S76" i="107"/>
  <c r="R76" i="107"/>
  <c r="Q76" i="107"/>
  <c r="P76" i="107"/>
  <c r="O76" i="107"/>
  <c r="N76" i="107"/>
  <c r="A76" i="107"/>
  <c r="V75" i="107"/>
  <c r="U75" i="107"/>
  <c r="T75" i="107"/>
  <c r="S75" i="107"/>
  <c r="R75" i="107"/>
  <c r="Q75" i="107"/>
  <c r="P75" i="107"/>
  <c r="O75" i="107"/>
  <c r="N75" i="107"/>
  <c r="A75" i="107"/>
  <c r="V74" i="107"/>
  <c r="U74" i="107"/>
  <c r="T74" i="107"/>
  <c r="S74" i="107"/>
  <c r="R74" i="107"/>
  <c r="Q74" i="107"/>
  <c r="P74" i="107"/>
  <c r="O74" i="107"/>
  <c r="N74" i="107"/>
  <c r="A74" i="107"/>
  <c r="V73" i="107"/>
  <c r="U73" i="107"/>
  <c r="T73" i="107"/>
  <c r="S73" i="107"/>
  <c r="R73" i="107"/>
  <c r="Q73" i="107"/>
  <c r="P73" i="107"/>
  <c r="O73" i="107"/>
  <c r="N73" i="107"/>
  <c r="A73" i="107"/>
  <c r="V72" i="107"/>
  <c r="U72" i="107"/>
  <c r="T72" i="107"/>
  <c r="S72" i="107"/>
  <c r="R72" i="107"/>
  <c r="Q72" i="107"/>
  <c r="P72" i="107"/>
  <c r="O72" i="107"/>
  <c r="N72" i="107"/>
  <c r="A72" i="107"/>
  <c r="V71" i="107"/>
  <c r="U71" i="107"/>
  <c r="T71" i="107"/>
  <c r="S71" i="107"/>
  <c r="R71" i="107"/>
  <c r="Q71" i="107"/>
  <c r="P71" i="107"/>
  <c r="O71" i="107"/>
  <c r="N71" i="107"/>
  <c r="L71" i="107"/>
  <c r="K71" i="107"/>
  <c r="J71" i="107"/>
  <c r="I71" i="107"/>
  <c r="H71" i="107"/>
  <c r="G71" i="107"/>
  <c r="F71" i="107"/>
  <c r="E71" i="107"/>
  <c r="D71" i="107"/>
  <c r="C71" i="107"/>
  <c r="A71" i="107"/>
  <c r="V70" i="107"/>
  <c r="U70" i="107"/>
  <c r="T70" i="107"/>
  <c r="S70" i="107"/>
  <c r="R70" i="107"/>
  <c r="Q70" i="107"/>
  <c r="P70" i="107"/>
  <c r="O70" i="107"/>
  <c r="N70" i="107"/>
  <c r="A70" i="107"/>
  <c r="V69" i="107"/>
  <c r="U69" i="107"/>
  <c r="T69" i="107"/>
  <c r="S69" i="107"/>
  <c r="R69" i="107"/>
  <c r="Q69" i="107"/>
  <c r="P69" i="107"/>
  <c r="O69" i="107"/>
  <c r="N69" i="107"/>
  <c r="L69" i="107"/>
  <c r="K69" i="107"/>
  <c r="J69" i="107"/>
  <c r="I69" i="107"/>
  <c r="H69" i="107"/>
  <c r="G69" i="107"/>
  <c r="F69" i="107"/>
  <c r="E69" i="107"/>
  <c r="D69" i="107"/>
  <c r="C69" i="107"/>
  <c r="A69" i="107"/>
  <c r="V68" i="107"/>
  <c r="U68" i="107"/>
  <c r="T68" i="107"/>
  <c r="S68" i="107"/>
  <c r="R68" i="107"/>
  <c r="Q68" i="107"/>
  <c r="P68" i="107"/>
  <c r="O68" i="107"/>
  <c r="N68" i="107"/>
  <c r="C68" i="107"/>
  <c r="A68" i="107"/>
  <c r="V67" i="107"/>
  <c r="U67" i="107"/>
  <c r="T67" i="107"/>
  <c r="S67" i="107"/>
  <c r="R67" i="107"/>
  <c r="Q67" i="107"/>
  <c r="P67" i="107"/>
  <c r="O67" i="107"/>
  <c r="N67" i="107"/>
  <c r="A67" i="107"/>
  <c r="V66" i="107"/>
  <c r="U66" i="107"/>
  <c r="T66" i="107"/>
  <c r="S66" i="107"/>
  <c r="R66" i="107"/>
  <c r="Q66" i="107"/>
  <c r="P66" i="107"/>
  <c r="O66" i="107"/>
  <c r="N66" i="107"/>
  <c r="A66" i="107"/>
  <c r="V65" i="107"/>
  <c r="U65" i="107"/>
  <c r="T65" i="107"/>
  <c r="S65" i="107"/>
  <c r="R65" i="107"/>
  <c r="Q65" i="107"/>
  <c r="P65" i="107"/>
  <c r="O65" i="107"/>
  <c r="N65" i="107"/>
  <c r="C65" i="107"/>
  <c r="A65" i="107"/>
  <c r="V64" i="107"/>
  <c r="U64" i="107"/>
  <c r="T64" i="107"/>
  <c r="S64" i="107"/>
  <c r="R64" i="107"/>
  <c r="Q64" i="107"/>
  <c r="P64" i="107"/>
  <c r="O64" i="107"/>
  <c r="N64" i="107"/>
  <c r="C64" i="107"/>
  <c r="A64" i="107"/>
  <c r="V63" i="107"/>
  <c r="U63" i="107"/>
  <c r="T63" i="107"/>
  <c r="S63" i="107"/>
  <c r="R63" i="107"/>
  <c r="Q63" i="107"/>
  <c r="P63" i="107"/>
  <c r="O63" i="107"/>
  <c r="N63" i="107"/>
  <c r="A63" i="107"/>
  <c r="V62" i="107"/>
  <c r="U62" i="107"/>
  <c r="T62" i="107"/>
  <c r="S62" i="107"/>
  <c r="R62" i="107"/>
  <c r="Q62" i="107"/>
  <c r="P62" i="107"/>
  <c r="O62" i="107"/>
  <c r="N62" i="107"/>
  <c r="A62" i="107"/>
  <c r="V61" i="107"/>
  <c r="U61" i="107"/>
  <c r="T61" i="107"/>
  <c r="S61" i="107"/>
  <c r="R61" i="107"/>
  <c r="Q61" i="107"/>
  <c r="P61" i="107"/>
  <c r="O61" i="107"/>
  <c r="N61" i="107"/>
  <c r="A61" i="107"/>
  <c r="V60" i="107"/>
  <c r="U60" i="107"/>
  <c r="T60" i="107"/>
  <c r="S60" i="107"/>
  <c r="R60" i="107"/>
  <c r="Q60" i="107"/>
  <c r="P60" i="107"/>
  <c r="O60" i="107"/>
  <c r="N60" i="107"/>
  <c r="A60" i="107"/>
  <c r="V59" i="107"/>
  <c r="U59" i="107"/>
  <c r="T59" i="107"/>
  <c r="S59" i="107"/>
  <c r="R59" i="107"/>
  <c r="Q59" i="107"/>
  <c r="P59" i="107"/>
  <c r="O59" i="107"/>
  <c r="N59" i="107"/>
  <c r="A59" i="107"/>
  <c r="V58" i="107"/>
  <c r="U58" i="107"/>
  <c r="T58" i="107"/>
  <c r="S58" i="107"/>
  <c r="R58" i="107"/>
  <c r="Q58" i="107"/>
  <c r="P58" i="107"/>
  <c r="O58" i="107"/>
  <c r="N58" i="107"/>
  <c r="C58" i="107"/>
  <c r="A58" i="107"/>
  <c r="V57" i="107"/>
  <c r="U57" i="107"/>
  <c r="T57" i="107"/>
  <c r="S57" i="107"/>
  <c r="R57" i="107"/>
  <c r="Q57" i="107"/>
  <c r="P57" i="107"/>
  <c r="O57" i="107"/>
  <c r="N57" i="107"/>
  <c r="C57" i="107"/>
  <c r="A57" i="107"/>
  <c r="V56" i="107"/>
  <c r="U56" i="107"/>
  <c r="T56" i="107"/>
  <c r="S56" i="107"/>
  <c r="R56" i="107"/>
  <c r="Q56" i="107"/>
  <c r="P56" i="107"/>
  <c r="O56" i="107"/>
  <c r="N56" i="107"/>
  <c r="A56" i="107"/>
  <c r="V55" i="107"/>
  <c r="U55" i="107"/>
  <c r="T55" i="107"/>
  <c r="S55" i="107"/>
  <c r="R55" i="107"/>
  <c r="Q55" i="107"/>
  <c r="P55" i="107"/>
  <c r="O55" i="107"/>
  <c r="N55" i="107"/>
  <c r="A55" i="107"/>
  <c r="V54" i="107"/>
  <c r="U54" i="107"/>
  <c r="T54" i="107"/>
  <c r="S54" i="107"/>
  <c r="R54" i="107"/>
  <c r="Q54" i="107"/>
  <c r="P54" i="107"/>
  <c r="O54" i="107"/>
  <c r="N54" i="107"/>
  <c r="A54" i="107"/>
  <c r="V53" i="107"/>
  <c r="U53" i="107"/>
  <c r="T53" i="107"/>
  <c r="S53" i="107"/>
  <c r="R53" i="107"/>
  <c r="Q53" i="107"/>
  <c r="P53" i="107"/>
  <c r="O53" i="107"/>
  <c r="N53" i="107"/>
  <c r="L53" i="107"/>
  <c r="K53" i="107"/>
  <c r="J53" i="107"/>
  <c r="I53" i="107"/>
  <c r="H53" i="107"/>
  <c r="G53" i="107"/>
  <c r="F53" i="107"/>
  <c r="E53" i="107"/>
  <c r="D53" i="107"/>
  <c r="C53" i="107"/>
  <c r="A53" i="107"/>
  <c r="V52" i="107"/>
  <c r="U52" i="107"/>
  <c r="T52" i="107"/>
  <c r="S52" i="107"/>
  <c r="R52" i="107"/>
  <c r="Q52" i="107"/>
  <c r="P52" i="107"/>
  <c r="O52" i="107"/>
  <c r="N52" i="107"/>
  <c r="L52" i="107"/>
  <c r="K52" i="107"/>
  <c r="J52" i="107"/>
  <c r="I52" i="107"/>
  <c r="H52" i="107"/>
  <c r="G52" i="107"/>
  <c r="F52" i="107"/>
  <c r="E52" i="107"/>
  <c r="D52" i="107"/>
  <c r="C52" i="107"/>
  <c r="A52" i="107"/>
  <c r="V51" i="107"/>
  <c r="U51" i="107"/>
  <c r="T51" i="107"/>
  <c r="S51" i="107"/>
  <c r="R51" i="107"/>
  <c r="Q51" i="107"/>
  <c r="P51" i="107"/>
  <c r="O51" i="107"/>
  <c r="N51" i="107"/>
  <c r="A51" i="107"/>
  <c r="V50" i="107"/>
  <c r="U50" i="107"/>
  <c r="T50" i="107"/>
  <c r="S50" i="107"/>
  <c r="R50" i="107"/>
  <c r="Q50" i="107"/>
  <c r="P50" i="107"/>
  <c r="O50" i="107"/>
  <c r="N50" i="107"/>
  <c r="A50" i="107"/>
  <c r="V49" i="107"/>
  <c r="U49" i="107"/>
  <c r="T49" i="107"/>
  <c r="S49" i="107"/>
  <c r="R49" i="107"/>
  <c r="Q49" i="107"/>
  <c r="P49" i="107"/>
  <c r="O49" i="107"/>
  <c r="N49" i="107"/>
  <c r="A49" i="107"/>
  <c r="V48" i="107"/>
  <c r="U48" i="107"/>
  <c r="T48" i="107"/>
  <c r="S48" i="107"/>
  <c r="R48" i="107"/>
  <c r="Q48" i="107"/>
  <c r="P48" i="107"/>
  <c r="O48" i="107"/>
  <c r="N48" i="107"/>
  <c r="A48" i="107"/>
  <c r="V47" i="107"/>
  <c r="U47" i="107"/>
  <c r="T47" i="107"/>
  <c r="S47" i="107"/>
  <c r="R47" i="107"/>
  <c r="Q47" i="107"/>
  <c r="P47" i="107"/>
  <c r="O47" i="107"/>
  <c r="N47" i="107"/>
  <c r="A47" i="107"/>
  <c r="V46" i="107"/>
  <c r="U46" i="107"/>
  <c r="T46" i="107"/>
  <c r="S46" i="107"/>
  <c r="R46" i="107"/>
  <c r="Q46" i="107"/>
  <c r="P46" i="107"/>
  <c r="O46" i="107"/>
  <c r="N46" i="107"/>
  <c r="A46" i="107"/>
  <c r="V45" i="107"/>
  <c r="U45" i="107"/>
  <c r="T45" i="107"/>
  <c r="S45" i="107"/>
  <c r="R45" i="107"/>
  <c r="Q45" i="107"/>
  <c r="P45" i="107"/>
  <c r="O45" i="107"/>
  <c r="N45" i="107"/>
  <c r="A45" i="107"/>
  <c r="V44" i="107"/>
  <c r="U44" i="107"/>
  <c r="T44" i="107"/>
  <c r="S44" i="107"/>
  <c r="R44" i="107"/>
  <c r="Q44" i="107"/>
  <c r="P44" i="107"/>
  <c r="O44" i="107"/>
  <c r="N44" i="107"/>
  <c r="A44" i="107"/>
  <c r="V43" i="107"/>
  <c r="U43" i="107"/>
  <c r="T43" i="107"/>
  <c r="S43" i="107"/>
  <c r="R43" i="107"/>
  <c r="Q43" i="107"/>
  <c r="P43" i="107"/>
  <c r="O43" i="107"/>
  <c r="N43" i="107"/>
  <c r="L43" i="107"/>
  <c r="K43" i="107"/>
  <c r="J43" i="107"/>
  <c r="I43" i="107"/>
  <c r="H43" i="107"/>
  <c r="G43" i="107"/>
  <c r="F43" i="107"/>
  <c r="E43" i="107"/>
  <c r="D43" i="107"/>
  <c r="C43" i="107"/>
  <c r="A43" i="107"/>
  <c r="V42" i="107"/>
  <c r="U42" i="107"/>
  <c r="T42" i="107"/>
  <c r="S42" i="107"/>
  <c r="R42" i="107"/>
  <c r="Q42" i="107"/>
  <c r="P42" i="107"/>
  <c r="O42" i="107"/>
  <c r="N42" i="107"/>
  <c r="L42" i="107"/>
  <c r="K42" i="107"/>
  <c r="J42" i="107"/>
  <c r="I42" i="107"/>
  <c r="H42" i="107"/>
  <c r="G42" i="107"/>
  <c r="F42" i="107"/>
  <c r="E42" i="107"/>
  <c r="D42" i="107"/>
  <c r="C42" i="107"/>
  <c r="A42" i="107"/>
  <c r="V41" i="107"/>
  <c r="U41" i="107"/>
  <c r="T41" i="107"/>
  <c r="S41" i="107"/>
  <c r="R41" i="107"/>
  <c r="Q41" i="107"/>
  <c r="P41" i="107"/>
  <c r="O41" i="107"/>
  <c r="N41" i="107"/>
  <c r="L41" i="107"/>
  <c r="K41" i="107"/>
  <c r="J41" i="107"/>
  <c r="I41" i="107"/>
  <c r="H41" i="107"/>
  <c r="G41" i="107"/>
  <c r="F41" i="107"/>
  <c r="E41" i="107"/>
  <c r="D41" i="107"/>
  <c r="C41" i="107"/>
  <c r="A41" i="107"/>
  <c r="V40" i="107"/>
  <c r="U40" i="107"/>
  <c r="T40" i="107"/>
  <c r="S40" i="107"/>
  <c r="R40" i="107"/>
  <c r="Q40" i="107"/>
  <c r="P40" i="107"/>
  <c r="O40" i="107"/>
  <c r="N40" i="107"/>
  <c r="A40" i="107"/>
  <c r="V39" i="107"/>
  <c r="U39" i="107"/>
  <c r="T39" i="107"/>
  <c r="S39" i="107"/>
  <c r="R39" i="107"/>
  <c r="Q39" i="107"/>
  <c r="P39" i="107"/>
  <c r="O39" i="107"/>
  <c r="N39" i="107"/>
  <c r="L39" i="107"/>
  <c r="K39" i="107"/>
  <c r="J39" i="107"/>
  <c r="I39" i="107"/>
  <c r="H39" i="107"/>
  <c r="G39" i="107"/>
  <c r="F39" i="107"/>
  <c r="E39" i="107"/>
  <c r="D39" i="107"/>
  <c r="C39" i="107"/>
  <c r="A39" i="107"/>
  <c r="V38" i="107"/>
  <c r="U38" i="107"/>
  <c r="T38" i="107"/>
  <c r="S38" i="107"/>
  <c r="R38" i="107"/>
  <c r="Q38" i="107"/>
  <c r="P38" i="107"/>
  <c r="O38" i="107"/>
  <c r="N38" i="107"/>
  <c r="A38" i="107"/>
  <c r="V37" i="107"/>
  <c r="U37" i="107"/>
  <c r="T37" i="107"/>
  <c r="S37" i="107"/>
  <c r="R37" i="107"/>
  <c r="Q37" i="107"/>
  <c r="P37" i="107"/>
  <c r="O37" i="107"/>
  <c r="N37" i="107"/>
  <c r="L37" i="107"/>
  <c r="K37" i="107"/>
  <c r="J37" i="107"/>
  <c r="I37" i="107"/>
  <c r="H37" i="107"/>
  <c r="G37" i="107"/>
  <c r="F37" i="107"/>
  <c r="E37" i="107"/>
  <c r="D37" i="107"/>
  <c r="C37" i="107"/>
  <c r="A37" i="107"/>
  <c r="V36" i="107"/>
  <c r="U36" i="107"/>
  <c r="T36" i="107"/>
  <c r="S36" i="107"/>
  <c r="R36" i="107"/>
  <c r="Q36" i="107"/>
  <c r="P36" i="107"/>
  <c r="O36" i="107"/>
  <c r="N36" i="107"/>
  <c r="C36" i="107"/>
  <c r="A36" i="107"/>
  <c r="V35" i="107"/>
  <c r="U35" i="107"/>
  <c r="T35" i="107"/>
  <c r="S35" i="107"/>
  <c r="R35" i="107"/>
  <c r="Q35" i="107"/>
  <c r="P35" i="107"/>
  <c r="O35" i="107"/>
  <c r="N35" i="107"/>
  <c r="A35" i="107"/>
  <c r="V34" i="107"/>
  <c r="U34" i="107"/>
  <c r="T34" i="107"/>
  <c r="S34" i="107"/>
  <c r="R34" i="107"/>
  <c r="Q34" i="107"/>
  <c r="P34" i="107"/>
  <c r="O34" i="107"/>
  <c r="N34" i="107"/>
  <c r="L34" i="107"/>
  <c r="K34" i="107"/>
  <c r="J34" i="107"/>
  <c r="I34" i="107"/>
  <c r="H34" i="107"/>
  <c r="G34" i="107"/>
  <c r="F34" i="107"/>
  <c r="E34" i="107"/>
  <c r="D34" i="107"/>
  <c r="C34" i="107"/>
  <c r="A34" i="107"/>
  <c r="V33" i="107"/>
  <c r="U33" i="107"/>
  <c r="T33" i="107"/>
  <c r="S33" i="107"/>
  <c r="R33" i="107"/>
  <c r="Q33" i="107"/>
  <c r="P33" i="107"/>
  <c r="O33" i="107"/>
  <c r="N33" i="107"/>
  <c r="L33" i="107"/>
  <c r="K33" i="107"/>
  <c r="J33" i="107"/>
  <c r="I33" i="107"/>
  <c r="H33" i="107"/>
  <c r="G33" i="107"/>
  <c r="F33" i="107"/>
  <c r="E33" i="107"/>
  <c r="D33" i="107"/>
  <c r="T32" i="107"/>
  <c r="S32" i="107"/>
  <c r="V31" i="107"/>
  <c r="U31" i="107"/>
  <c r="T31" i="107"/>
  <c r="S31" i="107"/>
  <c r="R31" i="107"/>
  <c r="Q31" i="107"/>
  <c r="P31" i="107"/>
  <c r="O31" i="107"/>
  <c r="N31" i="107"/>
  <c r="M31" i="107"/>
  <c r="J20" i="107"/>
  <c r="I20" i="107"/>
  <c r="H20" i="107"/>
  <c r="G20" i="107"/>
  <c r="J19" i="107"/>
  <c r="I19" i="107"/>
  <c r="H19" i="107"/>
  <c r="G19" i="107"/>
  <c r="J18" i="107"/>
  <c r="I18" i="107"/>
  <c r="H18" i="107"/>
  <c r="G18" i="107"/>
  <c r="J17" i="107"/>
  <c r="I17" i="107"/>
  <c r="H17" i="107"/>
  <c r="G17" i="107"/>
  <c r="J16" i="107"/>
  <c r="I16" i="107"/>
  <c r="H16" i="107"/>
  <c r="G16" i="107"/>
  <c r="J15" i="107"/>
  <c r="I15" i="107"/>
  <c r="H15" i="107"/>
  <c r="G15" i="107"/>
  <c r="J14" i="107"/>
  <c r="I14" i="107"/>
  <c r="H14" i="107"/>
  <c r="G14" i="107"/>
  <c r="J13" i="107"/>
  <c r="I13" i="107"/>
  <c r="H13" i="107"/>
  <c r="G13" i="107"/>
  <c r="J12" i="107"/>
  <c r="I12" i="107"/>
  <c r="H12" i="107"/>
  <c r="G12" i="107"/>
  <c r="J11" i="107"/>
  <c r="H11" i="107"/>
  <c r="G11" i="107"/>
  <c r="E7" i="107"/>
  <c r="B7" i="107"/>
  <c r="I11" i="107" s="1"/>
  <c r="C33" i="107" s="1"/>
  <c r="K130" i="76"/>
  <c r="J130" i="76"/>
  <c r="I130" i="76"/>
  <c r="H130" i="76"/>
  <c r="G130" i="76"/>
  <c r="L129" i="76"/>
  <c r="I129" i="76"/>
  <c r="H129" i="76"/>
  <c r="G129" i="76"/>
  <c r="L128" i="76"/>
  <c r="I128" i="76"/>
  <c r="H128" i="76"/>
  <c r="G128" i="76"/>
  <c r="L127" i="76"/>
  <c r="I127" i="76"/>
  <c r="H127" i="76"/>
  <c r="G127" i="76"/>
  <c r="L126" i="76"/>
  <c r="I126" i="76"/>
  <c r="H126" i="76"/>
  <c r="G126" i="76"/>
  <c r="L125" i="76"/>
  <c r="I125" i="76"/>
  <c r="H125" i="76"/>
  <c r="G125" i="76"/>
  <c r="L124" i="76"/>
  <c r="I124" i="76"/>
  <c r="H124" i="76"/>
  <c r="G124" i="76"/>
  <c r="V103" i="76"/>
  <c r="U103" i="76"/>
  <c r="T103" i="76"/>
  <c r="S103" i="76"/>
  <c r="R103" i="76"/>
  <c r="Q103" i="76"/>
  <c r="P103" i="76"/>
  <c r="O103" i="76"/>
  <c r="N103" i="76"/>
  <c r="A103" i="76"/>
  <c r="V102" i="76"/>
  <c r="U102" i="76"/>
  <c r="T102" i="76"/>
  <c r="S102" i="76"/>
  <c r="R102" i="76"/>
  <c r="Q102" i="76"/>
  <c r="P102" i="76"/>
  <c r="O102" i="76"/>
  <c r="N102" i="76"/>
  <c r="A102" i="76"/>
  <c r="V101" i="76"/>
  <c r="U101" i="76"/>
  <c r="T101" i="76"/>
  <c r="S101" i="76"/>
  <c r="R101" i="76"/>
  <c r="Q101" i="76"/>
  <c r="P101" i="76"/>
  <c r="O101" i="76"/>
  <c r="N101" i="76"/>
  <c r="A101" i="76"/>
  <c r="V100" i="76"/>
  <c r="U100" i="76"/>
  <c r="T100" i="76"/>
  <c r="S100" i="76"/>
  <c r="R100" i="76"/>
  <c r="Q100" i="76"/>
  <c r="P100" i="76"/>
  <c r="O100" i="76"/>
  <c r="N100" i="76"/>
  <c r="A100" i="76"/>
  <c r="V99" i="76"/>
  <c r="U99" i="76"/>
  <c r="T99" i="76"/>
  <c r="S99" i="76"/>
  <c r="R99" i="76"/>
  <c r="Q99" i="76"/>
  <c r="P99" i="76"/>
  <c r="O99" i="76"/>
  <c r="N99" i="76"/>
  <c r="A99" i="76"/>
  <c r="V98" i="76"/>
  <c r="U98" i="76"/>
  <c r="T98" i="76"/>
  <c r="S98" i="76"/>
  <c r="R98" i="76"/>
  <c r="Q98" i="76"/>
  <c r="P98" i="76"/>
  <c r="O98" i="76"/>
  <c r="N98" i="76"/>
  <c r="A98" i="76"/>
  <c r="V97" i="76"/>
  <c r="U97" i="76"/>
  <c r="T97" i="76"/>
  <c r="S97" i="76"/>
  <c r="R97" i="76"/>
  <c r="Q97" i="76"/>
  <c r="P97" i="76"/>
  <c r="O97" i="76"/>
  <c r="N97" i="76"/>
  <c r="A97" i="76"/>
  <c r="V96" i="76"/>
  <c r="U96" i="76"/>
  <c r="T96" i="76"/>
  <c r="S96" i="76"/>
  <c r="R96" i="76"/>
  <c r="Q96" i="76"/>
  <c r="P96" i="76"/>
  <c r="O96" i="76"/>
  <c r="N96" i="76"/>
  <c r="A96" i="76"/>
  <c r="V95" i="76"/>
  <c r="U95" i="76"/>
  <c r="T95" i="76"/>
  <c r="S95" i="76"/>
  <c r="R95" i="76"/>
  <c r="Q95" i="76"/>
  <c r="P95" i="76"/>
  <c r="O95" i="76"/>
  <c r="N95" i="76"/>
  <c r="A95" i="76"/>
  <c r="V94" i="76"/>
  <c r="U94" i="76"/>
  <c r="T94" i="76"/>
  <c r="S94" i="76"/>
  <c r="R94" i="76"/>
  <c r="Q94" i="76"/>
  <c r="P94" i="76"/>
  <c r="O94" i="76"/>
  <c r="N94" i="76"/>
  <c r="A94" i="76"/>
  <c r="V93" i="76"/>
  <c r="U93" i="76"/>
  <c r="T93" i="76"/>
  <c r="S93" i="76"/>
  <c r="R93" i="76"/>
  <c r="Q93" i="76"/>
  <c r="P93" i="76"/>
  <c r="O93" i="76"/>
  <c r="N93" i="76"/>
  <c r="A93" i="76"/>
  <c r="V92" i="76"/>
  <c r="U92" i="76"/>
  <c r="T92" i="76"/>
  <c r="S92" i="76"/>
  <c r="R92" i="76"/>
  <c r="Q92" i="76"/>
  <c r="P92" i="76"/>
  <c r="O92" i="76"/>
  <c r="N92" i="76"/>
  <c r="A92" i="76"/>
  <c r="V91" i="76"/>
  <c r="U91" i="76"/>
  <c r="T91" i="76"/>
  <c r="S91" i="76"/>
  <c r="R91" i="76"/>
  <c r="Q91" i="76"/>
  <c r="P91" i="76"/>
  <c r="O91" i="76"/>
  <c r="N91" i="76"/>
  <c r="A91" i="76"/>
  <c r="V90" i="76"/>
  <c r="U90" i="76"/>
  <c r="T90" i="76"/>
  <c r="S90" i="76"/>
  <c r="R90" i="76"/>
  <c r="Q90" i="76"/>
  <c r="P90" i="76"/>
  <c r="O90" i="76"/>
  <c r="N90" i="76"/>
  <c r="A90" i="76"/>
  <c r="V89" i="76"/>
  <c r="U89" i="76"/>
  <c r="T89" i="76"/>
  <c r="S89" i="76"/>
  <c r="R89" i="76"/>
  <c r="Q89" i="76"/>
  <c r="P89" i="76"/>
  <c r="O89" i="76"/>
  <c r="N89" i="76"/>
  <c r="A89" i="76"/>
  <c r="V88" i="76"/>
  <c r="U88" i="76"/>
  <c r="T88" i="76"/>
  <c r="S88" i="76"/>
  <c r="R88" i="76"/>
  <c r="Q88" i="76"/>
  <c r="P88" i="76"/>
  <c r="O88" i="76"/>
  <c r="N88" i="76"/>
  <c r="A88" i="76"/>
  <c r="V87" i="76"/>
  <c r="U87" i="76"/>
  <c r="T87" i="76"/>
  <c r="S87" i="76"/>
  <c r="R87" i="76"/>
  <c r="Q87" i="76"/>
  <c r="P87" i="76"/>
  <c r="O87" i="76"/>
  <c r="N87" i="76"/>
  <c r="A87" i="76"/>
  <c r="V86" i="76"/>
  <c r="U86" i="76"/>
  <c r="T86" i="76"/>
  <c r="S86" i="76"/>
  <c r="R86" i="76"/>
  <c r="Q86" i="76"/>
  <c r="P86" i="76"/>
  <c r="O86" i="76"/>
  <c r="N86" i="76"/>
  <c r="A86" i="76"/>
  <c r="V85" i="76"/>
  <c r="U85" i="76"/>
  <c r="T85" i="76"/>
  <c r="S85" i="76"/>
  <c r="R85" i="76"/>
  <c r="Q85" i="76"/>
  <c r="P85" i="76"/>
  <c r="O85" i="76"/>
  <c r="N85" i="76"/>
  <c r="A85" i="76"/>
  <c r="V84" i="76"/>
  <c r="U84" i="76"/>
  <c r="T84" i="76"/>
  <c r="S84" i="76"/>
  <c r="R84" i="76"/>
  <c r="Q84" i="76"/>
  <c r="P84" i="76"/>
  <c r="O84" i="76"/>
  <c r="N84" i="76"/>
  <c r="A84" i="76"/>
  <c r="V83" i="76"/>
  <c r="U83" i="76"/>
  <c r="T83" i="76"/>
  <c r="S83" i="76"/>
  <c r="R83" i="76"/>
  <c r="Q83" i="76"/>
  <c r="P83" i="76"/>
  <c r="O83" i="76"/>
  <c r="N83" i="76"/>
  <c r="A83" i="76"/>
  <c r="V82" i="76"/>
  <c r="U82" i="76"/>
  <c r="T82" i="76"/>
  <c r="S82" i="76"/>
  <c r="R82" i="76"/>
  <c r="Q82" i="76"/>
  <c r="P82" i="76"/>
  <c r="O82" i="76"/>
  <c r="N82" i="76"/>
  <c r="L82" i="76"/>
  <c r="K82" i="76"/>
  <c r="J82" i="76"/>
  <c r="I82" i="76"/>
  <c r="H82" i="76"/>
  <c r="G82" i="76"/>
  <c r="F82" i="76"/>
  <c r="A82" i="76"/>
  <c r="V81" i="76"/>
  <c r="U81" i="76"/>
  <c r="T81" i="76"/>
  <c r="S81" i="76"/>
  <c r="R81" i="76"/>
  <c r="Q81" i="76"/>
  <c r="P81" i="76"/>
  <c r="O81" i="76"/>
  <c r="N81" i="76"/>
  <c r="A81" i="76"/>
  <c r="V80" i="76"/>
  <c r="U80" i="76"/>
  <c r="T80" i="76"/>
  <c r="S80" i="76"/>
  <c r="R80" i="76"/>
  <c r="Q80" i="76"/>
  <c r="P80" i="76"/>
  <c r="O80" i="76"/>
  <c r="N80" i="76"/>
  <c r="A80" i="76"/>
  <c r="V79" i="76"/>
  <c r="U79" i="76"/>
  <c r="T79" i="76"/>
  <c r="S79" i="76"/>
  <c r="R79" i="76"/>
  <c r="Q79" i="76"/>
  <c r="P79" i="76"/>
  <c r="O79" i="76"/>
  <c r="N79" i="76"/>
  <c r="A79" i="76"/>
  <c r="V78" i="76"/>
  <c r="U78" i="76"/>
  <c r="T78" i="76"/>
  <c r="S78" i="76"/>
  <c r="R78" i="76"/>
  <c r="Q78" i="76"/>
  <c r="P78" i="76"/>
  <c r="O78" i="76"/>
  <c r="N78" i="76"/>
  <c r="A78" i="76"/>
  <c r="V77" i="76"/>
  <c r="U77" i="76"/>
  <c r="T77" i="76"/>
  <c r="S77" i="76"/>
  <c r="R77" i="76"/>
  <c r="Q77" i="76"/>
  <c r="P77" i="76"/>
  <c r="O77" i="76"/>
  <c r="N77" i="76"/>
  <c r="A77" i="76"/>
  <c r="V76" i="76"/>
  <c r="U76" i="76"/>
  <c r="T76" i="76"/>
  <c r="S76" i="76"/>
  <c r="R76" i="76"/>
  <c r="Q76" i="76"/>
  <c r="P76" i="76"/>
  <c r="O76" i="76"/>
  <c r="N76" i="76"/>
  <c r="A76" i="76"/>
  <c r="V75" i="76"/>
  <c r="U75" i="76"/>
  <c r="T75" i="76"/>
  <c r="S75" i="76"/>
  <c r="R75" i="76"/>
  <c r="Q75" i="76"/>
  <c r="P75" i="76"/>
  <c r="O75" i="76"/>
  <c r="N75" i="76"/>
  <c r="A75" i="76"/>
  <c r="V74" i="76"/>
  <c r="U74" i="76"/>
  <c r="T74" i="76"/>
  <c r="S74" i="76"/>
  <c r="R74" i="76"/>
  <c r="Q74" i="76"/>
  <c r="P74" i="76"/>
  <c r="O74" i="76"/>
  <c r="N74" i="76"/>
  <c r="A74" i="76"/>
  <c r="V73" i="76"/>
  <c r="U73" i="76"/>
  <c r="T73" i="76"/>
  <c r="S73" i="76"/>
  <c r="R73" i="76"/>
  <c r="Q73" i="76"/>
  <c r="P73" i="76"/>
  <c r="O73" i="76"/>
  <c r="N73" i="76"/>
  <c r="A73" i="76"/>
  <c r="V72" i="76"/>
  <c r="U72" i="76"/>
  <c r="T72" i="76"/>
  <c r="S72" i="76"/>
  <c r="R72" i="76"/>
  <c r="Q72" i="76"/>
  <c r="P72" i="76"/>
  <c r="O72" i="76"/>
  <c r="N72" i="76"/>
  <c r="A72" i="76"/>
  <c r="V71" i="76"/>
  <c r="U71" i="76"/>
  <c r="T71" i="76"/>
  <c r="S71" i="76"/>
  <c r="R71" i="76"/>
  <c r="Q71" i="76"/>
  <c r="P71" i="76"/>
  <c r="O71" i="76"/>
  <c r="N71" i="76"/>
  <c r="L71" i="76"/>
  <c r="K71" i="76"/>
  <c r="J71" i="76"/>
  <c r="I71" i="76"/>
  <c r="H71" i="76"/>
  <c r="G71" i="76"/>
  <c r="F71" i="76"/>
  <c r="E71" i="76"/>
  <c r="D71" i="76"/>
  <c r="C71" i="76"/>
  <c r="A71" i="76"/>
  <c r="V70" i="76"/>
  <c r="U70" i="76"/>
  <c r="T70" i="76"/>
  <c r="S70" i="76"/>
  <c r="R70" i="76"/>
  <c r="Q70" i="76"/>
  <c r="P70" i="76"/>
  <c r="O70" i="76"/>
  <c r="N70" i="76"/>
  <c r="A70" i="76"/>
  <c r="V69" i="76"/>
  <c r="U69" i="76"/>
  <c r="T69" i="76"/>
  <c r="S69" i="76"/>
  <c r="R69" i="76"/>
  <c r="Q69" i="76"/>
  <c r="P69" i="76"/>
  <c r="O69" i="76"/>
  <c r="N69" i="76"/>
  <c r="L69" i="76"/>
  <c r="K69" i="76"/>
  <c r="J69" i="76"/>
  <c r="I69" i="76"/>
  <c r="H69" i="76"/>
  <c r="G69" i="76"/>
  <c r="F69" i="76"/>
  <c r="E69" i="76"/>
  <c r="D69" i="76"/>
  <c r="C69" i="76"/>
  <c r="A69" i="76"/>
  <c r="V68" i="76"/>
  <c r="U68" i="76"/>
  <c r="T68" i="76"/>
  <c r="S68" i="76"/>
  <c r="R68" i="76"/>
  <c r="Q68" i="76"/>
  <c r="P68" i="76"/>
  <c r="O68" i="76"/>
  <c r="N68" i="76"/>
  <c r="C68" i="76"/>
  <c r="A68" i="76"/>
  <c r="V67" i="76"/>
  <c r="U67" i="76"/>
  <c r="T67" i="76"/>
  <c r="S67" i="76"/>
  <c r="R67" i="76"/>
  <c r="Q67" i="76"/>
  <c r="P67" i="76"/>
  <c r="O67" i="76"/>
  <c r="N67" i="76"/>
  <c r="A67" i="76"/>
  <c r="V66" i="76"/>
  <c r="U66" i="76"/>
  <c r="T66" i="76"/>
  <c r="S66" i="76"/>
  <c r="R66" i="76"/>
  <c r="Q66" i="76"/>
  <c r="P66" i="76"/>
  <c r="O66" i="76"/>
  <c r="N66" i="76"/>
  <c r="A66" i="76"/>
  <c r="V65" i="76"/>
  <c r="U65" i="76"/>
  <c r="T65" i="76"/>
  <c r="S65" i="76"/>
  <c r="R65" i="76"/>
  <c r="Q65" i="76"/>
  <c r="P65" i="76"/>
  <c r="O65" i="76"/>
  <c r="N65" i="76"/>
  <c r="C65" i="76"/>
  <c r="A65" i="76"/>
  <c r="V64" i="76"/>
  <c r="U64" i="76"/>
  <c r="T64" i="76"/>
  <c r="S64" i="76"/>
  <c r="R64" i="76"/>
  <c r="Q64" i="76"/>
  <c r="P64" i="76"/>
  <c r="O64" i="76"/>
  <c r="N64" i="76"/>
  <c r="C64" i="76"/>
  <c r="A64" i="76"/>
  <c r="V63" i="76"/>
  <c r="U63" i="76"/>
  <c r="T63" i="76"/>
  <c r="S63" i="76"/>
  <c r="R63" i="76"/>
  <c r="Q63" i="76"/>
  <c r="P63" i="76"/>
  <c r="O63" i="76"/>
  <c r="N63" i="76"/>
  <c r="A63" i="76"/>
  <c r="V62" i="76"/>
  <c r="U62" i="76"/>
  <c r="T62" i="76"/>
  <c r="S62" i="76"/>
  <c r="R62" i="76"/>
  <c r="Q62" i="76"/>
  <c r="P62" i="76"/>
  <c r="O62" i="76"/>
  <c r="N62" i="76"/>
  <c r="A62" i="76"/>
  <c r="V61" i="76"/>
  <c r="U61" i="76"/>
  <c r="T61" i="76"/>
  <c r="S61" i="76"/>
  <c r="R61" i="76"/>
  <c r="Q61" i="76"/>
  <c r="P61" i="76"/>
  <c r="O61" i="76"/>
  <c r="N61" i="76"/>
  <c r="A61" i="76"/>
  <c r="V60" i="76"/>
  <c r="U60" i="76"/>
  <c r="T60" i="76"/>
  <c r="S60" i="76"/>
  <c r="R60" i="76"/>
  <c r="Q60" i="76"/>
  <c r="P60" i="76"/>
  <c r="O60" i="76"/>
  <c r="N60" i="76"/>
  <c r="A60" i="76"/>
  <c r="V59" i="76"/>
  <c r="U59" i="76"/>
  <c r="T59" i="76"/>
  <c r="S59" i="76"/>
  <c r="R59" i="76"/>
  <c r="Q59" i="76"/>
  <c r="P59" i="76"/>
  <c r="O59" i="76"/>
  <c r="N59" i="76"/>
  <c r="A59" i="76"/>
  <c r="V58" i="76"/>
  <c r="U58" i="76"/>
  <c r="T58" i="76"/>
  <c r="S58" i="76"/>
  <c r="R58" i="76"/>
  <c r="Q58" i="76"/>
  <c r="P58" i="76"/>
  <c r="O58" i="76"/>
  <c r="N58" i="76"/>
  <c r="C58" i="76"/>
  <c r="A58" i="76"/>
  <c r="V57" i="76"/>
  <c r="U57" i="76"/>
  <c r="T57" i="76"/>
  <c r="S57" i="76"/>
  <c r="R57" i="76"/>
  <c r="Q57" i="76"/>
  <c r="P57" i="76"/>
  <c r="O57" i="76"/>
  <c r="N57" i="76"/>
  <c r="C57" i="76"/>
  <c r="A57" i="76"/>
  <c r="V56" i="76"/>
  <c r="U56" i="76"/>
  <c r="T56" i="76"/>
  <c r="S56" i="76"/>
  <c r="R56" i="76"/>
  <c r="Q56" i="76"/>
  <c r="P56" i="76"/>
  <c r="O56" i="76"/>
  <c r="N56" i="76"/>
  <c r="A56" i="76"/>
  <c r="V55" i="76"/>
  <c r="U55" i="76"/>
  <c r="T55" i="76"/>
  <c r="S55" i="76"/>
  <c r="R55" i="76"/>
  <c r="Q55" i="76"/>
  <c r="P55" i="76"/>
  <c r="O55" i="76"/>
  <c r="N55" i="76"/>
  <c r="A55" i="76"/>
  <c r="V54" i="76"/>
  <c r="U54" i="76"/>
  <c r="T54" i="76"/>
  <c r="S54" i="76"/>
  <c r="R54" i="76"/>
  <c r="Q54" i="76"/>
  <c r="P54" i="76"/>
  <c r="O54" i="76"/>
  <c r="N54" i="76"/>
  <c r="C54" i="76"/>
  <c r="A54" i="76"/>
  <c r="V53" i="76"/>
  <c r="U53" i="76"/>
  <c r="T53" i="76"/>
  <c r="S53" i="76"/>
  <c r="R53" i="76"/>
  <c r="Q53" i="76"/>
  <c r="P53" i="76"/>
  <c r="O53" i="76"/>
  <c r="N53" i="76"/>
  <c r="L53" i="76"/>
  <c r="K53" i="76"/>
  <c r="J53" i="76"/>
  <c r="I53" i="76"/>
  <c r="H53" i="76"/>
  <c r="G53" i="76"/>
  <c r="F53" i="76"/>
  <c r="E53" i="76"/>
  <c r="D53" i="76"/>
  <c r="C53" i="76"/>
  <c r="A53" i="76"/>
  <c r="V52" i="76"/>
  <c r="U52" i="76"/>
  <c r="T52" i="76"/>
  <c r="S52" i="76"/>
  <c r="R52" i="76"/>
  <c r="Q52" i="76"/>
  <c r="P52" i="76"/>
  <c r="O52" i="76"/>
  <c r="N52" i="76"/>
  <c r="L52" i="76"/>
  <c r="K52" i="76"/>
  <c r="J52" i="76"/>
  <c r="I52" i="76"/>
  <c r="H52" i="76"/>
  <c r="G52" i="76"/>
  <c r="F52" i="76"/>
  <c r="E52" i="76"/>
  <c r="D52" i="76"/>
  <c r="C52" i="76"/>
  <c r="A52" i="76"/>
  <c r="V51" i="76"/>
  <c r="U51" i="76"/>
  <c r="T51" i="76"/>
  <c r="S51" i="76"/>
  <c r="R51" i="76"/>
  <c r="Q51" i="76"/>
  <c r="P51" i="76"/>
  <c r="O51" i="76"/>
  <c r="N51" i="76"/>
  <c r="A51" i="76"/>
  <c r="V50" i="76"/>
  <c r="U50" i="76"/>
  <c r="T50" i="76"/>
  <c r="S50" i="76"/>
  <c r="R50" i="76"/>
  <c r="Q50" i="76"/>
  <c r="P50" i="76"/>
  <c r="O50" i="76"/>
  <c r="N50" i="76"/>
  <c r="A50" i="76"/>
  <c r="V49" i="76"/>
  <c r="U49" i="76"/>
  <c r="T49" i="76"/>
  <c r="S49" i="76"/>
  <c r="R49" i="76"/>
  <c r="Q49" i="76"/>
  <c r="P49" i="76"/>
  <c r="O49" i="76"/>
  <c r="N49" i="76"/>
  <c r="A49" i="76"/>
  <c r="V48" i="76"/>
  <c r="U48" i="76"/>
  <c r="T48" i="76"/>
  <c r="S48" i="76"/>
  <c r="R48" i="76"/>
  <c r="Q48" i="76"/>
  <c r="P48" i="76"/>
  <c r="O48" i="76"/>
  <c r="N48" i="76"/>
  <c r="A48" i="76"/>
  <c r="V47" i="76"/>
  <c r="U47" i="76"/>
  <c r="T47" i="76"/>
  <c r="S47" i="76"/>
  <c r="R47" i="76"/>
  <c r="Q47" i="76"/>
  <c r="P47" i="76"/>
  <c r="O47" i="76"/>
  <c r="N47" i="76"/>
  <c r="A47" i="76"/>
  <c r="V46" i="76"/>
  <c r="U46" i="76"/>
  <c r="T46" i="76"/>
  <c r="S46" i="76"/>
  <c r="R46" i="76"/>
  <c r="Q46" i="76"/>
  <c r="P46" i="76"/>
  <c r="O46" i="76"/>
  <c r="N46" i="76"/>
  <c r="A46" i="76"/>
  <c r="V45" i="76"/>
  <c r="U45" i="76"/>
  <c r="T45" i="76"/>
  <c r="S45" i="76"/>
  <c r="R45" i="76"/>
  <c r="Q45" i="76"/>
  <c r="P45" i="76"/>
  <c r="O45" i="76"/>
  <c r="N45" i="76"/>
  <c r="A45" i="76"/>
  <c r="V44" i="76"/>
  <c r="U44" i="76"/>
  <c r="T44" i="76"/>
  <c r="S44" i="76"/>
  <c r="R44" i="76"/>
  <c r="Q44" i="76"/>
  <c r="P44" i="76"/>
  <c r="O44" i="76"/>
  <c r="N44" i="76"/>
  <c r="A44" i="76"/>
  <c r="V43" i="76"/>
  <c r="U43" i="76"/>
  <c r="T43" i="76"/>
  <c r="S43" i="76"/>
  <c r="R43" i="76"/>
  <c r="Q43" i="76"/>
  <c r="P43" i="76"/>
  <c r="O43" i="76"/>
  <c r="N43" i="76"/>
  <c r="L43" i="76"/>
  <c r="K43" i="76"/>
  <c r="J43" i="76"/>
  <c r="I43" i="76"/>
  <c r="H43" i="76"/>
  <c r="G43" i="76"/>
  <c r="F43" i="76"/>
  <c r="E43" i="76"/>
  <c r="D43" i="76"/>
  <c r="C43" i="76"/>
  <c r="A43" i="76"/>
  <c r="V42" i="76"/>
  <c r="U42" i="76"/>
  <c r="T42" i="76"/>
  <c r="S42" i="76"/>
  <c r="R42" i="76"/>
  <c r="Q42" i="76"/>
  <c r="P42" i="76"/>
  <c r="O42" i="76"/>
  <c r="N42" i="76"/>
  <c r="L42" i="76"/>
  <c r="K42" i="76"/>
  <c r="J42" i="76"/>
  <c r="I42" i="76"/>
  <c r="H42" i="76"/>
  <c r="G42" i="76"/>
  <c r="F42" i="76"/>
  <c r="E42" i="76"/>
  <c r="D42" i="76"/>
  <c r="C42" i="76"/>
  <c r="A42" i="76"/>
  <c r="V41" i="76"/>
  <c r="U41" i="76"/>
  <c r="T41" i="76"/>
  <c r="S41" i="76"/>
  <c r="R41" i="76"/>
  <c r="Q41" i="76"/>
  <c r="P41" i="76"/>
  <c r="O41" i="76"/>
  <c r="N41" i="76"/>
  <c r="L41" i="76"/>
  <c r="K41" i="76"/>
  <c r="J41" i="76"/>
  <c r="I41" i="76"/>
  <c r="H41" i="76"/>
  <c r="G41" i="76"/>
  <c r="F41" i="76"/>
  <c r="E41" i="76"/>
  <c r="D41" i="76"/>
  <c r="C41" i="76"/>
  <c r="A41" i="76"/>
  <c r="V40" i="76"/>
  <c r="U40" i="76"/>
  <c r="T40" i="76"/>
  <c r="S40" i="76"/>
  <c r="R40" i="76"/>
  <c r="Q40" i="76"/>
  <c r="P40" i="76"/>
  <c r="O40" i="76"/>
  <c r="N40" i="76"/>
  <c r="A40" i="76"/>
  <c r="V39" i="76"/>
  <c r="U39" i="76"/>
  <c r="T39" i="76"/>
  <c r="S39" i="76"/>
  <c r="R39" i="76"/>
  <c r="Q39" i="76"/>
  <c r="P39" i="76"/>
  <c r="O39" i="76"/>
  <c r="N39" i="76"/>
  <c r="L39" i="76"/>
  <c r="K39" i="76"/>
  <c r="J39" i="76"/>
  <c r="I39" i="76"/>
  <c r="H39" i="76"/>
  <c r="G39" i="76"/>
  <c r="F39" i="76"/>
  <c r="E39" i="76"/>
  <c r="D39" i="76"/>
  <c r="C39" i="76"/>
  <c r="A39" i="76"/>
  <c r="V38" i="76"/>
  <c r="U38" i="76"/>
  <c r="T38" i="76"/>
  <c r="S38" i="76"/>
  <c r="R38" i="76"/>
  <c r="Q38" i="76"/>
  <c r="P38" i="76"/>
  <c r="O38" i="76"/>
  <c r="N38" i="76"/>
  <c r="A38" i="76"/>
  <c r="V37" i="76"/>
  <c r="U37" i="76"/>
  <c r="T37" i="76"/>
  <c r="S37" i="76"/>
  <c r="R37" i="76"/>
  <c r="Q37" i="76"/>
  <c r="P37" i="76"/>
  <c r="O37" i="76"/>
  <c r="N37" i="76"/>
  <c r="L37" i="76"/>
  <c r="K37" i="76"/>
  <c r="J37" i="76"/>
  <c r="I37" i="76"/>
  <c r="H37" i="76"/>
  <c r="G37" i="76"/>
  <c r="F37" i="76"/>
  <c r="E37" i="76"/>
  <c r="D37" i="76"/>
  <c r="C37" i="76"/>
  <c r="A37" i="76"/>
  <c r="V36" i="76"/>
  <c r="U36" i="76"/>
  <c r="T36" i="76"/>
  <c r="S36" i="76"/>
  <c r="R36" i="76"/>
  <c r="Q36" i="76"/>
  <c r="P36" i="76"/>
  <c r="O36" i="76"/>
  <c r="N36" i="76"/>
  <c r="C36" i="76"/>
  <c r="A36" i="76"/>
  <c r="V35" i="76"/>
  <c r="U35" i="76"/>
  <c r="T35" i="76"/>
  <c r="S35" i="76"/>
  <c r="R35" i="76"/>
  <c r="Q35" i="76"/>
  <c r="P35" i="76"/>
  <c r="O35" i="76"/>
  <c r="N35" i="76"/>
  <c r="A35" i="76"/>
  <c r="V34" i="76"/>
  <c r="U34" i="76"/>
  <c r="T34" i="76"/>
  <c r="S34" i="76"/>
  <c r="R34" i="76"/>
  <c r="Q34" i="76"/>
  <c r="P34" i="76"/>
  <c r="O34" i="76"/>
  <c r="N34" i="76"/>
  <c r="L34" i="76"/>
  <c r="K34" i="76"/>
  <c r="J34" i="76"/>
  <c r="I34" i="76"/>
  <c r="H34" i="76"/>
  <c r="G34" i="76"/>
  <c r="F34" i="76"/>
  <c r="E34" i="76"/>
  <c r="D34" i="76"/>
  <c r="C34" i="76"/>
  <c r="A34" i="76"/>
  <c r="V33" i="76"/>
  <c r="U33" i="76"/>
  <c r="T33" i="76"/>
  <c r="S33" i="76"/>
  <c r="R33" i="76"/>
  <c r="Q33" i="76"/>
  <c r="P33" i="76"/>
  <c r="O33" i="76"/>
  <c r="N33" i="76"/>
  <c r="L33" i="76"/>
  <c r="K33" i="76"/>
  <c r="J33" i="76"/>
  <c r="I33" i="76"/>
  <c r="H33" i="76"/>
  <c r="G33" i="76"/>
  <c r="F33" i="76"/>
  <c r="E33" i="76"/>
  <c r="D33" i="76"/>
  <c r="T32" i="76"/>
  <c r="S32" i="76"/>
  <c r="V31" i="76"/>
  <c r="U31" i="76"/>
  <c r="T31" i="76"/>
  <c r="S31" i="76"/>
  <c r="R31" i="76"/>
  <c r="Q31" i="76"/>
  <c r="P31" i="76"/>
  <c r="O31" i="76"/>
  <c r="N31" i="76"/>
  <c r="M31" i="76"/>
  <c r="J20" i="76"/>
  <c r="I20" i="76"/>
  <c r="H20" i="76"/>
  <c r="G20" i="76"/>
  <c r="J19" i="76"/>
  <c r="I19" i="76"/>
  <c r="H19" i="76"/>
  <c r="G19" i="76"/>
  <c r="J18" i="76"/>
  <c r="I18" i="76"/>
  <c r="H18" i="76"/>
  <c r="G18" i="76"/>
  <c r="J17" i="76"/>
  <c r="I17" i="76"/>
  <c r="H17" i="76"/>
  <c r="G17" i="76"/>
  <c r="J16" i="76"/>
  <c r="I16" i="76"/>
  <c r="H16" i="76"/>
  <c r="G16" i="76"/>
  <c r="J15" i="76"/>
  <c r="I15" i="76"/>
  <c r="H15" i="76"/>
  <c r="G15" i="76"/>
  <c r="J14" i="76"/>
  <c r="I14" i="76"/>
  <c r="H14" i="76"/>
  <c r="G14" i="76"/>
  <c r="J13" i="76"/>
  <c r="I13" i="76"/>
  <c r="H13" i="76"/>
  <c r="G13" i="76"/>
  <c r="J12" i="76"/>
  <c r="I12" i="76"/>
  <c r="H12" i="76"/>
  <c r="G12" i="76"/>
  <c r="J11" i="76"/>
  <c r="H11" i="76"/>
  <c r="G11" i="76"/>
  <c r="E7" i="76"/>
  <c r="B7" i="76"/>
  <c r="I11" i="76" s="1"/>
  <c r="C33" i="76" s="1"/>
  <c r="F160" i="106"/>
  <c r="E160" i="106"/>
  <c r="C160" i="106"/>
  <c r="B160" i="106"/>
  <c r="V103" i="106"/>
  <c r="U103" i="106"/>
  <c r="T103" i="106"/>
  <c r="S103" i="106"/>
  <c r="R103" i="106"/>
  <c r="Q103" i="106"/>
  <c r="P103" i="106"/>
  <c r="O103" i="106"/>
  <c r="N103" i="106"/>
  <c r="A103" i="106"/>
  <c r="V102" i="106"/>
  <c r="U102" i="106"/>
  <c r="T102" i="106"/>
  <c r="S102" i="106"/>
  <c r="R102" i="106"/>
  <c r="Q102" i="106"/>
  <c r="P102" i="106"/>
  <c r="O102" i="106"/>
  <c r="N102" i="106"/>
  <c r="A102" i="106"/>
  <c r="V101" i="106"/>
  <c r="U101" i="106"/>
  <c r="T101" i="106"/>
  <c r="S101" i="106"/>
  <c r="R101" i="106"/>
  <c r="Q101" i="106"/>
  <c r="P101" i="106"/>
  <c r="O101" i="106"/>
  <c r="N101" i="106"/>
  <c r="A101" i="106"/>
  <c r="V100" i="106"/>
  <c r="U100" i="106"/>
  <c r="T100" i="106"/>
  <c r="S100" i="106"/>
  <c r="R100" i="106"/>
  <c r="Q100" i="106"/>
  <c r="P100" i="106"/>
  <c r="O100" i="106"/>
  <c r="N100" i="106"/>
  <c r="A100" i="106"/>
  <c r="V99" i="106"/>
  <c r="U99" i="106"/>
  <c r="T99" i="106"/>
  <c r="S99" i="106"/>
  <c r="R99" i="106"/>
  <c r="Q99" i="106"/>
  <c r="P99" i="106"/>
  <c r="O99" i="106"/>
  <c r="N99" i="106"/>
  <c r="A99" i="106"/>
  <c r="V98" i="106"/>
  <c r="U98" i="106"/>
  <c r="T98" i="106"/>
  <c r="S98" i="106"/>
  <c r="R98" i="106"/>
  <c r="Q98" i="106"/>
  <c r="P98" i="106"/>
  <c r="O98" i="106"/>
  <c r="N98" i="106"/>
  <c r="A98" i="106"/>
  <c r="V97" i="106"/>
  <c r="U97" i="106"/>
  <c r="T97" i="106"/>
  <c r="S97" i="106"/>
  <c r="R97" i="106"/>
  <c r="Q97" i="106"/>
  <c r="P97" i="106"/>
  <c r="O97" i="106"/>
  <c r="N97" i="106"/>
  <c r="A97" i="106"/>
  <c r="V96" i="106"/>
  <c r="U96" i="106"/>
  <c r="T96" i="106"/>
  <c r="S96" i="106"/>
  <c r="R96" i="106"/>
  <c r="Q96" i="106"/>
  <c r="P96" i="106"/>
  <c r="O96" i="106"/>
  <c r="N96" i="106"/>
  <c r="A96" i="106"/>
  <c r="V95" i="106"/>
  <c r="U95" i="106"/>
  <c r="T95" i="106"/>
  <c r="S95" i="106"/>
  <c r="R95" i="106"/>
  <c r="Q95" i="106"/>
  <c r="P95" i="106"/>
  <c r="O95" i="106"/>
  <c r="N95" i="106"/>
  <c r="A95" i="106"/>
  <c r="V94" i="106"/>
  <c r="U94" i="106"/>
  <c r="T94" i="106"/>
  <c r="S94" i="106"/>
  <c r="R94" i="106"/>
  <c r="Q94" i="106"/>
  <c r="P94" i="106"/>
  <c r="O94" i="106"/>
  <c r="N94" i="106"/>
  <c r="A94" i="106"/>
  <c r="V93" i="106"/>
  <c r="U93" i="106"/>
  <c r="T93" i="106"/>
  <c r="S93" i="106"/>
  <c r="R93" i="106"/>
  <c r="Q93" i="106"/>
  <c r="P93" i="106"/>
  <c r="O93" i="106"/>
  <c r="N93" i="106"/>
  <c r="A93" i="106"/>
  <c r="V92" i="106"/>
  <c r="U92" i="106"/>
  <c r="T92" i="106"/>
  <c r="S92" i="106"/>
  <c r="R92" i="106"/>
  <c r="Q92" i="106"/>
  <c r="P92" i="106"/>
  <c r="O92" i="106"/>
  <c r="N92" i="106"/>
  <c r="A92" i="106"/>
  <c r="V91" i="106"/>
  <c r="U91" i="106"/>
  <c r="T91" i="106"/>
  <c r="S91" i="106"/>
  <c r="R91" i="106"/>
  <c r="Q91" i="106"/>
  <c r="P91" i="106"/>
  <c r="O91" i="106"/>
  <c r="N91" i="106"/>
  <c r="A91" i="106"/>
  <c r="V90" i="106"/>
  <c r="U90" i="106"/>
  <c r="T90" i="106"/>
  <c r="S90" i="106"/>
  <c r="R90" i="106"/>
  <c r="Q90" i="106"/>
  <c r="P90" i="106"/>
  <c r="O90" i="106"/>
  <c r="N90" i="106"/>
  <c r="A90" i="106"/>
  <c r="V89" i="106"/>
  <c r="U89" i="106"/>
  <c r="T89" i="106"/>
  <c r="S89" i="106"/>
  <c r="R89" i="106"/>
  <c r="Q89" i="106"/>
  <c r="P89" i="106"/>
  <c r="O89" i="106"/>
  <c r="N89" i="106"/>
  <c r="A89" i="106"/>
  <c r="V88" i="106"/>
  <c r="U88" i="106"/>
  <c r="T88" i="106"/>
  <c r="S88" i="106"/>
  <c r="R88" i="106"/>
  <c r="Q88" i="106"/>
  <c r="P88" i="106"/>
  <c r="O88" i="106"/>
  <c r="N88" i="106"/>
  <c r="A88" i="106"/>
  <c r="V87" i="106"/>
  <c r="U87" i="106"/>
  <c r="T87" i="106"/>
  <c r="S87" i="106"/>
  <c r="R87" i="106"/>
  <c r="Q87" i="106"/>
  <c r="P87" i="106"/>
  <c r="O87" i="106"/>
  <c r="N87" i="106"/>
  <c r="A87" i="106"/>
  <c r="V86" i="106"/>
  <c r="U86" i="106"/>
  <c r="T86" i="106"/>
  <c r="S86" i="106"/>
  <c r="R86" i="106"/>
  <c r="Q86" i="106"/>
  <c r="P86" i="106"/>
  <c r="O86" i="106"/>
  <c r="N86" i="106"/>
  <c r="A86" i="106"/>
  <c r="V85" i="106"/>
  <c r="U85" i="106"/>
  <c r="T85" i="106"/>
  <c r="S85" i="106"/>
  <c r="R85" i="106"/>
  <c r="Q85" i="106"/>
  <c r="P85" i="106"/>
  <c r="O85" i="106"/>
  <c r="N85" i="106"/>
  <c r="A85" i="106"/>
  <c r="V84" i="106"/>
  <c r="U84" i="106"/>
  <c r="T84" i="106"/>
  <c r="S84" i="106"/>
  <c r="R84" i="106"/>
  <c r="Q84" i="106"/>
  <c r="P84" i="106"/>
  <c r="O84" i="106"/>
  <c r="N84" i="106"/>
  <c r="A84" i="106"/>
  <c r="V83" i="106"/>
  <c r="U83" i="106"/>
  <c r="T83" i="106"/>
  <c r="S83" i="106"/>
  <c r="R83" i="106"/>
  <c r="Q83" i="106"/>
  <c r="P83" i="106"/>
  <c r="O83" i="106"/>
  <c r="N83" i="106"/>
  <c r="A83" i="106"/>
  <c r="V82" i="106"/>
  <c r="U82" i="106"/>
  <c r="T82" i="106"/>
  <c r="S82" i="106"/>
  <c r="R82" i="106"/>
  <c r="Q82" i="106"/>
  <c r="P82" i="106"/>
  <c r="O82" i="106"/>
  <c r="N82" i="106"/>
  <c r="L82" i="106"/>
  <c r="K82" i="106"/>
  <c r="J82" i="106"/>
  <c r="I82" i="106"/>
  <c r="H82" i="106"/>
  <c r="G82" i="106"/>
  <c r="F82" i="106"/>
  <c r="A82" i="106"/>
  <c r="V81" i="106"/>
  <c r="U81" i="106"/>
  <c r="T81" i="106"/>
  <c r="S81" i="106"/>
  <c r="R81" i="106"/>
  <c r="Q81" i="106"/>
  <c r="P81" i="106"/>
  <c r="O81" i="106"/>
  <c r="N81" i="106"/>
  <c r="A81" i="106"/>
  <c r="V80" i="106"/>
  <c r="U80" i="106"/>
  <c r="T80" i="106"/>
  <c r="S80" i="106"/>
  <c r="R80" i="106"/>
  <c r="Q80" i="106"/>
  <c r="P80" i="106"/>
  <c r="O80" i="106"/>
  <c r="N80" i="106"/>
  <c r="A80" i="106"/>
  <c r="V79" i="106"/>
  <c r="U79" i="106"/>
  <c r="T79" i="106"/>
  <c r="S79" i="106"/>
  <c r="R79" i="106"/>
  <c r="Q79" i="106"/>
  <c r="P79" i="106"/>
  <c r="O79" i="106"/>
  <c r="N79" i="106"/>
  <c r="A79" i="106"/>
  <c r="V78" i="106"/>
  <c r="U78" i="106"/>
  <c r="T78" i="106"/>
  <c r="S78" i="106"/>
  <c r="R78" i="106"/>
  <c r="Q78" i="106"/>
  <c r="P78" i="106"/>
  <c r="O78" i="106"/>
  <c r="N78" i="106"/>
  <c r="A78" i="106"/>
  <c r="V77" i="106"/>
  <c r="U77" i="106"/>
  <c r="T77" i="106"/>
  <c r="S77" i="106"/>
  <c r="R77" i="106"/>
  <c r="Q77" i="106"/>
  <c r="P77" i="106"/>
  <c r="O77" i="106"/>
  <c r="N77" i="106"/>
  <c r="A77" i="106"/>
  <c r="V76" i="106"/>
  <c r="U76" i="106"/>
  <c r="T76" i="106"/>
  <c r="S76" i="106"/>
  <c r="R76" i="106"/>
  <c r="Q76" i="106"/>
  <c r="P76" i="106"/>
  <c r="O76" i="106"/>
  <c r="N76" i="106"/>
  <c r="A76" i="106"/>
  <c r="V75" i="106"/>
  <c r="U75" i="106"/>
  <c r="T75" i="106"/>
  <c r="S75" i="106"/>
  <c r="R75" i="106"/>
  <c r="Q75" i="106"/>
  <c r="P75" i="106"/>
  <c r="O75" i="106"/>
  <c r="N75" i="106"/>
  <c r="A75" i="106"/>
  <c r="V74" i="106"/>
  <c r="U74" i="106"/>
  <c r="T74" i="106"/>
  <c r="S74" i="106"/>
  <c r="R74" i="106"/>
  <c r="Q74" i="106"/>
  <c r="P74" i="106"/>
  <c r="O74" i="106"/>
  <c r="N74" i="106"/>
  <c r="A74" i="106"/>
  <c r="V73" i="106"/>
  <c r="U73" i="106"/>
  <c r="T73" i="106"/>
  <c r="S73" i="106"/>
  <c r="R73" i="106"/>
  <c r="Q73" i="106"/>
  <c r="P73" i="106"/>
  <c r="O73" i="106"/>
  <c r="N73" i="106"/>
  <c r="A73" i="106"/>
  <c r="V72" i="106"/>
  <c r="U72" i="106"/>
  <c r="T72" i="106"/>
  <c r="S72" i="106"/>
  <c r="R72" i="106"/>
  <c r="Q72" i="106"/>
  <c r="P72" i="106"/>
  <c r="O72" i="106"/>
  <c r="N72" i="106"/>
  <c r="A72" i="106"/>
  <c r="V71" i="106"/>
  <c r="U71" i="106"/>
  <c r="T71" i="106"/>
  <c r="S71" i="106"/>
  <c r="R71" i="106"/>
  <c r="Q71" i="106"/>
  <c r="P71" i="106"/>
  <c r="O71" i="106"/>
  <c r="N71" i="106"/>
  <c r="L71" i="106"/>
  <c r="K71" i="106"/>
  <c r="J71" i="106"/>
  <c r="I71" i="106"/>
  <c r="H71" i="106"/>
  <c r="G71" i="106"/>
  <c r="F71" i="106"/>
  <c r="E71" i="106"/>
  <c r="D71" i="106"/>
  <c r="C71" i="106"/>
  <c r="A71" i="106"/>
  <c r="V70" i="106"/>
  <c r="U70" i="106"/>
  <c r="T70" i="106"/>
  <c r="S70" i="106"/>
  <c r="R70" i="106"/>
  <c r="Q70" i="106"/>
  <c r="P70" i="106"/>
  <c r="O70" i="106"/>
  <c r="N70" i="106"/>
  <c r="A70" i="106"/>
  <c r="V69" i="106"/>
  <c r="U69" i="106"/>
  <c r="T69" i="106"/>
  <c r="S69" i="106"/>
  <c r="R69" i="106"/>
  <c r="Q69" i="106"/>
  <c r="P69" i="106"/>
  <c r="O69" i="106"/>
  <c r="N69" i="106"/>
  <c r="L69" i="106"/>
  <c r="K69" i="106"/>
  <c r="J69" i="106"/>
  <c r="I69" i="106"/>
  <c r="H69" i="106"/>
  <c r="G69" i="106"/>
  <c r="F69" i="106"/>
  <c r="E69" i="106"/>
  <c r="D69" i="106"/>
  <c r="C69" i="106"/>
  <c r="A69" i="106"/>
  <c r="V68" i="106"/>
  <c r="U68" i="106"/>
  <c r="T68" i="106"/>
  <c r="S68" i="106"/>
  <c r="R68" i="106"/>
  <c r="Q68" i="106"/>
  <c r="P68" i="106"/>
  <c r="O68" i="106"/>
  <c r="N68" i="106"/>
  <c r="C68" i="106"/>
  <c r="A68" i="106"/>
  <c r="V67" i="106"/>
  <c r="U67" i="106"/>
  <c r="T67" i="106"/>
  <c r="S67" i="106"/>
  <c r="R67" i="106"/>
  <c r="Q67" i="106"/>
  <c r="P67" i="106"/>
  <c r="O67" i="106"/>
  <c r="N67" i="106"/>
  <c r="A67" i="106"/>
  <c r="V66" i="106"/>
  <c r="U66" i="106"/>
  <c r="T66" i="106"/>
  <c r="S66" i="106"/>
  <c r="R66" i="106"/>
  <c r="Q66" i="106"/>
  <c r="P66" i="106"/>
  <c r="O66" i="106"/>
  <c r="N66" i="106"/>
  <c r="A66" i="106"/>
  <c r="V65" i="106"/>
  <c r="U65" i="106"/>
  <c r="T65" i="106"/>
  <c r="S65" i="106"/>
  <c r="R65" i="106"/>
  <c r="Q65" i="106"/>
  <c r="P65" i="106"/>
  <c r="O65" i="106"/>
  <c r="N65" i="106"/>
  <c r="C65" i="106"/>
  <c r="A65" i="106"/>
  <c r="V64" i="106"/>
  <c r="U64" i="106"/>
  <c r="T64" i="106"/>
  <c r="S64" i="106"/>
  <c r="R64" i="106"/>
  <c r="Q64" i="106"/>
  <c r="P64" i="106"/>
  <c r="O64" i="106"/>
  <c r="N64" i="106"/>
  <c r="C64" i="106"/>
  <c r="A64" i="106"/>
  <c r="V63" i="106"/>
  <c r="U63" i="106"/>
  <c r="T63" i="106"/>
  <c r="S63" i="106"/>
  <c r="R63" i="106"/>
  <c r="Q63" i="106"/>
  <c r="P63" i="106"/>
  <c r="O63" i="106"/>
  <c r="N63" i="106"/>
  <c r="A63" i="106"/>
  <c r="V62" i="106"/>
  <c r="U62" i="106"/>
  <c r="T62" i="106"/>
  <c r="S62" i="106"/>
  <c r="R62" i="106"/>
  <c r="Q62" i="106"/>
  <c r="P62" i="106"/>
  <c r="O62" i="106"/>
  <c r="N62" i="106"/>
  <c r="A62" i="106"/>
  <c r="V61" i="106"/>
  <c r="U61" i="106"/>
  <c r="T61" i="106"/>
  <c r="S61" i="106"/>
  <c r="R61" i="106"/>
  <c r="Q61" i="106"/>
  <c r="P61" i="106"/>
  <c r="O61" i="106"/>
  <c r="N61" i="106"/>
  <c r="A61" i="106"/>
  <c r="V60" i="106"/>
  <c r="U60" i="106"/>
  <c r="T60" i="106"/>
  <c r="S60" i="106"/>
  <c r="R60" i="106"/>
  <c r="Q60" i="106"/>
  <c r="P60" i="106"/>
  <c r="O60" i="106"/>
  <c r="N60" i="106"/>
  <c r="A60" i="106"/>
  <c r="V59" i="106"/>
  <c r="U59" i="106"/>
  <c r="T59" i="106"/>
  <c r="S59" i="106"/>
  <c r="R59" i="106"/>
  <c r="Q59" i="106"/>
  <c r="P59" i="106"/>
  <c r="O59" i="106"/>
  <c r="N59" i="106"/>
  <c r="A59" i="106"/>
  <c r="V58" i="106"/>
  <c r="U58" i="106"/>
  <c r="T58" i="106"/>
  <c r="S58" i="106"/>
  <c r="R58" i="106"/>
  <c r="Q58" i="106"/>
  <c r="P58" i="106"/>
  <c r="O58" i="106"/>
  <c r="N58" i="106"/>
  <c r="C58" i="106"/>
  <c r="A58" i="106"/>
  <c r="V57" i="106"/>
  <c r="U57" i="106"/>
  <c r="T57" i="106"/>
  <c r="S57" i="106"/>
  <c r="R57" i="106"/>
  <c r="Q57" i="106"/>
  <c r="P57" i="106"/>
  <c r="O57" i="106"/>
  <c r="N57" i="106"/>
  <c r="C57" i="106"/>
  <c r="A57" i="106"/>
  <c r="V56" i="106"/>
  <c r="U56" i="106"/>
  <c r="T56" i="106"/>
  <c r="S56" i="106"/>
  <c r="R56" i="106"/>
  <c r="Q56" i="106"/>
  <c r="P56" i="106"/>
  <c r="O56" i="106"/>
  <c r="N56" i="106"/>
  <c r="A56" i="106"/>
  <c r="V55" i="106"/>
  <c r="U55" i="106"/>
  <c r="T55" i="106"/>
  <c r="S55" i="106"/>
  <c r="R55" i="106"/>
  <c r="Q55" i="106"/>
  <c r="P55" i="106"/>
  <c r="O55" i="106"/>
  <c r="N55" i="106"/>
  <c r="A55" i="106"/>
  <c r="V54" i="106"/>
  <c r="U54" i="106"/>
  <c r="T54" i="106"/>
  <c r="S54" i="106"/>
  <c r="R54" i="106"/>
  <c r="Q54" i="106"/>
  <c r="P54" i="106"/>
  <c r="O54" i="106"/>
  <c r="N54" i="106"/>
  <c r="A54" i="106"/>
  <c r="V53" i="106"/>
  <c r="U53" i="106"/>
  <c r="T53" i="106"/>
  <c r="S53" i="106"/>
  <c r="R53" i="106"/>
  <c r="Q53" i="106"/>
  <c r="P53" i="106"/>
  <c r="O53" i="106"/>
  <c r="N53" i="106"/>
  <c r="L53" i="106"/>
  <c r="K53" i="106"/>
  <c r="J53" i="106"/>
  <c r="I53" i="106"/>
  <c r="H53" i="106"/>
  <c r="G53" i="106"/>
  <c r="F53" i="106"/>
  <c r="E53" i="106"/>
  <c r="D53" i="106"/>
  <c r="C53" i="106"/>
  <c r="A53" i="106"/>
  <c r="V52" i="106"/>
  <c r="U52" i="106"/>
  <c r="T52" i="106"/>
  <c r="S52" i="106"/>
  <c r="R52" i="106"/>
  <c r="Q52" i="106"/>
  <c r="P52" i="106"/>
  <c r="O52" i="106"/>
  <c r="N52" i="106"/>
  <c r="L52" i="106"/>
  <c r="K52" i="106"/>
  <c r="J52" i="106"/>
  <c r="I52" i="106"/>
  <c r="H52" i="106"/>
  <c r="G52" i="106"/>
  <c r="F52" i="106"/>
  <c r="E52" i="106"/>
  <c r="D52" i="106"/>
  <c r="C52" i="106"/>
  <c r="A52" i="106"/>
  <c r="V51" i="106"/>
  <c r="U51" i="106"/>
  <c r="T51" i="106"/>
  <c r="S51" i="106"/>
  <c r="R51" i="106"/>
  <c r="Q51" i="106"/>
  <c r="P51" i="106"/>
  <c r="O51" i="106"/>
  <c r="N51" i="106"/>
  <c r="A51" i="106"/>
  <c r="V50" i="106"/>
  <c r="U50" i="106"/>
  <c r="T50" i="106"/>
  <c r="S50" i="106"/>
  <c r="R50" i="106"/>
  <c r="Q50" i="106"/>
  <c r="P50" i="106"/>
  <c r="O50" i="106"/>
  <c r="N50" i="106"/>
  <c r="A50" i="106"/>
  <c r="V49" i="106"/>
  <c r="U49" i="106"/>
  <c r="T49" i="106"/>
  <c r="S49" i="106"/>
  <c r="R49" i="106"/>
  <c r="Q49" i="106"/>
  <c r="P49" i="106"/>
  <c r="O49" i="106"/>
  <c r="N49" i="106"/>
  <c r="A49" i="106"/>
  <c r="V48" i="106"/>
  <c r="U48" i="106"/>
  <c r="T48" i="106"/>
  <c r="S48" i="106"/>
  <c r="R48" i="106"/>
  <c r="Q48" i="106"/>
  <c r="P48" i="106"/>
  <c r="O48" i="106"/>
  <c r="N48" i="106"/>
  <c r="A48" i="106"/>
  <c r="V47" i="106"/>
  <c r="U47" i="106"/>
  <c r="T47" i="106"/>
  <c r="S47" i="106"/>
  <c r="R47" i="106"/>
  <c r="Q47" i="106"/>
  <c r="P47" i="106"/>
  <c r="O47" i="106"/>
  <c r="N47" i="106"/>
  <c r="A47" i="106"/>
  <c r="V46" i="106"/>
  <c r="U46" i="106"/>
  <c r="T46" i="106"/>
  <c r="S46" i="106"/>
  <c r="R46" i="106"/>
  <c r="Q46" i="106"/>
  <c r="P46" i="106"/>
  <c r="O46" i="106"/>
  <c r="N46" i="106"/>
  <c r="A46" i="106"/>
  <c r="V45" i="106"/>
  <c r="U45" i="106"/>
  <c r="T45" i="106"/>
  <c r="S45" i="106"/>
  <c r="R45" i="106"/>
  <c r="Q45" i="106"/>
  <c r="P45" i="106"/>
  <c r="O45" i="106"/>
  <c r="N45" i="106"/>
  <c r="A45" i="106"/>
  <c r="V44" i="106"/>
  <c r="U44" i="106"/>
  <c r="T44" i="106"/>
  <c r="S44" i="106"/>
  <c r="R44" i="106"/>
  <c r="Q44" i="106"/>
  <c r="P44" i="106"/>
  <c r="O44" i="106"/>
  <c r="N44" i="106"/>
  <c r="A44" i="106"/>
  <c r="V43" i="106"/>
  <c r="U43" i="106"/>
  <c r="T43" i="106"/>
  <c r="S43" i="106"/>
  <c r="R43" i="106"/>
  <c r="Q43" i="106"/>
  <c r="P43" i="106"/>
  <c r="O43" i="106"/>
  <c r="N43" i="106"/>
  <c r="L43" i="106"/>
  <c r="K43" i="106"/>
  <c r="J43" i="106"/>
  <c r="I43" i="106"/>
  <c r="H43" i="106"/>
  <c r="G43" i="106"/>
  <c r="F43" i="106"/>
  <c r="E43" i="106"/>
  <c r="D43" i="106"/>
  <c r="C43" i="106"/>
  <c r="A43" i="106"/>
  <c r="V42" i="106"/>
  <c r="U42" i="106"/>
  <c r="T42" i="106"/>
  <c r="S42" i="106"/>
  <c r="R42" i="106"/>
  <c r="Q42" i="106"/>
  <c r="P42" i="106"/>
  <c r="O42" i="106"/>
  <c r="N42" i="106"/>
  <c r="L42" i="106"/>
  <c r="K42" i="106"/>
  <c r="J42" i="106"/>
  <c r="I42" i="106"/>
  <c r="H42" i="106"/>
  <c r="G42" i="106"/>
  <c r="F42" i="106"/>
  <c r="E42" i="106"/>
  <c r="D42" i="106"/>
  <c r="C42" i="106"/>
  <c r="A42" i="106"/>
  <c r="V41" i="106"/>
  <c r="U41" i="106"/>
  <c r="T41" i="106"/>
  <c r="S41" i="106"/>
  <c r="R41" i="106"/>
  <c r="Q41" i="106"/>
  <c r="P41" i="106"/>
  <c r="O41" i="106"/>
  <c r="N41" i="106"/>
  <c r="L41" i="106"/>
  <c r="K41" i="106"/>
  <c r="J41" i="106"/>
  <c r="I41" i="106"/>
  <c r="H41" i="106"/>
  <c r="G41" i="106"/>
  <c r="F41" i="106"/>
  <c r="E41" i="106"/>
  <c r="D41" i="106"/>
  <c r="C41" i="106"/>
  <c r="A41" i="106"/>
  <c r="V40" i="106"/>
  <c r="U40" i="106"/>
  <c r="T40" i="106"/>
  <c r="S40" i="106"/>
  <c r="R40" i="106"/>
  <c r="Q40" i="106"/>
  <c r="P40" i="106"/>
  <c r="O40" i="106"/>
  <c r="N40" i="106"/>
  <c r="A40" i="106"/>
  <c r="V39" i="106"/>
  <c r="U39" i="106"/>
  <c r="T39" i="106"/>
  <c r="S39" i="106"/>
  <c r="R39" i="106"/>
  <c r="Q39" i="106"/>
  <c r="P39" i="106"/>
  <c r="O39" i="106"/>
  <c r="N39" i="106"/>
  <c r="L39" i="106"/>
  <c r="K39" i="106"/>
  <c r="J39" i="106"/>
  <c r="I39" i="106"/>
  <c r="H39" i="106"/>
  <c r="G39" i="106"/>
  <c r="F39" i="106"/>
  <c r="E39" i="106"/>
  <c r="D39" i="106"/>
  <c r="C39" i="106"/>
  <c r="A39" i="106"/>
  <c r="V38" i="106"/>
  <c r="U38" i="106"/>
  <c r="T38" i="106"/>
  <c r="S38" i="106"/>
  <c r="R38" i="106"/>
  <c r="Q38" i="106"/>
  <c r="P38" i="106"/>
  <c r="O38" i="106"/>
  <c r="N38" i="106"/>
  <c r="A38" i="106"/>
  <c r="V37" i="106"/>
  <c r="U37" i="106"/>
  <c r="T37" i="106"/>
  <c r="S37" i="106"/>
  <c r="R37" i="106"/>
  <c r="Q37" i="106"/>
  <c r="P37" i="106"/>
  <c r="O37" i="106"/>
  <c r="N37" i="106"/>
  <c r="L37" i="106"/>
  <c r="K37" i="106"/>
  <c r="J37" i="106"/>
  <c r="I37" i="106"/>
  <c r="H37" i="106"/>
  <c r="G37" i="106"/>
  <c r="F37" i="106"/>
  <c r="E37" i="106"/>
  <c r="D37" i="106"/>
  <c r="C37" i="106"/>
  <c r="A37" i="106"/>
  <c r="V36" i="106"/>
  <c r="U36" i="106"/>
  <c r="T36" i="106"/>
  <c r="S36" i="106"/>
  <c r="R36" i="106"/>
  <c r="Q36" i="106"/>
  <c r="P36" i="106"/>
  <c r="O36" i="106"/>
  <c r="N36" i="106"/>
  <c r="C36" i="106"/>
  <c r="A36" i="106"/>
  <c r="V35" i="106"/>
  <c r="U35" i="106"/>
  <c r="T35" i="106"/>
  <c r="S35" i="106"/>
  <c r="R35" i="106"/>
  <c r="Q35" i="106"/>
  <c r="P35" i="106"/>
  <c r="O35" i="106"/>
  <c r="N35" i="106"/>
  <c r="A35" i="106"/>
  <c r="V34" i="106"/>
  <c r="U34" i="106"/>
  <c r="T34" i="106"/>
  <c r="S34" i="106"/>
  <c r="R34" i="106"/>
  <c r="Q34" i="106"/>
  <c r="P34" i="106"/>
  <c r="O34" i="106"/>
  <c r="N34" i="106"/>
  <c r="L34" i="106"/>
  <c r="K34" i="106"/>
  <c r="J34" i="106"/>
  <c r="I34" i="106"/>
  <c r="H34" i="106"/>
  <c r="G34" i="106"/>
  <c r="F34" i="106"/>
  <c r="E34" i="106"/>
  <c r="D34" i="106"/>
  <c r="C34" i="106"/>
  <c r="A34" i="106"/>
  <c r="V33" i="106"/>
  <c r="U33" i="106"/>
  <c r="T33" i="106"/>
  <c r="S33" i="106"/>
  <c r="R33" i="106"/>
  <c r="Q33" i="106"/>
  <c r="P33" i="106"/>
  <c r="O33" i="106"/>
  <c r="N33" i="106"/>
  <c r="L33" i="106"/>
  <c r="K33" i="106"/>
  <c r="J33" i="106"/>
  <c r="I33" i="106"/>
  <c r="H33" i="106"/>
  <c r="G33" i="106"/>
  <c r="F33" i="106"/>
  <c r="E33" i="106"/>
  <c r="D33" i="106"/>
  <c r="T32" i="106"/>
  <c r="S32" i="106"/>
  <c r="V31" i="106"/>
  <c r="U31" i="106"/>
  <c r="T31" i="106"/>
  <c r="S31" i="106"/>
  <c r="R31" i="106"/>
  <c r="Q31" i="106"/>
  <c r="P31" i="106"/>
  <c r="O31" i="106"/>
  <c r="N31" i="106"/>
  <c r="M31" i="106"/>
  <c r="J20" i="106"/>
  <c r="I20" i="106"/>
  <c r="H20" i="106"/>
  <c r="G20" i="106"/>
  <c r="J19" i="106"/>
  <c r="I19" i="106"/>
  <c r="H19" i="106"/>
  <c r="G19" i="106"/>
  <c r="J18" i="106"/>
  <c r="I18" i="106"/>
  <c r="H18" i="106"/>
  <c r="G18" i="106"/>
  <c r="J17" i="106"/>
  <c r="I17" i="106"/>
  <c r="H17" i="106"/>
  <c r="G17" i="106"/>
  <c r="J16" i="106"/>
  <c r="I16" i="106"/>
  <c r="H16" i="106"/>
  <c r="G16" i="106"/>
  <c r="J15" i="106"/>
  <c r="I15" i="106"/>
  <c r="H15" i="106"/>
  <c r="G15" i="106"/>
  <c r="J14" i="106"/>
  <c r="I14" i="106"/>
  <c r="H14" i="106"/>
  <c r="G14" i="106"/>
  <c r="J13" i="106"/>
  <c r="I13" i="106"/>
  <c r="H13" i="106"/>
  <c r="G13" i="106"/>
  <c r="J12" i="106"/>
  <c r="I12" i="106"/>
  <c r="H12" i="106"/>
  <c r="G12" i="106"/>
  <c r="J11" i="106"/>
  <c r="H11" i="106"/>
  <c r="G11" i="106"/>
  <c r="E7" i="106"/>
  <c r="B7" i="106"/>
  <c r="I11" i="106" s="1"/>
  <c r="C33" i="106" s="1"/>
  <c r="M33" i="106" s="1"/>
  <c r="F160" i="75"/>
  <c r="E160" i="75"/>
  <c r="C160" i="75"/>
  <c r="B160" i="75"/>
  <c r="V103" i="75"/>
  <c r="U103" i="75"/>
  <c r="T103" i="75"/>
  <c r="S103" i="75"/>
  <c r="R103" i="75"/>
  <c r="Q103" i="75"/>
  <c r="P103" i="75"/>
  <c r="O103" i="75"/>
  <c r="N103" i="75"/>
  <c r="A103" i="75"/>
  <c r="V102" i="75"/>
  <c r="U102" i="75"/>
  <c r="T102" i="75"/>
  <c r="S102" i="75"/>
  <c r="R102" i="75"/>
  <c r="Q102" i="75"/>
  <c r="P102" i="75"/>
  <c r="O102" i="75"/>
  <c r="N102" i="75"/>
  <c r="A102" i="75"/>
  <c r="V101" i="75"/>
  <c r="U101" i="75"/>
  <c r="T101" i="75"/>
  <c r="S101" i="75"/>
  <c r="R101" i="75"/>
  <c r="Q101" i="75"/>
  <c r="P101" i="75"/>
  <c r="O101" i="75"/>
  <c r="N101" i="75"/>
  <c r="A101" i="75"/>
  <c r="V100" i="75"/>
  <c r="U100" i="75"/>
  <c r="T100" i="75"/>
  <c r="S100" i="75"/>
  <c r="R100" i="75"/>
  <c r="Q100" i="75"/>
  <c r="P100" i="75"/>
  <c r="O100" i="75"/>
  <c r="N100" i="75"/>
  <c r="A100" i="75"/>
  <c r="V99" i="75"/>
  <c r="U99" i="75"/>
  <c r="T99" i="75"/>
  <c r="S99" i="75"/>
  <c r="R99" i="75"/>
  <c r="Q99" i="75"/>
  <c r="P99" i="75"/>
  <c r="O99" i="75"/>
  <c r="N99" i="75"/>
  <c r="A99" i="75"/>
  <c r="V98" i="75"/>
  <c r="U98" i="75"/>
  <c r="T98" i="75"/>
  <c r="S98" i="75"/>
  <c r="R98" i="75"/>
  <c r="Q98" i="75"/>
  <c r="P98" i="75"/>
  <c r="O98" i="75"/>
  <c r="N98" i="75"/>
  <c r="A98" i="75"/>
  <c r="V97" i="75"/>
  <c r="U97" i="75"/>
  <c r="T97" i="75"/>
  <c r="S97" i="75"/>
  <c r="R97" i="75"/>
  <c r="Q97" i="75"/>
  <c r="P97" i="75"/>
  <c r="O97" i="75"/>
  <c r="N97" i="75"/>
  <c r="A97" i="75"/>
  <c r="V96" i="75"/>
  <c r="U96" i="75"/>
  <c r="T96" i="75"/>
  <c r="S96" i="75"/>
  <c r="R96" i="75"/>
  <c r="Q96" i="75"/>
  <c r="P96" i="75"/>
  <c r="O96" i="75"/>
  <c r="N96" i="75"/>
  <c r="A96" i="75"/>
  <c r="V95" i="75"/>
  <c r="U95" i="75"/>
  <c r="T95" i="75"/>
  <c r="S95" i="75"/>
  <c r="R95" i="75"/>
  <c r="Q95" i="75"/>
  <c r="P95" i="75"/>
  <c r="O95" i="75"/>
  <c r="N95" i="75"/>
  <c r="A95" i="75"/>
  <c r="V94" i="75"/>
  <c r="U94" i="75"/>
  <c r="T94" i="75"/>
  <c r="S94" i="75"/>
  <c r="R94" i="75"/>
  <c r="Q94" i="75"/>
  <c r="P94" i="75"/>
  <c r="O94" i="75"/>
  <c r="N94" i="75"/>
  <c r="A94" i="75"/>
  <c r="V93" i="75"/>
  <c r="U93" i="75"/>
  <c r="T93" i="75"/>
  <c r="S93" i="75"/>
  <c r="R93" i="75"/>
  <c r="Q93" i="75"/>
  <c r="P93" i="75"/>
  <c r="O93" i="75"/>
  <c r="N93" i="75"/>
  <c r="A93" i="75"/>
  <c r="V92" i="75"/>
  <c r="U92" i="75"/>
  <c r="T92" i="75"/>
  <c r="S92" i="75"/>
  <c r="R92" i="75"/>
  <c r="Q92" i="75"/>
  <c r="P92" i="75"/>
  <c r="O92" i="75"/>
  <c r="N92" i="75"/>
  <c r="A92" i="75"/>
  <c r="V91" i="75"/>
  <c r="U91" i="75"/>
  <c r="T91" i="75"/>
  <c r="S91" i="75"/>
  <c r="R91" i="75"/>
  <c r="Q91" i="75"/>
  <c r="P91" i="75"/>
  <c r="O91" i="75"/>
  <c r="N91" i="75"/>
  <c r="A91" i="75"/>
  <c r="V90" i="75"/>
  <c r="U90" i="75"/>
  <c r="T90" i="75"/>
  <c r="S90" i="75"/>
  <c r="R90" i="75"/>
  <c r="Q90" i="75"/>
  <c r="P90" i="75"/>
  <c r="O90" i="75"/>
  <c r="N90" i="75"/>
  <c r="A90" i="75"/>
  <c r="V89" i="75"/>
  <c r="U89" i="75"/>
  <c r="T89" i="75"/>
  <c r="S89" i="75"/>
  <c r="R89" i="75"/>
  <c r="Q89" i="75"/>
  <c r="P89" i="75"/>
  <c r="O89" i="75"/>
  <c r="N89" i="75"/>
  <c r="A89" i="75"/>
  <c r="V88" i="75"/>
  <c r="U88" i="75"/>
  <c r="T88" i="75"/>
  <c r="S88" i="75"/>
  <c r="R88" i="75"/>
  <c r="Q88" i="75"/>
  <c r="P88" i="75"/>
  <c r="O88" i="75"/>
  <c r="N88" i="75"/>
  <c r="A88" i="75"/>
  <c r="V87" i="75"/>
  <c r="U87" i="75"/>
  <c r="T87" i="75"/>
  <c r="S87" i="75"/>
  <c r="R87" i="75"/>
  <c r="Q87" i="75"/>
  <c r="P87" i="75"/>
  <c r="O87" i="75"/>
  <c r="N87" i="75"/>
  <c r="A87" i="75"/>
  <c r="V86" i="75"/>
  <c r="U86" i="75"/>
  <c r="T86" i="75"/>
  <c r="S86" i="75"/>
  <c r="R86" i="75"/>
  <c r="Q86" i="75"/>
  <c r="P86" i="75"/>
  <c r="O86" i="75"/>
  <c r="N86" i="75"/>
  <c r="A86" i="75"/>
  <c r="V85" i="75"/>
  <c r="U85" i="75"/>
  <c r="T85" i="75"/>
  <c r="S85" i="75"/>
  <c r="R85" i="75"/>
  <c r="Q85" i="75"/>
  <c r="P85" i="75"/>
  <c r="O85" i="75"/>
  <c r="N85" i="75"/>
  <c r="A85" i="75"/>
  <c r="V84" i="75"/>
  <c r="U84" i="75"/>
  <c r="T84" i="75"/>
  <c r="S84" i="75"/>
  <c r="R84" i="75"/>
  <c r="Q84" i="75"/>
  <c r="P84" i="75"/>
  <c r="O84" i="75"/>
  <c r="N84" i="75"/>
  <c r="A84" i="75"/>
  <c r="V83" i="75"/>
  <c r="U83" i="75"/>
  <c r="T83" i="75"/>
  <c r="S83" i="75"/>
  <c r="R83" i="75"/>
  <c r="Q83" i="75"/>
  <c r="P83" i="75"/>
  <c r="O83" i="75"/>
  <c r="N83" i="75"/>
  <c r="A83" i="75"/>
  <c r="V82" i="75"/>
  <c r="U82" i="75"/>
  <c r="T82" i="75"/>
  <c r="S82" i="75"/>
  <c r="R82" i="75"/>
  <c r="Q82" i="75"/>
  <c r="P82" i="75"/>
  <c r="O82" i="75"/>
  <c r="N82" i="75"/>
  <c r="L82" i="75"/>
  <c r="K82" i="75"/>
  <c r="J82" i="75"/>
  <c r="I82" i="75"/>
  <c r="H82" i="75"/>
  <c r="G82" i="75"/>
  <c r="F82" i="75"/>
  <c r="A82" i="75"/>
  <c r="V81" i="75"/>
  <c r="U81" i="75"/>
  <c r="T81" i="75"/>
  <c r="S81" i="75"/>
  <c r="R81" i="75"/>
  <c r="Q81" i="75"/>
  <c r="P81" i="75"/>
  <c r="O81" i="75"/>
  <c r="N81" i="75"/>
  <c r="A81" i="75"/>
  <c r="V80" i="75"/>
  <c r="U80" i="75"/>
  <c r="T80" i="75"/>
  <c r="S80" i="75"/>
  <c r="R80" i="75"/>
  <c r="Q80" i="75"/>
  <c r="P80" i="75"/>
  <c r="O80" i="75"/>
  <c r="N80" i="75"/>
  <c r="A80" i="75"/>
  <c r="V79" i="75"/>
  <c r="U79" i="75"/>
  <c r="T79" i="75"/>
  <c r="S79" i="75"/>
  <c r="R79" i="75"/>
  <c r="Q79" i="75"/>
  <c r="P79" i="75"/>
  <c r="O79" i="75"/>
  <c r="N79" i="75"/>
  <c r="A79" i="75"/>
  <c r="V78" i="75"/>
  <c r="U78" i="75"/>
  <c r="T78" i="75"/>
  <c r="S78" i="75"/>
  <c r="R78" i="75"/>
  <c r="Q78" i="75"/>
  <c r="P78" i="75"/>
  <c r="O78" i="75"/>
  <c r="N78" i="75"/>
  <c r="A78" i="75"/>
  <c r="V77" i="75"/>
  <c r="U77" i="75"/>
  <c r="T77" i="75"/>
  <c r="S77" i="75"/>
  <c r="R77" i="75"/>
  <c r="Q77" i="75"/>
  <c r="P77" i="75"/>
  <c r="O77" i="75"/>
  <c r="N77" i="75"/>
  <c r="A77" i="75"/>
  <c r="V76" i="75"/>
  <c r="U76" i="75"/>
  <c r="T76" i="75"/>
  <c r="S76" i="75"/>
  <c r="R76" i="75"/>
  <c r="Q76" i="75"/>
  <c r="P76" i="75"/>
  <c r="O76" i="75"/>
  <c r="N76" i="75"/>
  <c r="A76" i="75"/>
  <c r="V75" i="75"/>
  <c r="U75" i="75"/>
  <c r="T75" i="75"/>
  <c r="S75" i="75"/>
  <c r="R75" i="75"/>
  <c r="Q75" i="75"/>
  <c r="P75" i="75"/>
  <c r="O75" i="75"/>
  <c r="N75" i="75"/>
  <c r="A75" i="75"/>
  <c r="V74" i="75"/>
  <c r="U74" i="75"/>
  <c r="T74" i="75"/>
  <c r="S74" i="75"/>
  <c r="R74" i="75"/>
  <c r="Q74" i="75"/>
  <c r="P74" i="75"/>
  <c r="O74" i="75"/>
  <c r="N74" i="75"/>
  <c r="A74" i="75"/>
  <c r="V73" i="75"/>
  <c r="U73" i="75"/>
  <c r="T73" i="75"/>
  <c r="S73" i="75"/>
  <c r="R73" i="75"/>
  <c r="Q73" i="75"/>
  <c r="P73" i="75"/>
  <c r="O73" i="75"/>
  <c r="N73" i="75"/>
  <c r="A73" i="75"/>
  <c r="V72" i="75"/>
  <c r="U72" i="75"/>
  <c r="T72" i="75"/>
  <c r="S72" i="75"/>
  <c r="R72" i="75"/>
  <c r="Q72" i="75"/>
  <c r="P72" i="75"/>
  <c r="O72" i="75"/>
  <c r="N72" i="75"/>
  <c r="A72" i="75"/>
  <c r="V71" i="75"/>
  <c r="U71" i="75"/>
  <c r="T71" i="75"/>
  <c r="S71" i="75"/>
  <c r="R71" i="75"/>
  <c r="Q71" i="75"/>
  <c r="P71" i="75"/>
  <c r="O71" i="75"/>
  <c r="N71" i="75"/>
  <c r="L71" i="75"/>
  <c r="K71" i="75"/>
  <c r="J71" i="75"/>
  <c r="I71" i="75"/>
  <c r="H71" i="75"/>
  <c r="G71" i="75"/>
  <c r="F71" i="75"/>
  <c r="E71" i="75"/>
  <c r="D71" i="75"/>
  <c r="C71" i="75"/>
  <c r="A71" i="75"/>
  <c r="V70" i="75"/>
  <c r="U70" i="75"/>
  <c r="T70" i="75"/>
  <c r="S70" i="75"/>
  <c r="R70" i="75"/>
  <c r="Q70" i="75"/>
  <c r="P70" i="75"/>
  <c r="O70" i="75"/>
  <c r="N70" i="75"/>
  <c r="A70" i="75"/>
  <c r="V69" i="75"/>
  <c r="U69" i="75"/>
  <c r="T69" i="75"/>
  <c r="S69" i="75"/>
  <c r="R69" i="75"/>
  <c r="Q69" i="75"/>
  <c r="P69" i="75"/>
  <c r="O69" i="75"/>
  <c r="N69" i="75"/>
  <c r="L69" i="75"/>
  <c r="K69" i="75"/>
  <c r="J69" i="75"/>
  <c r="I69" i="75"/>
  <c r="H69" i="75"/>
  <c r="G69" i="75"/>
  <c r="F69" i="75"/>
  <c r="E69" i="75"/>
  <c r="D69" i="75"/>
  <c r="C69" i="75"/>
  <c r="A69" i="75"/>
  <c r="V68" i="75"/>
  <c r="U68" i="75"/>
  <c r="T68" i="75"/>
  <c r="S68" i="75"/>
  <c r="R68" i="75"/>
  <c r="Q68" i="75"/>
  <c r="P68" i="75"/>
  <c r="O68" i="75"/>
  <c r="N68" i="75"/>
  <c r="C68" i="75"/>
  <c r="A68" i="75"/>
  <c r="V67" i="75"/>
  <c r="U67" i="75"/>
  <c r="T67" i="75"/>
  <c r="S67" i="75"/>
  <c r="R67" i="75"/>
  <c r="Q67" i="75"/>
  <c r="P67" i="75"/>
  <c r="O67" i="75"/>
  <c r="N67" i="75"/>
  <c r="A67" i="75"/>
  <c r="V66" i="75"/>
  <c r="U66" i="75"/>
  <c r="T66" i="75"/>
  <c r="S66" i="75"/>
  <c r="R66" i="75"/>
  <c r="Q66" i="75"/>
  <c r="P66" i="75"/>
  <c r="O66" i="75"/>
  <c r="N66" i="75"/>
  <c r="A66" i="75"/>
  <c r="V65" i="75"/>
  <c r="U65" i="75"/>
  <c r="T65" i="75"/>
  <c r="S65" i="75"/>
  <c r="R65" i="75"/>
  <c r="Q65" i="75"/>
  <c r="P65" i="75"/>
  <c r="O65" i="75"/>
  <c r="N65" i="75"/>
  <c r="C65" i="75"/>
  <c r="A65" i="75"/>
  <c r="V64" i="75"/>
  <c r="U64" i="75"/>
  <c r="T64" i="75"/>
  <c r="S64" i="75"/>
  <c r="R64" i="75"/>
  <c r="Q64" i="75"/>
  <c r="P64" i="75"/>
  <c r="O64" i="75"/>
  <c r="N64" i="75"/>
  <c r="C64" i="75"/>
  <c r="A64" i="75"/>
  <c r="V63" i="75"/>
  <c r="U63" i="75"/>
  <c r="T63" i="75"/>
  <c r="S63" i="75"/>
  <c r="R63" i="75"/>
  <c r="Q63" i="75"/>
  <c r="P63" i="75"/>
  <c r="O63" i="75"/>
  <c r="N63" i="75"/>
  <c r="A63" i="75"/>
  <c r="V62" i="75"/>
  <c r="U62" i="75"/>
  <c r="T62" i="75"/>
  <c r="S62" i="75"/>
  <c r="R62" i="75"/>
  <c r="Q62" i="75"/>
  <c r="P62" i="75"/>
  <c r="O62" i="75"/>
  <c r="N62" i="75"/>
  <c r="A62" i="75"/>
  <c r="V61" i="75"/>
  <c r="U61" i="75"/>
  <c r="T61" i="75"/>
  <c r="S61" i="75"/>
  <c r="R61" i="75"/>
  <c r="Q61" i="75"/>
  <c r="P61" i="75"/>
  <c r="O61" i="75"/>
  <c r="N61" i="75"/>
  <c r="A61" i="75"/>
  <c r="V60" i="75"/>
  <c r="U60" i="75"/>
  <c r="T60" i="75"/>
  <c r="S60" i="75"/>
  <c r="R60" i="75"/>
  <c r="Q60" i="75"/>
  <c r="P60" i="75"/>
  <c r="O60" i="75"/>
  <c r="N60" i="75"/>
  <c r="A60" i="75"/>
  <c r="V59" i="75"/>
  <c r="U59" i="75"/>
  <c r="T59" i="75"/>
  <c r="S59" i="75"/>
  <c r="R59" i="75"/>
  <c r="Q59" i="75"/>
  <c r="P59" i="75"/>
  <c r="O59" i="75"/>
  <c r="N59" i="75"/>
  <c r="A59" i="75"/>
  <c r="V58" i="75"/>
  <c r="U58" i="75"/>
  <c r="T58" i="75"/>
  <c r="S58" i="75"/>
  <c r="R58" i="75"/>
  <c r="Q58" i="75"/>
  <c r="P58" i="75"/>
  <c r="O58" i="75"/>
  <c r="N58" i="75"/>
  <c r="C58" i="75"/>
  <c r="A58" i="75"/>
  <c r="V57" i="75"/>
  <c r="U57" i="75"/>
  <c r="T57" i="75"/>
  <c r="S57" i="75"/>
  <c r="R57" i="75"/>
  <c r="Q57" i="75"/>
  <c r="P57" i="75"/>
  <c r="O57" i="75"/>
  <c r="N57" i="75"/>
  <c r="C57" i="75"/>
  <c r="A57" i="75"/>
  <c r="V56" i="75"/>
  <c r="U56" i="75"/>
  <c r="T56" i="75"/>
  <c r="S56" i="75"/>
  <c r="R56" i="75"/>
  <c r="Q56" i="75"/>
  <c r="P56" i="75"/>
  <c r="O56" i="75"/>
  <c r="N56" i="75"/>
  <c r="A56" i="75"/>
  <c r="V55" i="75"/>
  <c r="U55" i="75"/>
  <c r="T55" i="75"/>
  <c r="S55" i="75"/>
  <c r="R55" i="75"/>
  <c r="Q55" i="75"/>
  <c r="P55" i="75"/>
  <c r="O55" i="75"/>
  <c r="N55" i="75"/>
  <c r="A55" i="75"/>
  <c r="V54" i="75"/>
  <c r="U54" i="75"/>
  <c r="T54" i="75"/>
  <c r="S54" i="75"/>
  <c r="R54" i="75"/>
  <c r="Q54" i="75"/>
  <c r="P54" i="75"/>
  <c r="O54" i="75"/>
  <c r="N54" i="75"/>
  <c r="A54" i="75"/>
  <c r="V53" i="75"/>
  <c r="U53" i="75"/>
  <c r="T53" i="75"/>
  <c r="S53" i="75"/>
  <c r="R53" i="75"/>
  <c r="Q53" i="75"/>
  <c r="P53" i="75"/>
  <c r="O53" i="75"/>
  <c r="N53" i="75"/>
  <c r="L53" i="75"/>
  <c r="K53" i="75"/>
  <c r="J53" i="75"/>
  <c r="I53" i="75"/>
  <c r="H53" i="75"/>
  <c r="G53" i="75"/>
  <c r="F53" i="75"/>
  <c r="E53" i="75"/>
  <c r="D53" i="75"/>
  <c r="C53" i="75"/>
  <c r="A53" i="75"/>
  <c r="V52" i="75"/>
  <c r="U52" i="75"/>
  <c r="T52" i="75"/>
  <c r="S52" i="75"/>
  <c r="R52" i="75"/>
  <c r="Q52" i="75"/>
  <c r="P52" i="75"/>
  <c r="O52" i="75"/>
  <c r="N52" i="75"/>
  <c r="L52" i="75"/>
  <c r="K52" i="75"/>
  <c r="J52" i="75"/>
  <c r="I52" i="75"/>
  <c r="H52" i="75"/>
  <c r="G52" i="75"/>
  <c r="F52" i="75"/>
  <c r="E52" i="75"/>
  <c r="D52" i="75"/>
  <c r="C52" i="75"/>
  <c r="A52" i="75"/>
  <c r="V51" i="75"/>
  <c r="U51" i="75"/>
  <c r="T51" i="75"/>
  <c r="S51" i="75"/>
  <c r="R51" i="75"/>
  <c r="Q51" i="75"/>
  <c r="P51" i="75"/>
  <c r="O51" i="75"/>
  <c r="N51" i="75"/>
  <c r="A51" i="75"/>
  <c r="V50" i="75"/>
  <c r="U50" i="75"/>
  <c r="T50" i="75"/>
  <c r="S50" i="75"/>
  <c r="R50" i="75"/>
  <c r="Q50" i="75"/>
  <c r="P50" i="75"/>
  <c r="O50" i="75"/>
  <c r="N50" i="75"/>
  <c r="A50" i="75"/>
  <c r="V49" i="75"/>
  <c r="U49" i="75"/>
  <c r="T49" i="75"/>
  <c r="S49" i="75"/>
  <c r="R49" i="75"/>
  <c r="Q49" i="75"/>
  <c r="P49" i="75"/>
  <c r="O49" i="75"/>
  <c r="N49" i="75"/>
  <c r="A49" i="75"/>
  <c r="V48" i="75"/>
  <c r="U48" i="75"/>
  <c r="T48" i="75"/>
  <c r="S48" i="75"/>
  <c r="R48" i="75"/>
  <c r="Q48" i="75"/>
  <c r="P48" i="75"/>
  <c r="O48" i="75"/>
  <c r="N48" i="75"/>
  <c r="A48" i="75"/>
  <c r="V47" i="75"/>
  <c r="U47" i="75"/>
  <c r="T47" i="75"/>
  <c r="S47" i="75"/>
  <c r="R47" i="75"/>
  <c r="Q47" i="75"/>
  <c r="P47" i="75"/>
  <c r="O47" i="75"/>
  <c r="N47" i="75"/>
  <c r="A47" i="75"/>
  <c r="V46" i="75"/>
  <c r="U46" i="75"/>
  <c r="T46" i="75"/>
  <c r="S46" i="75"/>
  <c r="R46" i="75"/>
  <c r="Q46" i="75"/>
  <c r="P46" i="75"/>
  <c r="O46" i="75"/>
  <c r="N46" i="75"/>
  <c r="A46" i="75"/>
  <c r="V45" i="75"/>
  <c r="U45" i="75"/>
  <c r="T45" i="75"/>
  <c r="S45" i="75"/>
  <c r="R45" i="75"/>
  <c r="Q45" i="75"/>
  <c r="P45" i="75"/>
  <c r="O45" i="75"/>
  <c r="N45" i="75"/>
  <c r="A45" i="75"/>
  <c r="V44" i="75"/>
  <c r="U44" i="75"/>
  <c r="T44" i="75"/>
  <c r="S44" i="75"/>
  <c r="R44" i="75"/>
  <c r="Q44" i="75"/>
  <c r="P44" i="75"/>
  <c r="O44" i="75"/>
  <c r="N44" i="75"/>
  <c r="A44" i="75"/>
  <c r="V43" i="75"/>
  <c r="U43" i="75"/>
  <c r="T43" i="75"/>
  <c r="S43" i="75"/>
  <c r="R43" i="75"/>
  <c r="Q43" i="75"/>
  <c r="P43" i="75"/>
  <c r="O43" i="75"/>
  <c r="N43" i="75"/>
  <c r="L43" i="75"/>
  <c r="K43" i="75"/>
  <c r="J43" i="75"/>
  <c r="I43" i="75"/>
  <c r="H43" i="75"/>
  <c r="G43" i="75"/>
  <c r="F43" i="75"/>
  <c r="E43" i="75"/>
  <c r="D43" i="75"/>
  <c r="C43" i="75"/>
  <c r="A43" i="75"/>
  <c r="V42" i="75"/>
  <c r="U42" i="75"/>
  <c r="T42" i="75"/>
  <c r="S42" i="75"/>
  <c r="R42" i="75"/>
  <c r="Q42" i="75"/>
  <c r="P42" i="75"/>
  <c r="O42" i="75"/>
  <c r="N42" i="75"/>
  <c r="L42" i="75"/>
  <c r="K42" i="75"/>
  <c r="J42" i="75"/>
  <c r="I42" i="75"/>
  <c r="H42" i="75"/>
  <c r="G42" i="75"/>
  <c r="F42" i="75"/>
  <c r="E42" i="75"/>
  <c r="D42" i="75"/>
  <c r="C42" i="75"/>
  <c r="A42" i="75"/>
  <c r="V41" i="75"/>
  <c r="U41" i="75"/>
  <c r="T41" i="75"/>
  <c r="S41" i="75"/>
  <c r="R41" i="75"/>
  <c r="Q41" i="75"/>
  <c r="P41" i="75"/>
  <c r="O41" i="75"/>
  <c r="N41" i="75"/>
  <c r="L41" i="75"/>
  <c r="K41" i="75"/>
  <c r="J41" i="75"/>
  <c r="I41" i="75"/>
  <c r="H41" i="75"/>
  <c r="G41" i="75"/>
  <c r="F41" i="75"/>
  <c r="E41" i="75"/>
  <c r="D41" i="75"/>
  <c r="C41" i="75"/>
  <c r="A41" i="75"/>
  <c r="V40" i="75"/>
  <c r="U40" i="75"/>
  <c r="T40" i="75"/>
  <c r="S40" i="75"/>
  <c r="R40" i="75"/>
  <c r="Q40" i="75"/>
  <c r="P40" i="75"/>
  <c r="O40" i="75"/>
  <c r="N40" i="75"/>
  <c r="A40" i="75"/>
  <c r="V39" i="75"/>
  <c r="U39" i="75"/>
  <c r="T39" i="75"/>
  <c r="S39" i="75"/>
  <c r="R39" i="75"/>
  <c r="Q39" i="75"/>
  <c r="P39" i="75"/>
  <c r="O39" i="75"/>
  <c r="N39" i="75"/>
  <c r="L39" i="75"/>
  <c r="K39" i="75"/>
  <c r="J39" i="75"/>
  <c r="I39" i="75"/>
  <c r="H39" i="75"/>
  <c r="G39" i="75"/>
  <c r="F39" i="75"/>
  <c r="E39" i="75"/>
  <c r="D39" i="75"/>
  <c r="C39" i="75"/>
  <c r="A39" i="75"/>
  <c r="V38" i="75"/>
  <c r="U38" i="75"/>
  <c r="T38" i="75"/>
  <c r="S38" i="75"/>
  <c r="R38" i="75"/>
  <c r="Q38" i="75"/>
  <c r="P38" i="75"/>
  <c r="O38" i="75"/>
  <c r="N38" i="75"/>
  <c r="A38" i="75"/>
  <c r="V37" i="75"/>
  <c r="U37" i="75"/>
  <c r="T37" i="75"/>
  <c r="S37" i="75"/>
  <c r="R37" i="75"/>
  <c r="Q37" i="75"/>
  <c r="P37" i="75"/>
  <c r="O37" i="75"/>
  <c r="N37" i="75"/>
  <c r="L37" i="75"/>
  <c r="K37" i="75"/>
  <c r="J37" i="75"/>
  <c r="I37" i="75"/>
  <c r="H37" i="75"/>
  <c r="G37" i="75"/>
  <c r="F37" i="75"/>
  <c r="E37" i="75"/>
  <c r="D37" i="75"/>
  <c r="C37" i="75"/>
  <c r="A37" i="75"/>
  <c r="V36" i="75"/>
  <c r="U36" i="75"/>
  <c r="T36" i="75"/>
  <c r="S36" i="75"/>
  <c r="R36" i="75"/>
  <c r="Q36" i="75"/>
  <c r="P36" i="75"/>
  <c r="O36" i="75"/>
  <c r="N36" i="75"/>
  <c r="A36" i="75"/>
  <c r="V35" i="75"/>
  <c r="U35" i="75"/>
  <c r="T35" i="75"/>
  <c r="S35" i="75"/>
  <c r="R35" i="75"/>
  <c r="Q35" i="75"/>
  <c r="P35" i="75"/>
  <c r="O35" i="75"/>
  <c r="N35" i="75"/>
  <c r="A35" i="75"/>
  <c r="V34" i="75"/>
  <c r="U34" i="75"/>
  <c r="T34" i="75"/>
  <c r="S34" i="75"/>
  <c r="R34" i="75"/>
  <c r="Q34" i="75"/>
  <c r="P34" i="75"/>
  <c r="O34" i="75"/>
  <c r="N34" i="75"/>
  <c r="L34" i="75"/>
  <c r="K34" i="75"/>
  <c r="J34" i="75"/>
  <c r="I34" i="75"/>
  <c r="H34" i="75"/>
  <c r="G34" i="75"/>
  <c r="F34" i="75"/>
  <c r="E34" i="75"/>
  <c r="D34" i="75"/>
  <c r="C34" i="75"/>
  <c r="A34" i="75"/>
  <c r="V33" i="75"/>
  <c r="U33" i="75"/>
  <c r="T33" i="75"/>
  <c r="S33" i="75"/>
  <c r="R33" i="75"/>
  <c r="Q33" i="75"/>
  <c r="P33" i="75"/>
  <c r="O33" i="75"/>
  <c r="N33" i="75"/>
  <c r="L33" i="75"/>
  <c r="K33" i="75"/>
  <c r="J33" i="75"/>
  <c r="I33" i="75"/>
  <c r="H33" i="75"/>
  <c r="G33" i="75"/>
  <c r="F33" i="75"/>
  <c r="E33" i="75"/>
  <c r="D33" i="75"/>
  <c r="T32" i="75"/>
  <c r="S32" i="75"/>
  <c r="V31" i="75"/>
  <c r="U31" i="75"/>
  <c r="T31" i="75"/>
  <c r="S31" i="75"/>
  <c r="R31" i="75"/>
  <c r="Q31" i="75"/>
  <c r="P31" i="75"/>
  <c r="O31" i="75"/>
  <c r="N31" i="75"/>
  <c r="M31" i="75"/>
  <c r="J20" i="75"/>
  <c r="I20" i="75"/>
  <c r="H20" i="75"/>
  <c r="G20" i="75"/>
  <c r="J19" i="75"/>
  <c r="I19" i="75"/>
  <c r="H19" i="75"/>
  <c r="G19" i="75"/>
  <c r="J18" i="75"/>
  <c r="I18" i="75"/>
  <c r="H18" i="75"/>
  <c r="G18" i="75"/>
  <c r="J17" i="75"/>
  <c r="I17" i="75"/>
  <c r="H17" i="75"/>
  <c r="G17" i="75"/>
  <c r="J16" i="75"/>
  <c r="I16" i="75"/>
  <c r="H16" i="75"/>
  <c r="G16" i="75"/>
  <c r="J15" i="75"/>
  <c r="I15" i="75"/>
  <c r="H15" i="75"/>
  <c r="G15" i="75"/>
  <c r="J14" i="75"/>
  <c r="I14" i="75"/>
  <c r="H14" i="75"/>
  <c r="G14" i="75"/>
  <c r="J13" i="75"/>
  <c r="I13" i="75"/>
  <c r="H13" i="75"/>
  <c r="G13" i="75"/>
  <c r="J12" i="75"/>
  <c r="I12" i="75"/>
  <c r="H12" i="75"/>
  <c r="G12" i="75"/>
  <c r="J11" i="75"/>
  <c r="H11" i="75"/>
  <c r="G11" i="75"/>
  <c r="E7" i="75"/>
  <c r="B7" i="75"/>
  <c r="I11" i="75" s="1"/>
  <c r="C33" i="75" s="1"/>
  <c r="M33" i="75" s="1"/>
  <c r="H148" i="105"/>
  <c r="G148" i="105"/>
  <c r="F148" i="105"/>
  <c r="E148" i="105"/>
  <c r="D148" i="105"/>
  <c r="I147" i="105"/>
  <c r="H147" i="105"/>
  <c r="D147" i="105"/>
  <c r="I146" i="105"/>
  <c r="H146" i="105"/>
  <c r="D146" i="105"/>
  <c r="I145" i="105"/>
  <c r="H145" i="105"/>
  <c r="D145" i="105"/>
  <c r="I144" i="105"/>
  <c r="H144" i="105"/>
  <c r="D144" i="105"/>
  <c r="I143" i="105"/>
  <c r="H143" i="105"/>
  <c r="D143" i="105"/>
  <c r="I142" i="105"/>
  <c r="H142" i="105"/>
  <c r="D142" i="105"/>
  <c r="I141" i="105"/>
  <c r="H141" i="105"/>
  <c r="D141" i="105"/>
  <c r="I140" i="105"/>
  <c r="H140" i="105"/>
  <c r="D140" i="105"/>
  <c r="I139" i="105"/>
  <c r="H139" i="105"/>
  <c r="D139" i="105"/>
  <c r="F135" i="105"/>
  <c r="E135" i="105"/>
  <c r="D135" i="105"/>
  <c r="F134" i="105"/>
  <c r="E134" i="105"/>
  <c r="D134" i="105"/>
  <c r="F133" i="105"/>
  <c r="E133" i="105"/>
  <c r="D133" i="105"/>
  <c r="V103" i="105"/>
  <c r="U103" i="105"/>
  <c r="T103" i="105"/>
  <c r="S103" i="105"/>
  <c r="R103" i="105"/>
  <c r="Q103" i="105"/>
  <c r="P103" i="105"/>
  <c r="O103" i="105"/>
  <c r="N103" i="105"/>
  <c r="A103" i="105"/>
  <c r="V102" i="105"/>
  <c r="U102" i="105"/>
  <c r="T102" i="105"/>
  <c r="S102" i="105"/>
  <c r="R102" i="105"/>
  <c r="Q102" i="105"/>
  <c r="P102" i="105"/>
  <c r="O102" i="105"/>
  <c r="N102" i="105"/>
  <c r="A102" i="105"/>
  <c r="V101" i="105"/>
  <c r="U101" i="105"/>
  <c r="T101" i="105"/>
  <c r="S101" i="105"/>
  <c r="R101" i="105"/>
  <c r="Q101" i="105"/>
  <c r="P101" i="105"/>
  <c r="O101" i="105"/>
  <c r="N101" i="105"/>
  <c r="A101" i="105"/>
  <c r="V100" i="105"/>
  <c r="U100" i="105"/>
  <c r="T100" i="105"/>
  <c r="S100" i="105"/>
  <c r="R100" i="105"/>
  <c r="Q100" i="105"/>
  <c r="P100" i="105"/>
  <c r="O100" i="105"/>
  <c r="N100" i="105"/>
  <c r="A100" i="105"/>
  <c r="V99" i="105"/>
  <c r="U99" i="105"/>
  <c r="T99" i="105"/>
  <c r="S99" i="105"/>
  <c r="R99" i="105"/>
  <c r="Q99" i="105"/>
  <c r="P99" i="105"/>
  <c r="O99" i="105"/>
  <c r="N99" i="105"/>
  <c r="A99" i="105"/>
  <c r="V98" i="105"/>
  <c r="U98" i="105"/>
  <c r="T98" i="105"/>
  <c r="S98" i="105"/>
  <c r="R98" i="105"/>
  <c r="Q98" i="105"/>
  <c r="P98" i="105"/>
  <c r="O98" i="105"/>
  <c r="N98" i="105"/>
  <c r="A98" i="105"/>
  <c r="V97" i="105"/>
  <c r="U97" i="105"/>
  <c r="T97" i="105"/>
  <c r="S97" i="105"/>
  <c r="R97" i="105"/>
  <c r="Q97" i="105"/>
  <c r="P97" i="105"/>
  <c r="O97" i="105"/>
  <c r="N97" i="105"/>
  <c r="A97" i="105"/>
  <c r="V96" i="105"/>
  <c r="U96" i="105"/>
  <c r="T96" i="105"/>
  <c r="S96" i="105"/>
  <c r="R96" i="105"/>
  <c r="Q96" i="105"/>
  <c r="P96" i="105"/>
  <c r="O96" i="105"/>
  <c r="N96" i="105"/>
  <c r="A96" i="105"/>
  <c r="V95" i="105"/>
  <c r="U95" i="105"/>
  <c r="T95" i="105"/>
  <c r="S95" i="105"/>
  <c r="R95" i="105"/>
  <c r="Q95" i="105"/>
  <c r="P95" i="105"/>
  <c r="O95" i="105"/>
  <c r="N95" i="105"/>
  <c r="A95" i="105"/>
  <c r="V94" i="105"/>
  <c r="U94" i="105"/>
  <c r="T94" i="105"/>
  <c r="S94" i="105"/>
  <c r="R94" i="105"/>
  <c r="Q94" i="105"/>
  <c r="P94" i="105"/>
  <c r="O94" i="105"/>
  <c r="N94" i="105"/>
  <c r="A94" i="105"/>
  <c r="V93" i="105"/>
  <c r="U93" i="105"/>
  <c r="T93" i="105"/>
  <c r="S93" i="105"/>
  <c r="R93" i="105"/>
  <c r="Q93" i="105"/>
  <c r="P93" i="105"/>
  <c r="O93" i="105"/>
  <c r="N93" i="105"/>
  <c r="A93" i="105"/>
  <c r="V92" i="105"/>
  <c r="U92" i="105"/>
  <c r="T92" i="105"/>
  <c r="S92" i="105"/>
  <c r="R92" i="105"/>
  <c r="Q92" i="105"/>
  <c r="P92" i="105"/>
  <c r="O92" i="105"/>
  <c r="N92" i="105"/>
  <c r="A92" i="105"/>
  <c r="V91" i="105"/>
  <c r="U91" i="105"/>
  <c r="T91" i="105"/>
  <c r="S91" i="105"/>
  <c r="R91" i="105"/>
  <c r="Q91" i="105"/>
  <c r="P91" i="105"/>
  <c r="O91" i="105"/>
  <c r="N91" i="105"/>
  <c r="A91" i="105"/>
  <c r="V90" i="105"/>
  <c r="U90" i="105"/>
  <c r="T90" i="105"/>
  <c r="S90" i="105"/>
  <c r="R90" i="105"/>
  <c r="Q90" i="105"/>
  <c r="P90" i="105"/>
  <c r="O90" i="105"/>
  <c r="N90" i="105"/>
  <c r="A90" i="105"/>
  <c r="V89" i="105"/>
  <c r="U89" i="105"/>
  <c r="T89" i="105"/>
  <c r="S89" i="105"/>
  <c r="R89" i="105"/>
  <c r="Q89" i="105"/>
  <c r="P89" i="105"/>
  <c r="O89" i="105"/>
  <c r="N89" i="105"/>
  <c r="A89" i="105"/>
  <c r="V88" i="105"/>
  <c r="U88" i="105"/>
  <c r="T88" i="105"/>
  <c r="S88" i="105"/>
  <c r="R88" i="105"/>
  <c r="Q88" i="105"/>
  <c r="P88" i="105"/>
  <c r="O88" i="105"/>
  <c r="N88" i="105"/>
  <c r="A88" i="105"/>
  <c r="V87" i="105"/>
  <c r="U87" i="105"/>
  <c r="T87" i="105"/>
  <c r="S87" i="105"/>
  <c r="R87" i="105"/>
  <c r="Q87" i="105"/>
  <c r="P87" i="105"/>
  <c r="O87" i="105"/>
  <c r="N87" i="105"/>
  <c r="A87" i="105"/>
  <c r="V86" i="105"/>
  <c r="U86" i="105"/>
  <c r="T86" i="105"/>
  <c r="S86" i="105"/>
  <c r="R86" i="105"/>
  <c r="Q86" i="105"/>
  <c r="P86" i="105"/>
  <c r="O86" i="105"/>
  <c r="N86" i="105"/>
  <c r="A86" i="105"/>
  <c r="V85" i="105"/>
  <c r="U85" i="105"/>
  <c r="T85" i="105"/>
  <c r="S85" i="105"/>
  <c r="R85" i="105"/>
  <c r="Q85" i="105"/>
  <c r="P85" i="105"/>
  <c r="O85" i="105"/>
  <c r="N85" i="105"/>
  <c r="A85" i="105"/>
  <c r="V84" i="105"/>
  <c r="U84" i="105"/>
  <c r="T84" i="105"/>
  <c r="S84" i="105"/>
  <c r="R84" i="105"/>
  <c r="Q84" i="105"/>
  <c r="P84" i="105"/>
  <c r="O84" i="105"/>
  <c r="N84" i="105"/>
  <c r="A84" i="105"/>
  <c r="V83" i="105"/>
  <c r="U83" i="105"/>
  <c r="T83" i="105"/>
  <c r="S83" i="105"/>
  <c r="R83" i="105"/>
  <c r="Q83" i="105"/>
  <c r="P83" i="105"/>
  <c r="O83" i="105"/>
  <c r="N83" i="105"/>
  <c r="A83" i="105"/>
  <c r="V82" i="105"/>
  <c r="U82" i="105"/>
  <c r="T82" i="105"/>
  <c r="S82" i="105"/>
  <c r="R82" i="105"/>
  <c r="Q82" i="105"/>
  <c r="P82" i="105"/>
  <c r="O82" i="105"/>
  <c r="N82" i="105"/>
  <c r="L82" i="105"/>
  <c r="K82" i="105"/>
  <c r="J82" i="105"/>
  <c r="I82" i="105"/>
  <c r="H82" i="105"/>
  <c r="G82" i="105"/>
  <c r="F82" i="105"/>
  <c r="A82" i="105"/>
  <c r="V81" i="105"/>
  <c r="U81" i="105"/>
  <c r="T81" i="105"/>
  <c r="S81" i="105"/>
  <c r="R81" i="105"/>
  <c r="Q81" i="105"/>
  <c r="P81" i="105"/>
  <c r="O81" i="105"/>
  <c r="N81" i="105"/>
  <c r="A81" i="105"/>
  <c r="V80" i="105"/>
  <c r="U80" i="105"/>
  <c r="T80" i="105"/>
  <c r="S80" i="105"/>
  <c r="R80" i="105"/>
  <c r="Q80" i="105"/>
  <c r="P80" i="105"/>
  <c r="O80" i="105"/>
  <c r="N80" i="105"/>
  <c r="A80" i="105"/>
  <c r="V79" i="105"/>
  <c r="U79" i="105"/>
  <c r="T79" i="105"/>
  <c r="S79" i="105"/>
  <c r="R79" i="105"/>
  <c r="Q79" i="105"/>
  <c r="P79" i="105"/>
  <c r="O79" i="105"/>
  <c r="N79" i="105"/>
  <c r="A79" i="105"/>
  <c r="V78" i="105"/>
  <c r="U78" i="105"/>
  <c r="T78" i="105"/>
  <c r="S78" i="105"/>
  <c r="R78" i="105"/>
  <c r="Q78" i="105"/>
  <c r="P78" i="105"/>
  <c r="O78" i="105"/>
  <c r="N78" i="105"/>
  <c r="A78" i="105"/>
  <c r="V77" i="105"/>
  <c r="U77" i="105"/>
  <c r="T77" i="105"/>
  <c r="S77" i="105"/>
  <c r="R77" i="105"/>
  <c r="Q77" i="105"/>
  <c r="P77" i="105"/>
  <c r="O77" i="105"/>
  <c r="N77" i="105"/>
  <c r="A77" i="105"/>
  <c r="V76" i="105"/>
  <c r="U76" i="105"/>
  <c r="T76" i="105"/>
  <c r="S76" i="105"/>
  <c r="R76" i="105"/>
  <c r="Q76" i="105"/>
  <c r="P76" i="105"/>
  <c r="O76" i="105"/>
  <c r="N76" i="105"/>
  <c r="A76" i="105"/>
  <c r="V75" i="105"/>
  <c r="U75" i="105"/>
  <c r="T75" i="105"/>
  <c r="S75" i="105"/>
  <c r="R75" i="105"/>
  <c r="Q75" i="105"/>
  <c r="P75" i="105"/>
  <c r="O75" i="105"/>
  <c r="N75" i="105"/>
  <c r="A75" i="105"/>
  <c r="V74" i="105"/>
  <c r="U74" i="105"/>
  <c r="T74" i="105"/>
  <c r="S74" i="105"/>
  <c r="R74" i="105"/>
  <c r="Q74" i="105"/>
  <c r="P74" i="105"/>
  <c r="O74" i="105"/>
  <c r="N74" i="105"/>
  <c r="A74" i="105"/>
  <c r="V73" i="105"/>
  <c r="U73" i="105"/>
  <c r="T73" i="105"/>
  <c r="S73" i="105"/>
  <c r="R73" i="105"/>
  <c r="Q73" i="105"/>
  <c r="P73" i="105"/>
  <c r="O73" i="105"/>
  <c r="N73" i="105"/>
  <c r="A73" i="105"/>
  <c r="V72" i="105"/>
  <c r="U72" i="105"/>
  <c r="T72" i="105"/>
  <c r="S72" i="105"/>
  <c r="R72" i="105"/>
  <c r="Q72" i="105"/>
  <c r="P72" i="105"/>
  <c r="O72" i="105"/>
  <c r="N72" i="105"/>
  <c r="A72" i="105"/>
  <c r="V71" i="105"/>
  <c r="U71" i="105"/>
  <c r="T71" i="105"/>
  <c r="S71" i="105"/>
  <c r="R71" i="105"/>
  <c r="Q71" i="105"/>
  <c r="P71" i="105"/>
  <c r="O71" i="105"/>
  <c r="N71" i="105"/>
  <c r="L71" i="105"/>
  <c r="K71" i="105"/>
  <c r="J71" i="105"/>
  <c r="I71" i="105"/>
  <c r="H71" i="105"/>
  <c r="G71" i="105"/>
  <c r="F71" i="105"/>
  <c r="E71" i="105"/>
  <c r="D71" i="105"/>
  <c r="C71" i="105"/>
  <c r="A71" i="105"/>
  <c r="V70" i="105"/>
  <c r="U70" i="105"/>
  <c r="T70" i="105"/>
  <c r="S70" i="105"/>
  <c r="R70" i="105"/>
  <c r="Q70" i="105"/>
  <c r="P70" i="105"/>
  <c r="O70" i="105"/>
  <c r="N70" i="105"/>
  <c r="A70" i="105"/>
  <c r="V69" i="105"/>
  <c r="U69" i="105"/>
  <c r="T69" i="105"/>
  <c r="S69" i="105"/>
  <c r="R69" i="105"/>
  <c r="Q69" i="105"/>
  <c r="P69" i="105"/>
  <c r="O69" i="105"/>
  <c r="N69" i="105"/>
  <c r="L69" i="105"/>
  <c r="K69" i="105"/>
  <c r="J69" i="105"/>
  <c r="I69" i="105"/>
  <c r="H69" i="105"/>
  <c r="G69" i="105"/>
  <c r="F69" i="105"/>
  <c r="E69" i="105"/>
  <c r="D69" i="105"/>
  <c r="C69" i="105"/>
  <c r="A69" i="105"/>
  <c r="V68" i="105"/>
  <c r="U68" i="105"/>
  <c r="T68" i="105"/>
  <c r="S68" i="105"/>
  <c r="R68" i="105"/>
  <c r="Q68" i="105"/>
  <c r="P68" i="105"/>
  <c r="O68" i="105"/>
  <c r="N68" i="105"/>
  <c r="C68" i="105"/>
  <c r="A68" i="105"/>
  <c r="V67" i="105"/>
  <c r="U67" i="105"/>
  <c r="T67" i="105"/>
  <c r="S67" i="105"/>
  <c r="R67" i="105"/>
  <c r="Q67" i="105"/>
  <c r="P67" i="105"/>
  <c r="O67" i="105"/>
  <c r="N67" i="105"/>
  <c r="A67" i="105"/>
  <c r="V66" i="105"/>
  <c r="U66" i="105"/>
  <c r="T66" i="105"/>
  <c r="S66" i="105"/>
  <c r="R66" i="105"/>
  <c r="Q66" i="105"/>
  <c r="P66" i="105"/>
  <c r="O66" i="105"/>
  <c r="N66" i="105"/>
  <c r="A66" i="105"/>
  <c r="V65" i="105"/>
  <c r="U65" i="105"/>
  <c r="T65" i="105"/>
  <c r="S65" i="105"/>
  <c r="R65" i="105"/>
  <c r="Q65" i="105"/>
  <c r="P65" i="105"/>
  <c r="O65" i="105"/>
  <c r="N65" i="105"/>
  <c r="C65" i="105"/>
  <c r="A65" i="105"/>
  <c r="V64" i="105"/>
  <c r="U64" i="105"/>
  <c r="T64" i="105"/>
  <c r="S64" i="105"/>
  <c r="R64" i="105"/>
  <c r="Q64" i="105"/>
  <c r="P64" i="105"/>
  <c r="O64" i="105"/>
  <c r="N64" i="105"/>
  <c r="C64" i="105"/>
  <c r="A64" i="105"/>
  <c r="V63" i="105"/>
  <c r="U63" i="105"/>
  <c r="T63" i="105"/>
  <c r="S63" i="105"/>
  <c r="R63" i="105"/>
  <c r="Q63" i="105"/>
  <c r="P63" i="105"/>
  <c r="O63" i="105"/>
  <c r="N63" i="105"/>
  <c r="A63" i="105"/>
  <c r="V62" i="105"/>
  <c r="U62" i="105"/>
  <c r="T62" i="105"/>
  <c r="S62" i="105"/>
  <c r="R62" i="105"/>
  <c r="Q62" i="105"/>
  <c r="P62" i="105"/>
  <c r="O62" i="105"/>
  <c r="N62" i="105"/>
  <c r="A62" i="105"/>
  <c r="V61" i="105"/>
  <c r="U61" i="105"/>
  <c r="T61" i="105"/>
  <c r="S61" i="105"/>
  <c r="R61" i="105"/>
  <c r="Q61" i="105"/>
  <c r="P61" i="105"/>
  <c r="O61" i="105"/>
  <c r="N61" i="105"/>
  <c r="A61" i="105"/>
  <c r="V60" i="105"/>
  <c r="U60" i="105"/>
  <c r="T60" i="105"/>
  <c r="S60" i="105"/>
  <c r="R60" i="105"/>
  <c r="Q60" i="105"/>
  <c r="P60" i="105"/>
  <c r="O60" i="105"/>
  <c r="N60" i="105"/>
  <c r="A60" i="105"/>
  <c r="V59" i="105"/>
  <c r="U59" i="105"/>
  <c r="T59" i="105"/>
  <c r="S59" i="105"/>
  <c r="R59" i="105"/>
  <c r="Q59" i="105"/>
  <c r="P59" i="105"/>
  <c r="O59" i="105"/>
  <c r="N59" i="105"/>
  <c r="A59" i="105"/>
  <c r="V58" i="105"/>
  <c r="U58" i="105"/>
  <c r="T58" i="105"/>
  <c r="S58" i="105"/>
  <c r="R58" i="105"/>
  <c r="Q58" i="105"/>
  <c r="P58" i="105"/>
  <c r="O58" i="105"/>
  <c r="N58" i="105"/>
  <c r="C58" i="105"/>
  <c r="A58" i="105"/>
  <c r="V57" i="105"/>
  <c r="U57" i="105"/>
  <c r="T57" i="105"/>
  <c r="S57" i="105"/>
  <c r="R57" i="105"/>
  <c r="Q57" i="105"/>
  <c r="P57" i="105"/>
  <c r="O57" i="105"/>
  <c r="N57" i="105"/>
  <c r="C57" i="105"/>
  <c r="A57" i="105"/>
  <c r="V56" i="105"/>
  <c r="U56" i="105"/>
  <c r="T56" i="105"/>
  <c r="S56" i="105"/>
  <c r="R56" i="105"/>
  <c r="Q56" i="105"/>
  <c r="P56" i="105"/>
  <c r="O56" i="105"/>
  <c r="N56" i="105"/>
  <c r="A56" i="105"/>
  <c r="V55" i="105"/>
  <c r="U55" i="105"/>
  <c r="T55" i="105"/>
  <c r="S55" i="105"/>
  <c r="R55" i="105"/>
  <c r="Q55" i="105"/>
  <c r="P55" i="105"/>
  <c r="O55" i="105"/>
  <c r="N55" i="105"/>
  <c r="A55" i="105"/>
  <c r="V54" i="105"/>
  <c r="U54" i="105"/>
  <c r="T54" i="105"/>
  <c r="S54" i="105"/>
  <c r="R54" i="105"/>
  <c r="Q54" i="105"/>
  <c r="P54" i="105"/>
  <c r="O54" i="105"/>
  <c r="N54" i="105"/>
  <c r="C54" i="105"/>
  <c r="A54" i="105"/>
  <c r="V53" i="105"/>
  <c r="U53" i="105"/>
  <c r="T53" i="105"/>
  <c r="S53" i="105"/>
  <c r="R53" i="105"/>
  <c r="Q53" i="105"/>
  <c r="P53" i="105"/>
  <c r="O53" i="105"/>
  <c r="N53" i="105"/>
  <c r="L53" i="105"/>
  <c r="K53" i="105"/>
  <c r="J53" i="105"/>
  <c r="I53" i="105"/>
  <c r="H53" i="105"/>
  <c r="G53" i="105"/>
  <c r="F53" i="105"/>
  <c r="E53" i="105"/>
  <c r="D53" i="105"/>
  <c r="C53" i="105"/>
  <c r="A53" i="105"/>
  <c r="V52" i="105"/>
  <c r="U52" i="105"/>
  <c r="T52" i="105"/>
  <c r="S52" i="105"/>
  <c r="R52" i="105"/>
  <c r="Q52" i="105"/>
  <c r="P52" i="105"/>
  <c r="O52" i="105"/>
  <c r="N52" i="105"/>
  <c r="L52" i="105"/>
  <c r="K52" i="105"/>
  <c r="J52" i="105"/>
  <c r="I52" i="105"/>
  <c r="H52" i="105"/>
  <c r="G52" i="105"/>
  <c r="F52" i="105"/>
  <c r="E52" i="105"/>
  <c r="D52" i="105"/>
  <c r="C52" i="105"/>
  <c r="A52" i="105"/>
  <c r="V51" i="105"/>
  <c r="U51" i="105"/>
  <c r="T51" i="105"/>
  <c r="S51" i="105"/>
  <c r="R51" i="105"/>
  <c r="Q51" i="105"/>
  <c r="P51" i="105"/>
  <c r="O51" i="105"/>
  <c r="N51" i="105"/>
  <c r="A51" i="105"/>
  <c r="V50" i="105"/>
  <c r="U50" i="105"/>
  <c r="T50" i="105"/>
  <c r="S50" i="105"/>
  <c r="R50" i="105"/>
  <c r="Q50" i="105"/>
  <c r="P50" i="105"/>
  <c r="O50" i="105"/>
  <c r="N50" i="105"/>
  <c r="A50" i="105"/>
  <c r="V49" i="105"/>
  <c r="U49" i="105"/>
  <c r="T49" i="105"/>
  <c r="S49" i="105"/>
  <c r="R49" i="105"/>
  <c r="Q49" i="105"/>
  <c r="P49" i="105"/>
  <c r="O49" i="105"/>
  <c r="N49" i="105"/>
  <c r="A49" i="105"/>
  <c r="V48" i="105"/>
  <c r="U48" i="105"/>
  <c r="T48" i="105"/>
  <c r="S48" i="105"/>
  <c r="R48" i="105"/>
  <c r="Q48" i="105"/>
  <c r="P48" i="105"/>
  <c r="O48" i="105"/>
  <c r="N48" i="105"/>
  <c r="A48" i="105"/>
  <c r="V47" i="105"/>
  <c r="U47" i="105"/>
  <c r="T47" i="105"/>
  <c r="S47" i="105"/>
  <c r="R47" i="105"/>
  <c r="Q47" i="105"/>
  <c r="P47" i="105"/>
  <c r="O47" i="105"/>
  <c r="N47" i="105"/>
  <c r="A47" i="105"/>
  <c r="V46" i="105"/>
  <c r="U46" i="105"/>
  <c r="T46" i="105"/>
  <c r="S46" i="105"/>
  <c r="R46" i="105"/>
  <c r="Q46" i="105"/>
  <c r="P46" i="105"/>
  <c r="O46" i="105"/>
  <c r="N46" i="105"/>
  <c r="A46" i="105"/>
  <c r="V45" i="105"/>
  <c r="U45" i="105"/>
  <c r="T45" i="105"/>
  <c r="S45" i="105"/>
  <c r="R45" i="105"/>
  <c r="Q45" i="105"/>
  <c r="P45" i="105"/>
  <c r="O45" i="105"/>
  <c r="N45" i="105"/>
  <c r="A45" i="105"/>
  <c r="V44" i="105"/>
  <c r="U44" i="105"/>
  <c r="T44" i="105"/>
  <c r="S44" i="105"/>
  <c r="R44" i="105"/>
  <c r="Q44" i="105"/>
  <c r="P44" i="105"/>
  <c r="O44" i="105"/>
  <c r="N44" i="105"/>
  <c r="A44" i="105"/>
  <c r="V43" i="105"/>
  <c r="U43" i="105"/>
  <c r="T43" i="105"/>
  <c r="S43" i="105"/>
  <c r="R43" i="105"/>
  <c r="Q43" i="105"/>
  <c r="P43" i="105"/>
  <c r="O43" i="105"/>
  <c r="N43" i="105"/>
  <c r="L43" i="105"/>
  <c r="K43" i="105"/>
  <c r="J43" i="105"/>
  <c r="I43" i="105"/>
  <c r="H43" i="105"/>
  <c r="G43" i="105"/>
  <c r="F43" i="105"/>
  <c r="E43" i="105"/>
  <c r="D43" i="105"/>
  <c r="C43" i="105"/>
  <c r="A43" i="105"/>
  <c r="V42" i="105"/>
  <c r="U42" i="105"/>
  <c r="T42" i="105"/>
  <c r="S42" i="105"/>
  <c r="R42" i="105"/>
  <c r="Q42" i="105"/>
  <c r="P42" i="105"/>
  <c r="O42" i="105"/>
  <c r="N42" i="105"/>
  <c r="L42" i="105"/>
  <c r="K42" i="105"/>
  <c r="J42" i="105"/>
  <c r="I42" i="105"/>
  <c r="H42" i="105"/>
  <c r="G42" i="105"/>
  <c r="F42" i="105"/>
  <c r="E42" i="105"/>
  <c r="D42" i="105"/>
  <c r="C42" i="105"/>
  <c r="A42" i="105"/>
  <c r="V41" i="105"/>
  <c r="U41" i="105"/>
  <c r="T41" i="105"/>
  <c r="S41" i="105"/>
  <c r="R41" i="105"/>
  <c r="Q41" i="105"/>
  <c r="P41" i="105"/>
  <c r="O41" i="105"/>
  <c r="N41" i="105"/>
  <c r="L41" i="105"/>
  <c r="K41" i="105"/>
  <c r="J41" i="105"/>
  <c r="I41" i="105"/>
  <c r="H41" i="105"/>
  <c r="G41" i="105"/>
  <c r="F41" i="105"/>
  <c r="E41" i="105"/>
  <c r="D41" i="105"/>
  <c r="C41" i="105"/>
  <c r="A41" i="105"/>
  <c r="V40" i="105"/>
  <c r="U40" i="105"/>
  <c r="T40" i="105"/>
  <c r="S40" i="105"/>
  <c r="R40" i="105"/>
  <c r="Q40" i="105"/>
  <c r="P40" i="105"/>
  <c r="O40" i="105"/>
  <c r="N40" i="105"/>
  <c r="A40" i="105"/>
  <c r="V39" i="105"/>
  <c r="U39" i="105"/>
  <c r="T39" i="105"/>
  <c r="S39" i="105"/>
  <c r="R39" i="105"/>
  <c r="Q39" i="105"/>
  <c r="P39" i="105"/>
  <c r="O39" i="105"/>
  <c r="N39" i="105"/>
  <c r="L39" i="105"/>
  <c r="K39" i="105"/>
  <c r="J39" i="105"/>
  <c r="I39" i="105"/>
  <c r="H39" i="105"/>
  <c r="G39" i="105"/>
  <c r="F39" i="105"/>
  <c r="E39" i="105"/>
  <c r="D39" i="105"/>
  <c r="C39" i="105"/>
  <c r="A39" i="105"/>
  <c r="V38" i="105"/>
  <c r="U38" i="105"/>
  <c r="T38" i="105"/>
  <c r="S38" i="105"/>
  <c r="R38" i="105"/>
  <c r="Q38" i="105"/>
  <c r="P38" i="105"/>
  <c r="O38" i="105"/>
  <c r="N38" i="105"/>
  <c r="A38" i="105"/>
  <c r="V37" i="105"/>
  <c r="U37" i="105"/>
  <c r="T37" i="105"/>
  <c r="S37" i="105"/>
  <c r="R37" i="105"/>
  <c r="Q37" i="105"/>
  <c r="P37" i="105"/>
  <c r="O37" i="105"/>
  <c r="N37" i="105"/>
  <c r="L37" i="105"/>
  <c r="K37" i="105"/>
  <c r="J37" i="105"/>
  <c r="I37" i="105"/>
  <c r="H37" i="105"/>
  <c r="G37" i="105"/>
  <c r="F37" i="105"/>
  <c r="E37" i="105"/>
  <c r="D37" i="105"/>
  <c r="C37" i="105"/>
  <c r="A37" i="105"/>
  <c r="V36" i="105"/>
  <c r="U36" i="105"/>
  <c r="T36" i="105"/>
  <c r="S36" i="105"/>
  <c r="R36" i="105"/>
  <c r="Q36" i="105"/>
  <c r="P36" i="105"/>
  <c r="O36" i="105"/>
  <c r="N36" i="105"/>
  <c r="C36" i="105"/>
  <c r="A36" i="105"/>
  <c r="V35" i="105"/>
  <c r="U35" i="105"/>
  <c r="T35" i="105"/>
  <c r="S35" i="105"/>
  <c r="R35" i="105"/>
  <c r="Q35" i="105"/>
  <c r="P35" i="105"/>
  <c r="O35" i="105"/>
  <c r="N35" i="105"/>
  <c r="A35" i="105"/>
  <c r="V34" i="105"/>
  <c r="U34" i="105"/>
  <c r="T34" i="105"/>
  <c r="S34" i="105"/>
  <c r="R34" i="105"/>
  <c r="Q34" i="105"/>
  <c r="P34" i="105"/>
  <c r="O34" i="105"/>
  <c r="N34" i="105"/>
  <c r="L34" i="105"/>
  <c r="K34" i="105"/>
  <c r="J34" i="105"/>
  <c r="I34" i="105"/>
  <c r="H34" i="105"/>
  <c r="G34" i="105"/>
  <c r="F34" i="105"/>
  <c r="E34" i="105"/>
  <c r="D34" i="105"/>
  <c r="C34" i="105"/>
  <c r="A34" i="105"/>
  <c r="V33" i="105"/>
  <c r="U33" i="105"/>
  <c r="T33" i="105"/>
  <c r="S33" i="105"/>
  <c r="R33" i="105"/>
  <c r="Q33" i="105"/>
  <c r="P33" i="105"/>
  <c r="O33" i="105"/>
  <c r="N33" i="105"/>
  <c r="L33" i="105"/>
  <c r="K33" i="105"/>
  <c r="J33" i="105"/>
  <c r="I33" i="105"/>
  <c r="H33" i="105"/>
  <c r="G33" i="105"/>
  <c r="F33" i="105"/>
  <c r="E33" i="105"/>
  <c r="D33" i="105"/>
  <c r="T32" i="105"/>
  <c r="S32" i="105"/>
  <c r="V31" i="105"/>
  <c r="U31" i="105"/>
  <c r="T31" i="105"/>
  <c r="S31" i="105"/>
  <c r="R31" i="105"/>
  <c r="Q31" i="105"/>
  <c r="P31" i="105"/>
  <c r="O31" i="105"/>
  <c r="N31" i="105"/>
  <c r="M31" i="105"/>
  <c r="J20" i="105"/>
  <c r="I20" i="105"/>
  <c r="H20" i="105"/>
  <c r="G20" i="105"/>
  <c r="J19" i="105"/>
  <c r="I19" i="105"/>
  <c r="H19" i="105"/>
  <c r="G19" i="105"/>
  <c r="J18" i="105"/>
  <c r="I18" i="105"/>
  <c r="H18" i="105"/>
  <c r="G18" i="105"/>
  <c r="J17" i="105"/>
  <c r="I17" i="105"/>
  <c r="H17" i="105"/>
  <c r="G17" i="105"/>
  <c r="J16" i="105"/>
  <c r="I16" i="105"/>
  <c r="H16" i="105"/>
  <c r="G16" i="105"/>
  <c r="J15" i="105"/>
  <c r="I15" i="105"/>
  <c r="H15" i="105"/>
  <c r="G15" i="105"/>
  <c r="J14" i="105"/>
  <c r="I14" i="105"/>
  <c r="H14" i="105"/>
  <c r="G14" i="105"/>
  <c r="J13" i="105"/>
  <c r="I13" i="105"/>
  <c r="H13" i="105"/>
  <c r="G13" i="105"/>
  <c r="J12" i="105"/>
  <c r="I12" i="105"/>
  <c r="H12" i="105"/>
  <c r="G12" i="105"/>
  <c r="J11" i="105"/>
  <c r="H11" i="105"/>
  <c r="G11" i="105"/>
  <c r="E7" i="105"/>
  <c r="B7" i="105"/>
  <c r="I11" i="105" s="1"/>
  <c r="C33" i="105" s="1"/>
  <c r="V103" i="104"/>
  <c r="U103" i="104"/>
  <c r="T103" i="104"/>
  <c r="S103" i="104"/>
  <c r="R103" i="104"/>
  <c r="Q103" i="104"/>
  <c r="P103" i="104"/>
  <c r="O103" i="104"/>
  <c r="N103" i="104"/>
  <c r="A103" i="104"/>
  <c r="V102" i="104"/>
  <c r="U102" i="104"/>
  <c r="T102" i="104"/>
  <c r="S102" i="104"/>
  <c r="R102" i="104"/>
  <c r="Q102" i="104"/>
  <c r="P102" i="104"/>
  <c r="O102" i="104"/>
  <c r="N102" i="104"/>
  <c r="A102" i="104"/>
  <c r="V101" i="104"/>
  <c r="U101" i="104"/>
  <c r="T101" i="104"/>
  <c r="S101" i="104"/>
  <c r="R101" i="104"/>
  <c r="Q101" i="104"/>
  <c r="P101" i="104"/>
  <c r="O101" i="104"/>
  <c r="N101" i="104"/>
  <c r="A101" i="104"/>
  <c r="V100" i="104"/>
  <c r="U100" i="104"/>
  <c r="T100" i="104"/>
  <c r="S100" i="104"/>
  <c r="R100" i="104"/>
  <c r="Q100" i="104"/>
  <c r="P100" i="104"/>
  <c r="O100" i="104"/>
  <c r="N100" i="104"/>
  <c r="A100" i="104"/>
  <c r="V99" i="104"/>
  <c r="U99" i="104"/>
  <c r="T99" i="104"/>
  <c r="S99" i="104"/>
  <c r="R99" i="104"/>
  <c r="Q99" i="104"/>
  <c r="P99" i="104"/>
  <c r="O99" i="104"/>
  <c r="N99" i="104"/>
  <c r="A99" i="104"/>
  <c r="V98" i="104"/>
  <c r="U98" i="104"/>
  <c r="T98" i="104"/>
  <c r="S98" i="104"/>
  <c r="R98" i="104"/>
  <c r="Q98" i="104"/>
  <c r="P98" i="104"/>
  <c r="O98" i="104"/>
  <c r="N98" i="104"/>
  <c r="A98" i="104"/>
  <c r="V97" i="104"/>
  <c r="U97" i="104"/>
  <c r="T97" i="104"/>
  <c r="S97" i="104"/>
  <c r="R97" i="104"/>
  <c r="Q97" i="104"/>
  <c r="P97" i="104"/>
  <c r="O97" i="104"/>
  <c r="N97" i="104"/>
  <c r="A97" i="104"/>
  <c r="V96" i="104"/>
  <c r="U96" i="104"/>
  <c r="T96" i="104"/>
  <c r="S96" i="104"/>
  <c r="R96" i="104"/>
  <c r="Q96" i="104"/>
  <c r="P96" i="104"/>
  <c r="O96" i="104"/>
  <c r="N96" i="104"/>
  <c r="A96" i="104"/>
  <c r="V95" i="104"/>
  <c r="U95" i="104"/>
  <c r="T95" i="104"/>
  <c r="S95" i="104"/>
  <c r="R95" i="104"/>
  <c r="Q95" i="104"/>
  <c r="P95" i="104"/>
  <c r="O95" i="104"/>
  <c r="N95" i="104"/>
  <c r="A95" i="104"/>
  <c r="V94" i="104"/>
  <c r="U94" i="104"/>
  <c r="T94" i="104"/>
  <c r="S94" i="104"/>
  <c r="R94" i="104"/>
  <c r="Q94" i="104"/>
  <c r="P94" i="104"/>
  <c r="O94" i="104"/>
  <c r="N94" i="104"/>
  <c r="A94" i="104"/>
  <c r="V93" i="104"/>
  <c r="U93" i="104"/>
  <c r="T93" i="104"/>
  <c r="S93" i="104"/>
  <c r="R93" i="104"/>
  <c r="Q93" i="104"/>
  <c r="P93" i="104"/>
  <c r="O93" i="104"/>
  <c r="N93" i="104"/>
  <c r="A93" i="104"/>
  <c r="V92" i="104"/>
  <c r="U92" i="104"/>
  <c r="T92" i="104"/>
  <c r="S92" i="104"/>
  <c r="R92" i="104"/>
  <c r="Q92" i="104"/>
  <c r="P92" i="104"/>
  <c r="O92" i="104"/>
  <c r="N92" i="104"/>
  <c r="A92" i="104"/>
  <c r="V91" i="104"/>
  <c r="U91" i="104"/>
  <c r="T91" i="104"/>
  <c r="S91" i="104"/>
  <c r="R91" i="104"/>
  <c r="Q91" i="104"/>
  <c r="P91" i="104"/>
  <c r="O91" i="104"/>
  <c r="N91" i="104"/>
  <c r="A91" i="104"/>
  <c r="V90" i="104"/>
  <c r="U90" i="104"/>
  <c r="T90" i="104"/>
  <c r="S90" i="104"/>
  <c r="R90" i="104"/>
  <c r="Q90" i="104"/>
  <c r="P90" i="104"/>
  <c r="O90" i="104"/>
  <c r="N90" i="104"/>
  <c r="A90" i="104"/>
  <c r="V89" i="104"/>
  <c r="U89" i="104"/>
  <c r="T89" i="104"/>
  <c r="S89" i="104"/>
  <c r="R89" i="104"/>
  <c r="Q89" i="104"/>
  <c r="P89" i="104"/>
  <c r="O89" i="104"/>
  <c r="N89" i="104"/>
  <c r="A89" i="104"/>
  <c r="V88" i="104"/>
  <c r="U88" i="104"/>
  <c r="T88" i="104"/>
  <c r="S88" i="104"/>
  <c r="R88" i="104"/>
  <c r="Q88" i="104"/>
  <c r="P88" i="104"/>
  <c r="O88" i="104"/>
  <c r="N88" i="104"/>
  <c r="A88" i="104"/>
  <c r="V87" i="104"/>
  <c r="U87" i="104"/>
  <c r="T87" i="104"/>
  <c r="S87" i="104"/>
  <c r="R87" i="104"/>
  <c r="Q87" i="104"/>
  <c r="P87" i="104"/>
  <c r="O87" i="104"/>
  <c r="N87" i="104"/>
  <c r="A87" i="104"/>
  <c r="V86" i="104"/>
  <c r="U86" i="104"/>
  <c r="T86" i="104"/>
  <c r="S86" i="104"/>
  <c r="R86" i="104"/>
  <c r="Q86" i="104"/>
  <c r="P86" i="104"/>
  <c r="O86" i="104"/>
  <c r="N86" i="104"/>
  <c r="A86" i="104"/>
  <c r="V85" i="104"/>
  <c r="U85" i="104"/>
  <c r="T85" i="104"/>
  <c r="S85" i="104"/>
  <c r="R85" i="104"/>
  <c r="Q85" i="104"/>
  <c r="P85" i="104"/>
  <c r="O85" i="104"/>
  <c r="N85" i="104"/>
  <c r="A85" i="104"/>
  <c r="V84" i="104"/>
  <c r="U84" i="104"/>
  <c r="T84" i="104"/>
  <c r="S84" i="104"/>
  <c r="R84" i="104"/>
  <c r="Q84" i="104"/>
  <c r="P84" i="104"/>
  <c r="O84" i="104"/>
  <c r="N84" i="104"/>
  <c r="A84" i="104"/>
  <c r="V83" i="104"/>
  <c r="U83" i="104"/>
  <c r="T83" i="104"/>
  <c r="S83" i="104"/>
  <c r="R83" i="104"/>
  <c r="Q83" i="104"/>
  <c r="P83" i="104"/>
  <c r="O83" i="104"/>
  <c r="N83" i="104"/>
  <c r="A83" i="104"/>
  <c r="V82" i="104"/>
  <c r="U82" i="104"/>
  <c r="T82" i="104"/>
  <c r="S82" i="104"/>
  <c r="R82" i="104"/>
  <c r="Q82" i="104"/>
  <c r="P82" i="104"/>
  <c r="O82" i="104"/>
  <c r="N82" i="104"/>
  <c r="L82" i="104"/>
  <c r="K82" i="104"/>
  <c r="J82" i="104"/>
  <c r="I82" i="104"/>
  <c r="H82" i="104"/>
  <c r="G82" i="104"/>
  <c r="F82" i="104"/>
  <c r="A82" i="104"/>
  <c r="V81" i="104"/>
  <c r="U81" i="104"/>
  <c r="T81" i="104"/>
  <c r="S81" i="104"/>
  <c r="R81" i="104"/>
  <c r="Q81" i="104"/>
  <c r="P81" i="104"/>
  <c r="O81" i="104"/>
  <c r="N81" i="104"/>
  <c r="A81" i="104"/>
  <c r="V80" i="104"/>
  <c r="U80" i="104"/>
  <c r="T80" i="104"/>
  <c r="S80" i="104"/>
  <c r="R80" i="104"/>
  <c r="Q80" i="104"/>
  <c r="P80" i="104"/>
  <c r="O80" i="104"/>
  <c r="N80" i="104"/>
  <c r="A80" i="104"/>
  <c r="V79" i="104"/>
  <c r="U79" i="104"/>
  <c r="T79" i="104"/>
  <c r="S79" i="104"/>
  <c r="R79" i="104"/>
  <c r="Q79" i="104"/>
  <c r="P79" i="104"/>
  <c r="O79" i="104"/>
  <c r="N79" i="104"/>
  <c r="A79" i="104"/>
  <c r="V78" i="104"/>
  <c r="U78" i="104"/>
  <c r="T78" i="104"/>
  <c r="S78" i="104"/>
  <c r="R78" i="104"/>
  <c r="Q78" i="104"/>
  <c r="P78" i="104"/>
  <c r="O78" i="104"/>
  <c r="N78" i="104"/>
  <c r="A78" i="104"/>
  <c r="V77" i="104"/>
  <c r="U77" i="104"/>
  <c r="T77" i="104"/>
  <c r="S77" i="104"/>
  <c r="R77" i="104"/>
  <c r="Q77" i="104"/>
  <c r="P77" i="104"/>
  <c r="O77" i="104"/>
  <c r="N77" i="104"/>
  <c r="A77" i="104"/>
  <c r="V76" i="104"/>
  <c r="U76" i="104"/>
  <c r="T76" i="104"/>
  <c r="S76" i="104"/>
  <c r="R76" i="104"/>
  <c r="Q76" i="104"/>
  <c r="P76" i="104"/>
  <c r="O76" i="104"/>
  <c r="N76" i="104"/>
  <c r="A76" i="104"/>
  <c r="V75" i="104"/>
  <c r="U75" i="104"/>
  <c r="T75" i="104"/>
  <c r="S75" i="104"/>
  <c r="R75" i="104"/>
  <c r="Q75" i="104"/>
  <c r="P75" i="104"/>
  <c r="O75" i="104"/>
  <c r="N75" i="104"/>
  <c r="A75" i="104"/>
  <c r="V74" i="104"/>
  <c r="U74" i="104"/>
  <c r="T74" i="104"/>
  <c r="S74" i="104"/>
  <c r="R74" i="104"/>
  <c r="Q74" i="104"/>
  <c r="P74" i="104"/>
  <c r="O74" i="104"/>
  <c r="N74" i="104"/>
  <c r="A74" i="104"/>
  <c r="V73" i="104"/>
  <c r="U73" i="104"/>
  <c r="T73" i="104"/>
  <c r="S73" i="104"/>
  <c r="R73" i="104"/>
  <c r="Q73" i="104"/>
  <c r="P73" i="104"/>
  <c r="O73" i="104"/>
  <c r="N73" i="104"/>
  <c r="A73" i="104"/>
  <c r="V72" i="104"/>
  <c r="U72" i="104"/>
  <c r="T72" i="104"/>
  <c r="S72" i="104"/>
  <c r="R72" i="104"/>
  <c r="Q72" i="104"/>
  <c r="P72" i="104"/>
  <c r="O72" i="104"/>
  <c r="N72" i="104"/>
  <c r="A72" i="104"/>
  <c r="V71" i="104"/>
  <c r="U71" i="104"/>
  <c r="T71" i="104"/>
  <c r="S71" i="104"/>
  <c r="R71" i="104"/>
  <c r="Q71" i="104"/>
  <c r="P71" i="104"/>
  <c r="O71" i="104"/>
  <c r="N71" i="104"/>
  <c r="L71" i="104"/>
  <c r="K71" i="104"/>
  <c r="J71" i="104"/>
  <c r="I71" i="104"/>
  <c r="H71" i="104"/>
  <c r="G71" i="104"/>
  <c r="F71" i="104"/>
  <c r="E71" i="104"/>
  <c r="D71" i="104"/>
  <c r="C71" i="104"/>
  <c r="A71" i="104"/>
  <c r="V70" i="104"/>
  <c r="U70" i="104"/>
  <c r="T70" i="104"/>
  <c r="S70" i="104"/>
  <c r="R70" i="104"/>
  <c r="Q70" i="104"/>
  <c r="P70" i="104"/>
  <c r="O70" i="104"/>
  <c r="N70" i="104"/>
  <c r="A70" i="104"/>
  <c r="V69" i="104"/>
  <c r="U69" i="104"/>
  <c r="T69" i="104"/>
  <c r="S69" i="104"/>
  <c r="R69" i="104"/>
  <c r="Q69" i="104"/>
  <c r="P69" i="104"/>
  <c r="O69" i="104"/>
  <c r="N69" i="104"/>
  <c r="L69" i="104"/>
  <c r="K69" i="104"/>
  <c r="J69" i="104"/>
  <c r="I69" i="104"/>
  <c r="H69" i="104"/>
  <c r="G69" i="104"/>
  <c r="F69" i="104"/>
  <c r="E69" i="104"/>
  <c r="D69" i="104"/>
  <c r="C69" i="104"/>
  <c r="A69" i="104"/>
  <c r="V68" i="104"/>
  <c r="U68" i="104"/>
  <c r="T68" i="104"/>
  <c r="S68" i="104"/>
  <c r="R68" i="104"/>
  <c r="Q68" i="104"/>
  <c r="P68" i="104"/>
  <c r="O68" i="104"/>
  <c r="N68" i="104"/>
  <c r="C68" i="104"/>
  <c r="A68" i="104"/>
  <c r="V67" i="104"/>
  <c r="U67" i="104"/>
  <c r="T67" i="104"/>
  <c r="S67" i="104"/>
  <c r="R67" i="104"/>
  <c r="Q67" i="104"/>
  <c r="P67" i="104"/>
  <c r="O67" i="104"/>
  <c r="N67" i="104"/>
  <c r="A67" i="104"/>
  <c r="V66" i="104"/>
  <c r="U66" i="104"/>
  <c r="T66" i="104"/>
  <c r="S66" i="104"/>
  <c r="R66" i="104"/>
  <c r="Q66" i="104"/>
  <c r="P66" i="104"/>
  <c r="O66" i="104"/>
  <c r="N66" i="104"/>
  <c r="A66" i="104"/>
  <c r="V65" i="104"/>
  <c r="U65" i="104"/>
  <c r="T65" i="104"/>
  <c r="S65" i="104"/>
  <c r="R65" i="104"/>
  <c r="Q65" i="104"/>
  <c r="P65" i="104"/>
  <c r="O65" i="104"/>
  <c r="N65" i="104"/>
  <c r="C65" i="104"/>
  <c r="A65" i="104"/>
  <c r="V64" i="104"/>
  <c r="U64" i="104"/>
  <c r="T64" i="104"/>
  <c r="S64" i="104"/>
  <c r="R64" i="104"/>
  <c r="Q64" i="104"/>
  <c r="P64" i="104"/>
  <c r="O64" i="104"/>
  <c r="N64" i="104"/>
  <c r="C64" i="104"/>
  <c r="A64" i="104"/>
  <c r="V63" i="104"/>
  <c r="U63" i="104"/>
  <c r="T63" i="104"/>
  <c r="S63" i="104"/>
  <c r="R63" i="104"/>
  <c r="Q63" i="104"/>
  <c r="P63" i="104"/>
  <c r="O63" i="104"/>
  <c r="N63" i="104"/>
  <c r="A63" i="104"/>
  <c r="V62" i="104"/>
  <c r="U62" i="104"/>
  <c r="T62" i="104"/>
  <c r="S62" i="104"/>
  <c r="R62" i="104"/>
  <c r="Q62" i="104"/>
  <c r="P62" i="104"/>
  <c r="O62" i="104"/>
  <c r="N62" i="104"/>
  <c r="A62" i="104"/>
  <c r="V61" i="104"/>
  <c r="U61" i="104"/>
  <c r="T61" i="104"/>
  <c r="S61" i="104"/>
  <c r="R61" i="104"/>
  <c r="Q61" i="104"/>
  <c r="P61" i="104"/>
  <c r="O61" i="104"/>
  <c r="N61" i="104"/>
  <c r="A61" i="104"/>
  <c r="V60" i="104"/>
  <c r="U60" i="104"/>
  <c r="T60" i="104"/>
  <c r="S60" i="104"/>
  <c r="R60" i="104"/>
  <c r="Q60" i="104"/>
  <c r="P60" i="104"/>
  <c r="O60" i="104"/>
  <c r="N60" i="104"/>
  <c r="A60" i="104"/>
  <c r="V59" i="104"/>
  <c r="U59" i="104"/>
  <c r="T59" i="104"/>
  <c r="S59" i="104"/>
  <c r="R59" i="104"/>
  <c r="Q59" i="104"/>
  <c r="P59" i="104"/>
  <c r="O59" i="104"/>
  <c r="N59" i="104"/>
  <c r="A59" i="104"/>
  <c r="V58" i="104"/>
  <c r="U58" i="104"/>
  <c r="T58" i="104"/>
  <c r="S58" i="104"/>
  <c r="R58" i="104"/>
  <c r="Q58" i="104"/>
  <c r="P58" i="104"/>
  <c r="O58" i="104"/>
  <c r="N58" i="104"/>
  <c r="C58" i="104"/>
  <c r="A58" i="104"/>
  <c r="V57" i="104"/>
  <c r="U57" i="104"/>
  <c r="T57" i="104"/>
  <c r="S57" i="104"/>
  <c r="R57" i="104"/>
  <c r="Q57" i="104"/>
  <c r="P57" i="104"/>
  <c r="O57" i="104"/>
  <c r="N57" i="104"/>
  <c r="C57" i="104"/>
  <c r="A57" i="104"/>
  <c r="V56" i="104"/>
  <c r="U56" i="104"/>
  <c r="T56" i="104"/>
  <c r="S56" i="104"/>
  <c r="R56" i="104"/>
  <c r="Q56" i="104"/>
  <c r="P56" i="104"/>
  <c r="O56" i="104"/>
  <c r="N56" i="104"/>
  <c r="A56" i="104"/>
  <c r="V55" i="104"/>
  <c r="U55" i="104"/>
  <c r="T55" i="104"/>
  <c r="S55" i="104"/>
  <c r="R55" i="104"/>
  <c r="Q55" i="104"/>
  <c r="P55" i="104"/>
  <c r="O55" i="104"/>
  <c r="N55" i="104"/>
  <c r="A55" i="104"/>
  <c r="V54" i="104"/>
  <c r="U54" i="104"/>
  <c r="T54" i="104"/>
  <c r="S54" i="104"/>
  <c r="R54" i="104"/>
  <c r="Q54" i="104"/>
  <c r="P54" i="104"/>
  <c r="O54" i="104"/>
  <c r="N54" i="104"/>
  <c r="C54" i="104"/>
  <c r="A54" i="104"/>
  <c r="V53" i="104"/>
  <c r="U53" i="104"/>
  <c r="T53" i="104"/>
  <c r="S53" i="104"/>
  <c r="R53" i="104"/>
  <c r="Q53" i="104"/>
  <c r="P53" i="104"/>
  <c r="O53" i="104"/>
  <c r="N53" i="104"/>
  <c r="L53" i="104"/>
  <c r="K53" i="104"/>
  <c r="J53" i="104"/>
  <c r="I53" i="104"/>
  <c r="H53" i="104"/>
  <c r="G53" i="104"/>
  <c r="F53" i="104"/>
  <c r="E53" i="104"/>
  <c r="D53" i="104"/>
  <c r="C53" i="104"/>
  <c r="A53" i="104"/>
  <c r="V52" i="104"/>
  <c r="U52" i="104"/>
  <c r="T52" i="104"/>
  <c r="S52" i="104"/>
  <c r="R52" i="104"/>
  <c r="Q52" i="104"/>
  <c r="P52" i="104"/>
  <c r="O52" i="104"/>
  <c r="N52" i="104"/>
  <c r="L52" i="104"/>
  <c r="K52" i="104"/>
  <c r="J52" i="104"/>
  <c r="I52" i="104"/>
  <c r="H52" i="104"/>
  <c r="G52" i="104"/>
  <c r="F52" i="104"/>
  <c r="E52" i="104"/>
  <c r="D52" i="104"/>
  <c r="C52" i="104"/>
  <c r="A52" i="104"/>
  <c r="V51" i="104"/>
  <c r="U51" i="104"/>
  <c r="T51" i="104"/>
  <c r="S51" i="104"/>
  <c r="R51" i="104"/>
  <c r="Q51" i="104"/>
  <c r="P51" i="104"/>
  <c r="O51" i="104"/>
  <c r="N51" i="104"/>
  <c r="A51" i="104"/>
  <c r="V50" i="104"/>
  <c r="U50" i="104"/>
  <c r="T50" i="104"/>
  <c r="S50" i="104"/>
  <c r="R50" i="104"/>
  <c r="Q50" i="104"/>
  <c r="P50" i="104"/>
  <c r="O50" i="104"/>
  <c r="N50" i="104"/>
  <c r="A50" i="104"/>
  <c r="V49" i="104"/>
  <c r="U49" i="104"/>
  <c r="T49" i="104"/>
  <c r="S49" i="104"/>
  <c r="R49" i="104"/>
  <c r="Q49" i="104"/>
  <c r="P49" i="104"/>
  <c r="O49" i="104"/>
  <c r="N49" i="104"/>
  <c r="A49" i="104"/>
  <c r="V48" i="104"/>
  <c r="U48" i="104"/>
  <c r="T48" i="104"/>
  <c r="S48" i="104"/>
  <c r="R48" i="104"/>
  <c r="Q48" i="104"/>
  <c r="P48" i="104"/>
  <c r="O48" i="104"/>
  <c r="N48" i="104"/>
  <c r="A48" i="104"/>
  <c r="V47" i="104"/>
  <c r="U47" i="104"/>
  <c r="T47" i="104"/>
  <c r="S47" i="104"/>
  <c r="R47" i="104"/>
  <c r="Q47" i="104"/>
  <c r="P47" i="104"/>
  <c r="O47" i="104"/>
  <c r="N47" i="104"/>
  <c r="A47" i="104"/>
  <c r="V46" i="104"/>
  <c r="U46" i="104"/>
  <c r="T46" i="104"/>
  <c r="S46" i="104"/>
  <c r="R46" i="104"/>
  <c r="Q46" i="104"/>
  <c r="P46" i="104"/>
  <c r="O46" i="104"/>
  <c r="N46" i="104"/>
  <c r="A46" i="104"/>
  <c r="V45" i="104"/>
  <c r="U45" i="104"/>
  <c r="T45" i="104"/>
  <c r="S45" i="104"/>
  <c r="R45" i="104"/>
  <c r="Q45" i="104"/>
  <c r="P45" i="104"/>
  <c r="O45" i="104"/>
  <c r="N45" i="104"/>
  <c r="A45" i="104"/>
  <c r="V44" i="104"/>
  <c r="U44" i="104"/>
  <c r="T44" i="104"/>
  <c r="S44" i="104"/>
  <c r="R44" i="104"/>
  <c r="Q44" i="104"/>
  <c r="P44" i="104"/>
  <c r="O44" i="104"/>
  <c r="N44" i="104"/>
  <c r="A44" i="104"/>
  <c r="V43" i="104"/>
  <c r="U43" i="104"/>
  <c r="T43" i="104"/>
  <c r="S43" i="104"/>
  <c r="R43" i="104"/>
  <c r="Q43" i="104"/>
  <c r="P43" i="104"/>
  <c r="O43" i="104"/>
  <c r="N43" i="104"/>
  <c r="L43" i="104"/>
  <c r="K43" i="104"/>
  <c r="J43" i="104"/>
  <c r="I43" i="104"/>
  <c r="H43" i="104"/>
  <c r="G43" i="104"/>
  <c r="F43" i="104"/>
  <c r="E43" i="104"/>
  <c r="D43" i="104"/>
  <c r="C43" i="104"/>
  <c r="A43" i="104"/>
  <c r="V42" i="104"/>
  <c r="U42" i="104"/>
  <c r="T42" i="104"/>
  <c r="S42" i="104"/>
  <c r="R42" i="104"/>
  <c r="Q42" i="104"/>
  <c r="P42" i="104"/>
  <c r="O42" i="104"/>
  <c r="N42" i="104"/>
  <c r="L42" i="104"/>
  <c r="K42" i="104"/>
  <c r="J42" i="104"/>
  <c r="I42" i="104"/>
  <c r="H42" i="104"/>
  <c r="G42" i="104"/>
  <c r="F42" i="104"/>
  <c r="E42" i="104"/>
  <c r="D42" i="104"/>
  <c r="C42" i="104"/>
  <c r="A42" i="104"/>
  <c r="V41" i="104"/>
  <c r="U41" i="104"/>
  <c r="T41" i="104"/>
  <c r="S41" i="104"/>
  <c r="R41" i="104"/>
  <c r="Q41" i="104"/>
  <c r="P41" i="104"/>
  <c r="O41" i="104"/>
  <c r="N41" i="104"/>
  <c r="L41" i="104"/>
  <c r="K41" i="104"/>
  <c r="J41" i="104"/>
  <c r="I41" i="104"/>
  <c r="H41" i="104"/>
  <c r="G41" i="104"/>
  <c r="F41" i="104"/>
  <c r="E41" i="104"/>
  <c r="D41" i="104"/>
  <c r="C41" i="104"/>
  <c r="A41" i="104"/>
  <c r="V40" i="104"/>
  <c r="U40" i="104"/>
  <c r="T40" i="104"/>
  <c r="S40" i="104"/>
  <c r="R40" i="104"/>
  <c r="Q40" i="104"/>
  <c r="P40" i="104"/>
  <c r="O40" i="104"/>
  <c r="N40" i="104"/>
  <c r="A40" i="104"/>
  <c r="V39" i="104"/>
  <c r="U39" i="104"/>
  <c r="T39" i="104"/>
  <c r="S39" i="104"/>
  <c r="R39" i="104"/>
  <c r="Q39" i="104"/>
  <c r="P39" i="104"/>
  <c r="O39" i="104"/>
  <c r="N39" i="104"/>
  <c r="L39" i="104"/>
  <c r="K39" i="104"/>
  <c r="J39" i="104"/>
  <c r="I39" i="104"/>
  <c r="H39" i="104"/>
  <c r="G39" i="104"/>
  <c r="F39" i="104"/>
  <c r="E39" i="104"/>
  <c r="D39" i="104"/>
  <c r="C39" i="104"/>
  <c r="A39" i="104"/>
  <c r="V38" i="104"/>
  <c r="U38" i="104"/>
  <c r="T38" i="104"/>
  <c r="S38" i="104"/>
  <c r="R38" i="104"/>
  <c r="Q38" i="104"/>
  <c r="P38" i="104"/>
  <c r="O38" i="104"/>
  <c r="N38" i="104"/>
  <c r="A38" i="104"/>
  <c r="V37" i="104"/>
  <c r="U37" i="104"/>
  <c r="T37" i="104"/>
  <c r="S37" i="104"/>
  <c r="R37" i="104"/>
  <c r="Q37" i="104"/>
  <c r="P37" i="104"/>
  <c r="O37" i="104"/>
  <c r="N37" i="104"/>
  <c r="L37" i="104"/>
  <c r="K37" i="104"/>
  <c r="J37" i="104"/>
  <c r="I37" i="104"/>
  <c r="H37" i="104"/>
  <c r="G37" i="104"/>
  <c r="F37" i="104"/>
  <c r="E37" i="104"/>
  <c r="D37" i="104"/>
  <c r="C37" i="104"/>
  <c r="A37" i="104"/>
  <c r="V36" i="104"/>
  <c r="U36" i="104"/>
  <c r="T36" i="104"/>
  <c r="S36" i="104"/>
  <c r="R36" i="104"/>
  <c r="Q36" i="104"/>
  <c r="P36" i="104"/>
  <c r="O36" i="104"/>
  <c r="N36" i="104"/>
  <c r="C36" i="104"/>
  <c r="A36" i="104"/>
  <c r="V35" i="104"/>
  <c r="U35" i="104"/>
  <c r="T35" i="104"/>
  <c r="S35" i="104"/>
  <c r="R35" i="104"/>
  <c r="Q35" i="104"/>
  <c r="P35" i="104"/>
  <c r="O35" i="104"/>
  <c r="N35" i="104"/>
  <c r="A35" i="104"/>
  <c r="V34" i="104"/>
  <c r="U34" i="104"/>
  <c r="T34" i="104"/>
  <c r="S34" i="104"/>
  <c r="R34" i="104"/>
  <c r="Q34" i="104"/>
  <c r="P34" i="104"/>
  <c r="O34" i="104"/>
  <c r="N34" i="104"/>
  <c r="L34" i="104"/>
  <c r="K34" i="104"/>
  <c r="J34" i="104"/>
  <c r="I34" i="104"/>
  <c r="H34" i="104"/>
  <c r="G34" i="104"/>
  <c r="F34" i="104"/>
  <c r="E34" i="104"/>
  <c r="D34" i="104"/>
  <c r="C34" i="104"/>
  <c r="A34" i="104"/>
  <c r="V33" i="104"/>
  <c r="U33" i="104"/>
  <c r="T33" i="104"/>
  <c r="S33" i="104"/>
  <c r="R33" i="104"/>
  <c r="Q33" i="104"/>
  <c r="P33" i="104"/>
  <c r="O33" i="104"/>
  <c r="N33" i="104"/>
  <c r="L33" i="104"/>
  <c r="K33" i="104"/>
  <c r="J33" i="104"/>
  <c r="I33" i="104"/>
  <c r="H33" i="104"/>
  <c r="G33" i="104"/>
  <c r="F33" i="104"/>
  <c r="E33" i="104"/>
  <c r="D33" i="104"/>
  <c r="T32" i="104"/>
  <c r="S32" i="104"/>
  <c r="V31" i="104"/>
  <c r="U31" i="104"/>
  <c r="T31" i="104"/>
  <c r="S31" i="104"/>
  <c r="R31" i="104"/>
  <c r="Q31" i="104"/>
  <c r="P31" i="104"/>
  <c r="O31" i="104"/>
  <c r="N31" i="104"/>
  <c r="M31" i="104"/>
  <c r="J20" i="104"/>
  <c r="I20" i="104"/>
  <c r="H20" i="104"/>
  <c r="G20" i="104"/>
  <c r="J19" i="104"/>
  <c r="I19" i="104"/>
  <c r="H19" i="104"/>
  <c r="G19" i="104"/>
  <c r="J18" i="104"/>
  <c r="I18" i="104"/>
  <c r="H18" i="104"/>
  <c r="G18" i="104"/>
  <c r="J17" i="104"/>
  <c r="I17" i="104"/>
  <c r="H17" i="104"/>
  <c r="G17" i="104"/>
  <c r="J16" i="104"/>
  <c r="I16" i="104"/>
  <c r="H16" i="104"/>
  <c r="G16" i="104"/>
  <c r="J15" i="104"/>
  <c r="I15" i="104"/>
  <c r="H15" i="104"/>
  <c r="G15" i="104"/>
  <c r="J14" i="104"/>
  <c r="I14" i="104"/>
  <c r="H14" i="104"/>
  <c r="G14" i="104"/>
  <c r="J13" i="104"/>
  <c r="I13" i="104"/>
  <c r="H13" i="104"/>
  <c r="G13" i="104"/>
  <c r="J12" i="104"/>
  <c r="I12" i="104"/>
  <c r="H12" i="104"/>
  <c r="G12" i="104"/>
  <c r="J11" i="104"/>
  <c r="H11" i="104"/>
  <c r="G11" i="104"/>
  <c r="E7" i="104"/>
  <c r="B7" i="104"/>
  <c r="I11" i="104" s="1"/>
  <c r="C33" i="104" s="1"/>
  <c r="H148" i="48"/>
  <c r="G148" i="48"/>
  <c r="F148" i="48"/>
  <c r="E148" i="48"/>
  <c r="D148" i="48"/>
  <c r="I147" i="48"/>
  <c r="H147" i="48"/>
  <c r="D147" i="48"/>
  <c r="I146" i="48"/>
  <c r="H146" i="48"/>
  <c r="D146" i="48"/>
  <c r="I145" i="48"/>
  <c r="H145" i="48"/>
  <c r="D145" i="48"/>
  <c r="I144" i="48"/>
  <c r="H144" i="48"/>
  <c r="D144" i="48"/>
  <c r="I143" i="48"/>
  <c r="H143" i="48"/>
  <c r="D143" i="48"/>
  <c r="I142" i="48"/>
  <c r="H142" i="48"/>
  <c r="D142" i="48"/>
  <c r="I141" i="48"/>
  <c r="H141" i="48"/>
  <c r="D141" i="48"/>
  <c r="I140" i="48"/>
  <c r="H140" i="48"/>
  <c r="D140" i="48"/>
  <c r="I139" i="48"/>
  <c r="H139" i="48"/>
  <c r="D139" i="48"/>
  <c r="F135" i="48"/>
  <c r="E135" i="48"/>
  <c r="D135" i="48"/>
  <c r="F134" i="48"/>
  <c r="E134" i="48"/>
  <c r="D134" i="48"/>
  <c r="F133" i="48"/>
  <c r="E133" i="48"/>
  <c r="D133" i="48"/>
  <c r="V103" i="48"/>
  <c r="U103" i="48"/>
  <c r="T103" i="48"/>
  <c r="S103" i="48"/>
  <c r="R103" i="48"/>
  <c r="Q103" i="48"/>
  <c r="P103" i="48"/>
  <c r="O103" i="48"/>
  <c r="N103" i="48"/>
  <c r="A103" i="48"/>
  <c r="V102" i="48"/>
  <c r="U102" i="48"/>
  <c r="T102" i="48"/>
  <c r="S102" i="48"/>
  <c r="R102" i="48"/>
  <c r="Q102" i="48"/>
  <c r="P102" i="48"/>
  <c r="O102" i="48"/>
  <c r="N102" i="48"/>
  <c r="A102" i="48"/>
  <c r="V101" i="48"/>
  <c r="U101" i="48"/>
  <c r="T101" i="48"/>
  <c r="S101" i="48"/>
  <c r="R101" i="48"/>
  <c r="Q101" i="48"/>
  <c r="P101" i="48"/>
  <c r="O101" i="48"/>
  <c r="N101" i="48"/>
  <c r="A101" i="48"/>
  <c r="V100" i="48"/>
  <c r="U100" i="48"/>
  <c r="T100" i="48"/>
  <c r="S100" i="48"/>
  <c r="R100" i="48"/>
  <c r="Q100" i="48"/>
  <c r="P100" i="48"/>
  <c r="O100" i="48"/>
  <c r="N100" i="48"/>
  <c r="A100" i="48"/>
  <c r="V99" i="48"/>
  <c r="U99" i="48"/>
  <c r="T99" i="48"/>
  <c r="S99" i="48"/>
  <c r="R99" i="48"/>
  <c r="Q99" i="48"/>
  <c r="P99" i="48"/>
  <c r="O99" i="48"/>
  <c r="N99" i="48"/>
  <c r="A99" i="48"/>
  <c r="V98" i="48"/>
  <c r="U98" i="48"/>
  <c r="T98" i="48"/>
  <c r="S98" i="48"/>
  <c r="R98" i="48"/>
  <c r="Q98" i="48"/>
  <c r="P98" i="48"/>
  <c r="O98" i="48"/>
  <c r="N98" i="48"/>
  <c r="A98" i="48"/>
  <c r="V97" i="48"/>
  <c r="U97" i="48"/>
  <c r="T97" i="48"/>
  <c r="S97" i="48"/>
  <c r="R97" i="48"/>
  <c r="Q97" i="48"/>
  <c r="P97" i="48"/>
  <c r="O97" i="48"/>
  <c r="N97" i="48"/>
  <c r="A97" i="48"/>
  <c r="V96" i="48"/>
  <c r="U96" i="48"/>
  <c r="T96" i="48"/>
  <c r="S96" i="48"/>
  <c r="R96" i="48"/>
  <c r="Q96" i="48"/>
  <c r="P96" i="48"/>
  <c r="O96" i="48"/>
  <c r="N96" i="48"/>
  <c r="A96" i="48"/>
  <c r="V95" i="48"/>
  <c r="U95" i="48"/>
  <c r="T95" i="48"/>
  <c r="S95" i="48"/>
  <c r="R95" i="48"/>
  <c r="Q95" i="48"/>
  <c r="P95" i="48"/>
  <c r="O95" i="48"/>
  <c r="N95" i="48"/>
  <c r="A95" i="48"/>
  <c r="V94" i="48"/>
  <c r="U94" i="48"/>
  <c r="T94" i="48"/>
  <c r="S94" i="48"/>
  <c r="R94" i="48"/>
  <c r="Q94" i="48"/>
  <c r="P94" i="48"/>
  <c r="O94" i="48"/>
  <c r="N94" i="48"/>
  <c r="A94" i="48"/>
  <c r="V93" i="48"/>
  <c r="U93" i="48"/>
  <c r="T93" i="48"/>
  <c r="S93" i="48"/>
  <c r="R93" i="48"/>
  <c r="Q93" i="48"/>
  <c r="P93" i="48"/>
  <c r="O93" i="48"/>
  <c r="N93" i="48"/>
  <c r="A93" i="48"/>
  <c r="V92" i="48"/>
  <c r="U92" i="48"/>
  <c r="T92" i="48"/>
  <c r="S92" i="48"/>
  <c r="R92" i="48"/>
  <c r="Q92" i="48"/>
  <c r="P92" i="48"/>
  <c r="O92" i="48"/>
  <c r="N92" i="48"/>
  <c r="A92" i="48"/>
  <c r="V91" i="48"/>
  <c r="U91" i="48"/>
  <c r="T91" i="48"/>
  <c r="S91" i="48"/>
  <c r="R91" i="48"/>
  <c r="Q91" i="48"/>
  <c r="P91" i="48"/>
  <c r="O91" i="48"/>
  <c r="N91" i="48"/>
  <c r="A91" i="48"/>
  <c r="V90" i="48"/>
  <c r="U90" i="48"/>
  <c r="T90" i="48"/>
  <c r="S90" i="48"/>
  <c r="R90" i="48"/>
  <c r="Q90" i="48"/>
  <c r="P90" i="48"/>
  <c r="O90" i="48"/>
  <c r="N90" i="48"/>
  <c r="A90" i="48"/>
  <c r="V89" i="48"/>
  <c r="U89" i="48"/>
  <c r="T89" i="48"/>
  <c r="S89" i="48"/>
  <c r="R89" i="48"/>
  <c r="Q89" i="48"/>
  <c r="P89" i="48"/>
  <c r="O89" i="48"/>
  <c r="N89" i="48"/>
  <c r="A89" i="48"/>
  <c r="V88" i="48"/>
  <c r="U88" i="48"/>
  <c r="T88" i="48"/>
  <c r="S88" i="48"/>
  <c r="R88" i="48"/>
  <c r="Q88" i="48"/>
  <c r="P88" i="48"/>
  <c r="O88" i="48"/>
  <c r="N88" i="48"/>
  <c r="A88" i="48"/>
  <c r="V87" i="48"/>
  <c r="U87" i="48"/>
  <c r="T87" i="48"/>
  <c r="S87" i="48"/>
  <c r="R87" i="48"/>
  <c r="Q87" i="48"/>
  <c r="P87" i="48"/>
  <c r="O87" i="48"/>
  <c r="N87" i="48"/>
  <c r="A87" i="48"/>
  <c r="V86" i="48"/>
  <c r="U86" i="48"/>
  <c r="T86" i="48"/>
  <c r="S86" i="48"/>
  <c r="R86" i="48"/>
  <c r="Q86" i="48"/>
  <c r="P86" i="48"/>
  <c r="O86" i="48"/>
  <c r="N86" i="48"/>
  <c r="A86" i="48"/>
  <c r="V85" i="48"/>
  <c r="U85" i="48"/>
  <c r="T85" i="48"/>
  <c r="S85" i="48"/>
  <c r="R85" i="48"/>
  <c r="Q85" i="48"/>
  <c r="P85" i="48"/>
  <c r="O85" i="48"/>
  <c r="N85" i="48"/>
  <c r="A85" i="48"/>
  <c r="V84" i="48"/>
  <c r="U84" i="48"/>
  <c r="T84" i="48"/>
  <c r="S84" i="48"/>
  <c r="R84" i="48"/>
  <c r="Q84" i="48"/>
  <c r="P84" i="48"/>
  <c r="O84" i="48"/>
  <c r="N84" i="48"/>
  <c r="A84" i="48"/>
  <c r="V83" i="48"/>
  <c r="U83" i="48"/>
  <c r="T83" i="48"/>
  <c r="S83" i="48"/>
  <c r="R83" i="48"/>
  <c r="Q83" i="48"/>
  <c r="P83" i="48"/>
  <c r="O83" i="48"/>
  <c r="N83" i="48"/>
  <c r="A83" i="48"/>
  <c r="V82" i="48"/>
  <c r="U82" i="48"/>
  <c r="T82" i="48"/>
  <c r="S82" i="48"/>
  <c r="R82" i="48"/>
  <c r="Q82" i="48"/>
  <c r="P82" i="48"/>
  <c r="O82" i="48"/>
  <c r="N82" i="48"/>
  <c r="L82" i="48"/>
  <c r="K82" i="48"/>
  <c r="J82" i="48"/>
  <c r="I82" i="48"/>
  <c r="H82" i="48"/>
  <c r="G82" i="48"/>
  <c r="F82" i="48"/>
  <c r="A82" i="48"/>
  <c r="V81" i="48"/>
  <c r="U81" i="48"/>
  <c r="T81" i="48"/>
  <c r="S81" i="48"/>
  <c r="R81" i="48"/>
  <c r="Q81" i="48"/>
  <c r="P81" i="48"/>
  <c r="O81" i="48"/>
  <c r="N81" i="48"/>
  <c r="A81" i="48"/>
  <c r="V80" i="48"/>
  <c r="U80" i="48"/>
  <c r="T80" i="48"/>
  <c r="S80" i="48"/>
  <c r="R80" i="48"/>
  <c r="Q80" i="48"/>
  <c r="P80" i="48"/>
  <c r="O80" i="48"/>
  <c r="N80" i="48"/>
  <c r="A80" i="48"/>
  <c r="V79" i="48"/>
  <c r="U79" i="48"/>
  <c r="T79" i="48"/>
  <c r="S79" i="48"/>
  <c r="R79" i="48"/>
  <c r="Q79" i="48"/>
  <c r="P79" i="48"/>
  <c r="O79" i="48"/>
  <c r="N79" i="48"/>
  <c r="A79" i="48"/>
  <c r="V78" i="48"/>
  <c r="U78" i="48"/>
  <c r="T78" i="48"/>
  <c r="S78" i="48"/>
  <c r="R78" i="48"/>
  <c r="Q78" i="48"/>
  <c r="P78" i="48"/>
  <c r="O78" i="48"/>
  <c r="N78" i="48"/>
  <c r="A78" i="48"/>
  <c r="V77" i="48"/>
  <c r="U77" i="48"/>
  <c r="T77" i="48"/>
  <c r="S77" i="48"/>
  <c r="R77" i="48"/>
  <c r="Q77" i="48"/>
  <c r="P77" i="48"/>
  <c r="O77" i="48"/>
  <c r="N77" i="48"/>
  <c r="A77" i="48"/>
  <c r="V76" i="48"/>
  <c r="U76" i="48"/>
  <c r="T76" i="48"/>
  <c r="S76" i="48"/>
  <c r="R76" i="48"/>
  <c r="Q76" i="48"/>
  <c r="P76" i="48"/>
  <c r="O76" i="48"/>
  <c r="N76" i="48"/>
  <c r="A76" i="48"/>
  <c r="V75" i="48"/>
  <c r="U75" i="48"/>
  <c r="T75" i="48"/>
  <c r="S75" i="48"/>
  <c r="R75" i="48"/>
  <c r="Q75" i="48"/>
  <c r="P75" i="48"/>
  <c r="O75" i="48"/>
  <c r="N75" i="48"/>
  <c r="A75" i="48"/>
  <c r="V74" i="48"/>
  <c r="U74" i="48"/>
  <c r="T74" i="48"/>
  <c r="S74" i="48"/>
  <c r="R74" i="48"/>
  <c r="Q74" i="48"/>
  <c r="P74" i="48"/>
  <c r="O74" i="48"/>
  <c r="N74" i="48"/>
  <c r="A74" i="48"/>
  <c r="V73" i="48"/>
  <c r="U73" i="48"/>
  <c r="T73" i="48"/>
  <c r="S73" i="48"/>
  <c r="R73" i="48"/>
  <c r="Q73" i="48"/>
  <c r="P73" i="48"/>
  <c r="O73" i="48"/>
  <c r="N73" i="48"/>
  <c r="A73" i="48"/>
  <c r="V72" i="48"/>
  <c r="U72" i="48"/>
  <c r="T72" i="48"/>
  <c r="S72" i="48"/>
  <c r="R72" i="48"/>
  <c r="Q72" i="48"/>
  <c r="P72" i="48"/>
  <c r="O72" i="48"/>
  <c r="N72" i="48"/>
  <c r="A72" i="48"/>
  <c r="V71" i="48"/>
  <c r="U71" i="48"/>
  <c r="T71" i="48"/>
  <c r="S71" i="48"/>
  <c r="R71" i="48"/>
  <c r="Q71" i="48"/>
  <c r="P71" i="48"/>
  <c r="O71" i="48"/>
  <c r="N71" i="48"/>
  <c r="L71" i="48"/>
  <c r="K71" i="48"/>
  <c r="J71" i="48"/>
  <c r="I71" i="48"/>
  <c r="H71" i="48"/>
  <c r="G71" i="48"/>
  <c r="F71" i="48"/>
  <c r="E71" i="48"/>
  <c r="D71" i="48"/>
  <c r="C71" i="48"/>
  <c r="A71" i="48"/>
  <c r="V70" i="48"/>
  <c r="U70" i="48"/>
  <c r="T70" i="48"/>
  <c r="S70" i="48"/>
  <c r="R70" i="48"/>
  <c r="Q70" i="48"/>
  <c r="P70" i="48"/>
  <c r="O70" i="48"/>
  <c r="N70" i="48"/>
  <c r="A70" i="48"/>
  <c r="V69" i="48"/>
  <c r="U69" i="48"/>
  <c r="T69" i="48"/>
  <c r="S69" i="48"/>
  <c r="R69" i="48"/>
  <c r="Q69" i="48"/>
  <c r="P69" i="48"/>
  <c r="O69" i="48"/>
  <c r="N69" i="48"/>
  <c r="L69" i="48"/>
  <c r="K69" i="48"/>
  <c r="J69" i="48"/>
  <c r="I69" i="48"/>
  <c r="H69" i="48"/>
  <c r="G69" i="48"/>
  <c r="F69" i="48"/>
  <c r="E69" i="48"/>
  <c r="D69" i="48"/>
  <c r="C69" i="48"/>
  <c r="A69" i="48"/>
  <c r="V68" i="48"/>
  <c r="U68" i="48"/>
  <c r="T68" i="48"/>
  <c r="S68" i="48"/>
  <c r="R68" i="48"/>
  <c r="Q68" i="48"/>
  <c r="P68" i="48"/>
  <c r="O68" i="48"/>
  <c r="N68" i="48"/>
  <c r="C68" i="48"/>
  <c r="A68" i="48"/>
  <c r="V67" i="48"/>
  <c r="U67" i="48"/>
  <c r="T67" i="48"/>
  <c r="S67" i="48"/>
  <c r="R67" i="48"/>
  <c r="Q67" i="48"/>
  <c r="P67" i="48"/>
  <c r="O67" i="48"/>
  <c r="N67" i="48"/>
  <c r="A67" i="48"/>
  <c r="V66" i="48"/>
  <c r="U66" i="48"/>
  <c r="T66" i="48"/>
  <c r="S66" i="48"/>
  <c r="R66" i="48"/>
  <c r="Q66" i="48"/>
  <c r="P66" i="48"/>
  <c r="O66" i="48"/>
  <c r="N66" i="48"/>
  <c r="A66" i="48"/>
  <c r="V65" i="48"/>
  <c r="U65" i="48"/>
  <c r="T65" i="48"/>
  <c r="S65" i="48"/>
  <c r="R65" i="48"/>
  <c r="Q65" i="48"/>
  <c r="P65" i="48"/>
  <c r="O65" i="48"/>
  <c r="N65" i="48"/>
  <c r="C65" i="48"/>
  <c r="A65" i="48"/>
  <c r="V64" i="48"/>
  <c r="U64" i="48"/>
  <c r="T64" i="48"/>
  <c r="S64" i="48"/>
  <c r="R64" i="48"/>
  <c r="Q64" i="48"/>
  <c r="P64" i="48"/>
  <c r="O64" i="48"/>
  <c r="N64" i="48"/>
  <c r="C64" i="48"/>
  <c r="A64" i="48"/>
  <c r="V63" i="48"/>
  <c r="U63" i="48"/>
  <c r="T63" i="48"/>
  <c r="S63" i="48"/>
  <c r="R63" i="48"/>
  <c r="Q63" i="48"/>
  <c r="P63" i="48"/>
  <c r="O63" i="48"/>
  <c r="N63" i="48"/>
  <c r="A63" i="48"/>
  <c r="V62" i="48"/>
  <c r="U62" i="48"/>
  <c r="T62" i="48"/>
  <c r="S62" i="48"/>
  <c r="R62" i="48"/>
  <c r="Q62" i="48"/>
  <c r="P62" i="48"/>
  <c r="O62" i="48"/>
  <c r="N62" i="48"/>
  <c r="A62" i="48"/>
  <c r="V61" i="48"/>
  <c r="U61" i="48"/>
  <c r="T61" i="48"/>
  <c r="S61" i="48"/>
  <c r="R61" i="48"/>
  <c r="Q61" i="48"/>
  <c r="P61" i="48"/>
  <c r="O61" i="48"/>
  <c r="N61" i="48"/>
  <c r="A61" i="48"/>
  <c r="V60" i="48"/>
  <c r="U60" i="48"/>
  <c r="T60" i="48"/>
  <c r="S60" i="48"/>
  <c r="R60" i="48"/>
  <c r="Q60" i="48"/>
  <c r="P60" i="48"/>
  <c r="O60" i="48"/>
  <c r="N60" i="48"/>
  <c r="A60" i="48"/>
  <c r="V59" i="48"/>
  <c r="U59" i="48"/>
  <c r="T59" i="48"/>
  <c r="S59" i="48"/>
  <c r="R59" i="48"/>
  <c r="Q59" i="48"/>
  <c r="P59" i="48"/>
  <c r="O59" i="48"/>
  <c r="N59" i="48"/>
  <c r="A59" i="48"/>
  <c r="V58" i="48"/>
  <c r="U58" i="48"/>
  <c r="T58" i="48"/>
  <c r="S58" i="48"/>
  <c r="R58" i="48"/>
  <c r="Q58" i="48"/>
  <c r="P58" i="48"/>
  <c r="O58" i="48"/>
  <c r="N58" i="48"/>
  <c r="C58" i="48"/>
  <c r="A58" i="48"/>
  <c r="V57" i="48"/>
  <c r="U57" i="48"/>
  <c r="T57" i="48"/>
  <c r="S57" i="48"/>
  <c r="R57" i="48"/>
  <c r="Q57" i="48"/>
  <c r="P57" i="48"/>
  <c r="O57" i="48"/>
  <c r="N57" i="48"/>
  <c r="C57" i="48"/>
  <c r="A57" i="48"/>
  <c r="V56" i="48"/>
  <c r="U56" i="48"/>
  <c r="T56" i="48"/>
  <c r="S56" i="48"/>
  <c r="R56" i="48"/>
  <c r="Q56" i="48"/>
  <c r="P56" i="48"/>
  <c r="O56" i="48"/>
  <c r="N56" i="48"/>
  <c r="A56" i="48"/>
  <c r="V55" i="48"/>
  <c r="U55" i="48"/>
  <c r="T55" i="48"/>
  <c r="S55" i="48"/>
  <c r="R55" i="48"/>
  <c r="Q55" i="48"/>
  <c r="P55" i="48"/>
  <c r="O55" i="48"/>
  <c r="N55" i="48"/>
  <c r="A55" i="48"/>
  <c r="V54" i="48"/>
  <c r="U54" i="48"/>
  <c r="T54" i="48"/>
  <c r="S54" i="48"/>
  <c r="R54" i="48"/>
  <c r="Q54" i="48"/>
  <c r="P54" i="48"/>
  <c r="O54" i="48"/>
  <c r="N54" i="48"/>
  <c r="C54" i="48"/>
  <c r="A54" i="48"/>
  <c r="V53" i="48"/>
  <c r="U53" i="48"/>
  <c r="T53" i="48"/>
  <c r="S53" i="48"/>
  <c r="R53" i="48"/>
  <c r="Q53" i="48"/>
  <c r="P53" i="48"/>
  <c r="O53" i="48"/>
  <c r="N53" i="48"/>
  <c r="L53" i="48"/>
  <c r="K53" i="48"/>
  <c r="J53" i="48"/>
  <c r="I53" i="48"/>
  <c r="H53" i="48"/>
  <c r="G53" i="48"/>
  <c r="F53" i="48"/>
  <c r="E53" i="48"/>
  <c r="D53" i="48"/>
  <c r="C53" i="48"/>
  <c r="A53" i="48"/>
  <c r="V52" i="48"/>
  <c r="U52" i="48"/>
  <c r="T52" i="48"/>
  <c r="S52" i="48"/>
  <c r="R52" i="48"/>
  <c r="Q52" i="48"/>
  <c r="P52" i="48"/>
  <c r="O52" i="48"/>
  <c r="N52" i="48"/>
  <c r="L52" i="48"/>
  <c r="K52" i="48"/>
  <c r="J52" i="48"/>
  <c r="I52" i="48"/>
  <c r="H52" i="48"/>
  <c r="G52" i="48"/>
  <c r="F52" i="48"/>
  <c r="E52" i="48"/>
  <c r="D52" i="48"/>
  <c r="C52" i="48"/>
  <c r="A52" i="48"/>
  <c r="V51" i="48"/>
  <c r="U51" i="48"/>
  <c r="T51" i="48"/>
  <c r="S51" i="48"/>
  <c r="R51" i="48"/>
  <c r="Q51" i="48"/>
  <c r="P51" i="48"/>
  <c r="O51" i="48"/>
  <c r="N51" i="48"/>
  <c r="A51" i="48"/>
  <c r="V50" i="48"/>
  <c r="U50" i="48"/>
  <c r="T50" i="48"/>
  <c r="S50" i="48"/>
  <c r="R50" i="48"/>
  <c r="Q50" i="48"/>
  <c r="P50" i="48"/>
  <c r="O50" i="48"/>
  <c r="N50" i="48"/>
  <c r="A50" i="48"/>
  <c r="V49" i="48"/>
  <c r="U49" i="48"/>
  <c r="T49" i="48"/>
  <c r="S49" i="48"/>
  <c r="R49" i="48"/>
  <c r="Q49" i="48"/>
  <c r="P49" i="48"/>
  <c r="O49" i="48"/>
  <c r="N49" i="48"/>
  <c r="A49" i="48"/>
  <c r="V48" i="48"/>
  <c r="U48" i="48"/>
  <c r="T48" i="48"/>
  <c r="S48" i="48"/>
  <c r="R48" i="48"/>
  <c r="Q48" i="48"/>
  <c r="P48" i="48"/>
  <c r="O48" i="48"/>
  <c r="N48" i="48"/>
  <c r="A48" i="48"/>
  <c r="V47" i="48"/>
  <c r="U47" i="48"/>
  <c r="T47" i="48"/>
  <c r="S47" i="48"/>
  <c r="R47" i="48"/>
  <c r="Q47" i="48"/>
  <c r="P47" i="48"/>
  <c r="O47" i="48"/>
  <c r="N47" i="48"/>
  <c r="A47" i="48"/>
  <c r="V46" i="48"/>
  <c r="U46" i="48"/>
  <c r="T46" i="48"/>
  <c r="S46" i="48"/>
  <c r="R46" i="48"/>
  <c r="Q46" i="48"/>
  <c r="P46" i="48"/>
  <c r="O46" i="48"/>
  <c r="N46" i="48"/>
  <c r="A46" i="48"/>
  <c r="V45" i="48"/>
  <c r="U45" i="48"/>
  <c r="T45" i="48"/>
  <c r="S45" i="48"/>
  <c r="R45" i="48"/>
  <c r="Q45" i="48"/>
  <c r="P45" i="48"/>
  <c r="O45" i="48"/>
  <c r="N45" i="48"/>
  <c r="A45" i="48"/>
  <c r="V44" i="48"/>
  <c r="U44" i="48"/>
  <c r="T44" i="48"/>
  <c r="S44" i="48"/>
  <c r="R44" i="48"/>
  <c r="Q44" i="48"/>
  <c r="P44" i="48"/>
  <c r="O44" i="48"/>
  <c r="N44" i="48"/>
  <c r="A44" i="48"/>
  <c r="V43" i="48"/>
  <c r="U43" i="48"/>
  <c r="T43" i="48"/>
  <c r="S43" i="48"/>
  <c r="R43" i="48"/>
  <c r="Q43" i="48"/>
  <c r="P43" i="48"/>
  <c r="O43" i="48"/>
  <c r="N43" i="48"/>
  <c r="L43" i="48"/>
  <c r="K43" i="48"/>
  <c r="J43" i="48"/>
  <c r="I43" i="48"/>
  <c r="H43" i="48"/>
  <c r="G43" i="48"/>
  <c r="F43" i="48"/>
  <c r="E43" i="48"/>
  <c r="D43" i="48"/>
  <c r="C43" i="48"/>
  <c r="A43" i="48"/>
  <c r="V42" i="48"/>
  <c r="U42" i="48"/>
  <c r="T42" i="48"/>
  <c r="S42" i="48"/>
  <c r="R42" i="48"/>
  <c r="Q42" i="48"/>
  <c r="P42" i="48"/>
  <c r="O42" i="48"/>
  <c r="N42" i="48"/>
  <c r="L42" i="48"/>
  <c r="K42" i="48"/>
  <c r="J42" i="48"/>
  <c r="I42" i="48"/>
  <c r="H42" i="48"/>
  <c r="G42" i="48"/>
  <c r="F42" i="48"/>
  <c r="E42" i="48"/>
  <c r="D42" i="48"/>
  <c r="C42" i="48"/>
  <c r="A42" i="48"/>
  <c r="V41" i="48"/>
  <c r="U41" i="48"/>
  <c r="T41" i="48"/>
  <c r="S41" i="48"/>
  <c r="R41" i="48"/>
  <c r="Q41" i="48"/>
  <c r="P41" i="48"/>
  <c r="O41" i="48"/>
  <c r="N41" i="48"/>
  <c r="L41" i="48"/>
  <c r="K41" i="48"/>
  <c r="J41" i="48"/>
  <c r="I41" i="48"/>
  <c r="H41" i="48"/>
  <c r="G41" i="48"/>
  <c r="F41" i="48"/>
  <c r="E41" i="48"/>
  <c r="D41" i="48"/>
  <c r="C41" i="48"/>
  <c r="A41" i="48"/>
  <c r="V40" i="48"/>
  <c r="U40" i="48"/>
  <c r="T40" i="48"/>
  <c r="S40" i="48"/>
  <c r="R40" i="48"/>
  <c r="Q40" i="48"/>
  <c r="P40" i="48"/>
  <c r="O40" i="48"/>
  <c r="N40" i="48"/>
  <c r="A40" i="48"/>
  <c r="V39" i="48"/>
  <c r="U39" i="48"/>
  <c r="T39" i="48"/>
  <c r="S39" i="48"/>
  <c r="R39" i="48"/>
  <c r="Q39" i="48"/>
  <c r="P39" i="48"/>
  <c r="O39" i="48"/>
  <c r="N39" i="48"/>
  <c r="L39" i="48"/>
  <c r="K39" i="48"/>
  <c r="J39" i="48"/>
  <c r="I39" i="48"/>
  <c r="H39" i="48"/>
  <c r="G39" i="48"/>
  <c r="F39" i="48"/>
  <c r="E39" i="48"/>
  <c r="D39" i="48"/>
  <c r="C39" i="48"/>
  <c r="A39" i="48"/>
  <c r="V38" i="48"/>
  <c r="U38" i="48"/>
  <c r="T38" i="48"/>
  <c r="S38" i="48"/>
  <c r="R38" i="48"/>
  <c r="Q38" i="48"/>
  <c r="P38" i="48"/>
  <c r="O38" i="48"/>
  <c r="N38" i="48"/>
  <c r="A38" i="48"/>
  <c r="V37" i="48"/>
  <c r="U37" i="48"/>
  <c r="T37" i="48"/>
  <c r="S37" i="48"/>
  <c r="R37" i="48"/>
  <c r="Q37" i="48"/>
  <c r="P37" i="48"/>
  <c r="O37" i="48"/>
  <c r="N37" i="48"/>
  <c r="L37" i="48"/>
  <c r="K37" i="48"/>
  <c r="J37" i="48"/>
  <c r="I37" i="48"/>
  <c r="H37" i="48"/>
  <c r="G37" i="48"/>
  <c r="F37" i="48"/>
  <c r="E37" i="48"/>
  <c r="D37" i="48"/>
  <c r="C37" i="48"/>
  <c r="A37" i="48"/>
  <c r="V36" i="48"/>
  <c r="U36" i="48"/>
  <c r="T36" i="48"/>
  <c r="S36" i="48"/>
  <c r="R36" i="48"/>
  <c r="Q36" i="48"/>
  <c r="P36" i="48"/>
  <c r="O36" i="48"/>
  <c r="N36" i="48"/>
  <c r="C36" i="48"/>
  <c r="A36" i="48"/>
  <c r="V35" i="48"/>
  <c r="U35" i="48"/>
  <c r="T35" i="48"/>
  <c r="S35" i="48"/>
  <c r="R35" i="48"/>
  <c r="Q35" i="48"/>
  <c r="P35" i="48"/>
  <c r="O35" i="48"/>
  <c r="N35" i="48"/>
  <c r="A35" i="48"/>
  <c r="V34" i="48"/>
  <c r="U34" i="48"/>
  <c r="T34" i="48"/>
  <c r="S34" i="48"/>
  <c r="R34" i="48"/>
  <c r="Q34" i="48"/>
  <c r="P34" i="48"/>
  <c r="O34" i="48"/>
  <c r="N34" i="48"/>
  <c r="L34" i="48"/>
  <c r="K34" i="48"/>
  <c r="J34" i="48"/>
  <c r="I34" i="48"/>
  <c r="H34" i="48"/>
  <c r="G34" i="48"/>
  <c r="F34" i="48"/>
  <c r="E34" i="48"/>
  <c r="D34" i="48"/>
  <c r="C34" i="48"/>
  <c r="A34" i="48"/>
  <c r="V33" i="48"/>
  <c r="U33" i="48"/>
  <c r="T33" i="48"/>
  <c r="S33" i="48"/>
  <c r="R33" i="48"/>
  <c r="Q33" i="48"/>
  <c r="P33" i="48"/>
  <c r="O33" i="48"/>
  <c r="N33" i="48"/>
  <c r="L33" i="48"/>
  <c r="K33" i="48"/>
  <c r="J33" i="48"/>
  <c r="I33" i="48"/>
  <c r="H33" i="48"/>
  <c r="G33" i="48"/>
  <c r="F33" i="48"/>
  <c r="E33" i="48"/>
  <c r="D33" i="48"/>
  <c r="T32" i="48"/>
  <c r="S32" i="48"/>
  <c r="V31" i="48"/>
  <c r="U31" i="48"/>
  <c r="T31" i="48"/>
  <c r="S31" i="48"/>
  <c r="R31" i="48"/>
  <c r="Q31" i="48"/>
  <c r="P31" i="48"/>
  <c r="O31" i="48"/>
  <c r="N31" i="48"/>
  <c r="M31" i="48"/>
  <c r="J20" i="48"/>
  <c r="I20" i="48"/>
  <c r="H20" i="48"/>
  <c r="G20" i="48"/>
  <c r="J19" i="48"/>
  <c r="I19" i="48"/>
  <c r="H19" i="48"/>
  <c r="G19" i="48"/>
  <c r="J18" i="48"/>
  <c r="I18" i="48"/>
  <c r="H18" i="48"/>
  <c r="G18" i="48"/>
  <c r="J17" i="48"/>
  <c r="I17" i="48"/>
  <c r="H17" i="48"/>
  <c r="G17" i="48"/>
  <c r="J16" i="48"/>
  <c r="I16" i="48"/>
  <c r="H16" i="48"/>
  <c r="G16" i="48"/>
  <c r="J15" i="48"/>
  <c r="I15" i="48"/>
  <c r="H15" i="48"/>
  <c r="G15" i="48"/>
  <c r="J14" i="48"/>
  <c r="I14" i="48"/>
  <c r="H14" i="48"/>
  <c r="G14" i="48"/>
  <c r="J13" i="48"/>
  <c r="I13" i="48"/>
  <c r="H13" i="48"/>
  <c r="G13" i="48"/>
  <c r="J12" i="48"/>
  <c r="I12" i="48"/>
  <c r="H12" i="48"/>
  <c r="G12" i="48"/>
  <c r="J11" i="48"/>
  <c r="H11" i="48"/>
  <c r="G11" i="48"/>
  <c r="E7" i="48"/>
  <c r="B7" i="48"/>
  <c r="I11" i="48" s="1"/>
  <c r="C33" i="48" s="1"/>
  <c r="C35" i="48" s="1"/>
  <c r="G132" i="47"/>
  <c r="F132" i="47"/>
  <c r="E132" i="47"/>
  <c r="D132" i="47"/>
  <c r="C132" i="47"/>
  <c r="H131" i="47"/>
  <c r="G131" i="47"/>
  <c r="D131" i="47"/>
  <c r="C131" i="47"/>
  <c r="H130" i="47"/>
  <c r="G130" i="47"/>
  <c r="D130" i="47"/>
  <c r="C130" i="47"/>
  <c r="H129" i="47"/>
  <c r="G129" i="47"/>
  <c r="D129" i="47"/>
  <c r="C129" i="47"/>
  <c r="H128" i="47"/>
  <c r="G128" i="47"/>
  <c r="D128" i="47"/>
  <c r="C128" i="47"/>
  <c r="H127" i="47"/>
  <c r="G127" i="47"/>
  <c r="D127" i="47"/>
  <c r="C127" i="47"/>
  <c r="H126" i="47"/>
  <c r="G126" i="47"/>
  <c r="D126" i="47"/>
  <c r="C126" i="47"/>
  <c r="V103" i="47"/>
  <c r="U103" i="47"/>
  <c r="T103" i="47"/>
  <c r="S103" i="47"/>
  <c r="R103" i="47"/>
  <c r="Q103" i="47"/>
  <c r="P103" i="47"/>
  <c r="O103" i="47"/>
  <c r="N103" i="47"/>
  <c r="D103" i="47"/>
  <c r="A103" i="47"/>
  <c r="V102" i="47"/>
  <c r="U102" i="47"/>
  <c r="T102" i="47"/>
  <c r="S102" i="47"/>
  <c r="R102" i="47"/>
  <c r="Q102" i="47"/>
  <c r="P102" i="47"/>
  <c r="O102" i="47"/>
  <c r="N102" i="47"/>
  <c r="D102" i="47"/>
  <c r="A102" i="47"/>
  <c r="V101" i="47"/>
  <c r="U101" i="47"/>
  <c r="T101" i="47"/>
  <c r="S101" i="47"/>
  <c r="R101" i="47"/>
  <c r="Q101" i="47"/>
  <c r="P101" i="47"/>
  <c r="O101" i="47"/>
  <c r="N101" i="47"/>
  <c r="A101" i="47"/>
  <c r="V100" i="47"/>
  <c r="U100" i="47"/>
  <c r="T100" i="47"/>
  <c r="S100" i="47"/>
  <c r="R100" i="47"/>
  <c r="Q100" i="47"/>
  <c r="P100" i="47"/>
  <c r="O100" i="47"/>
  <c r="N100" i="47"/>
  <c r="A100" i="47"/>
  <c r="V99" i="47"/>
  <c r="U99" i="47"/>
  <c r="T99" i="47"/>
  <c r="S99" i="47"/>
  <c r="R99" i="47"/>
  <c r="Q99" i="47"/>
  <c r="P99" i="47"/>
  <c r="O99" i="47"/>
  <c r="N99" i="47"/>
  <c r="A99" i="47"/>
  <c r="V98" i="47"/>
  <c r="U98" i="47"/>
  <c r="T98" i="47"/>
  <c r="S98" i="47"/>
  <c r="R98" i="47"/>
  <c r="Q98" i="47"/>
  <c r="P98" i="47"/>
  <c r="O98" i="47"/>
  <c r="N98" i="47"/>
  <c r="A98" i="47"/>
  <c r="V97" i="47"/>
  <c r="U97" i="47"/>
  <c r="T97" i="47"/>
  <c r="S97" i="47"/>
  <c r="R97" i="47"/>
  <c r="Q97" i="47"/>
  <c r="P97" i="47"/>
  <c r="O97" i="47"/>
  <c r="N97" i="47"/>
  <c r="A97" i="47"/>
  <c r="V96" i="47"/>
  <c r="U96" i="47"/>
  <c r="T96" i="47"/>
  <c r="S96" i="47"/>
  <c r="R96" i="47"/>
  <c r="Q96" i="47"/>
  <c r="P96" i="47"/>
  <c r="O96" i="47"/>
  <c r="N96" i="47"/>
  <c r="A96" i="47"/>
  <c r="V95" i="47"/>
  <c r="U95" i="47"/>
  <c r="T95" i="47"/>
  <c r="S95" i="47"/>
  <c r="R95" i="47"/>
  <c r="Q95" i="47"/>
  <c r="P95" i="47"/>
  <c r="O95" i="47"/>
  <c r="N95" i="47"/>
  <c r="A95" i="47"/>
  <c r="V94" i="47"/>
  <c r="U94" i="47"/>
  <c r="T94" i="47"/>
  <c r="S94" i="47"/>
  <c r="R94" i="47"/>
  <c r="Q94" i="47"/>
  <c r="P94" i="47"/>
  <c r="O94" i="47"/>
  <c r="N94" i="47"/>
  <c r="A94" i="47"/>
  <c r="V93" i="47"/>
  <c r="U93" i="47"/>
  <c r="T93" i="47"/>
  <c r="S93" i="47"/>
  <c r="R93" i="47"/>
  <c r="Q93" i="47"/>
  <c r="P93" i="47"/>
  <c r="O93" i="47"/>
  <c r="N93" i="47"/>
  <c r="A93" i="47"/>
  <c r="V92" i="47"/>
  <c r="U92" i="47"/>
  <c r="T92" i="47"/>
  <c r="S92" i="47"/>
  <c r="R92" i="47"/>
  <c r="Q92" i="47"/>
  <c r="P92" i="47"/>
  <c r="O92" i="47"/>
  <c r="N92" i="47"/>
  <c r="A92" i="47"/>
  <c r="V91" i="47"/>
  <c r="U91" i="47"/>
  <c r="T91" i="47"/>
  <c r="S91" i="47"/>
  <c r="R91" i="47"/>
  <c r="Q91" i="47"/>
  <c r="P91" i="47"/>
  <c r="O91" i="47"/>
  <c r="N91" i="47"/>
  <c r="A91" i="47"/>
  <c r="V90" i="47"/>
  <c r="U90" i="47"/>
  <c r="T90" i="47"/>
  <c r="S90" i="47"/>
  <c r="R90" i="47"/>
  <c r="Q90" i="47"/>
  <c r="P90" i="47"/>
  <c r="O90" i="47"/>
  <c r="N90" i="47"/>
  <c r="A90" i="47"/>
  <c r="V89" i="47"/>
  <c r="U89" i="47"/>
  <c r="T89" i="47"/>
  <c r="S89" i="47"/>
  <c r="R89" i="47"/>
  <c r="Q89" i="47"/>
  <c r="P89" i="47"/>
  <c r="O89" i="47"/>
  <c r="N89" i="47"/>
  <c r="A89" i="47"/>
  <c r="V88" i="47"/>
  <c r="U88" i="47"/>
  <c r="T88" i="47"/>
  <c r="S88" i="47"/>
  <c r="R88" i="47"/>
  <c r="Q88" i="47"/>
  <c r="P88" i="47"/>
  <c r="O88" i="47"/>
  <c r="N88" i="47"/>
  <c r="A88" i="47"/>
  <c r="V87" i="47"/>
  <c r="U87" i="47"/>
  <c r="T87" i="47"/>
  <c r="S87" i="47"/>
  <c r="R87" i="47"/>
  <c r="Q87" i="47"/>
  <c r="P87" i="47"/>
  <c r="O87" i="47"/>
  <c r="N87" i="47"/>
  <c r="A87" i="47"/>
  <c r="V86" i="47"/>
  <c r="U86" i="47"/>
  <c r="T86" i="47"/>
  <c r="S86" i="47"/>
  <c r="R86" i="47"/>
  <c r="Q86" i="47"/>
  <c r="P86" i="47"/>
  <c r="O86" i="47"/>
  <c r="N86" i="47"/>
  <c r="A86" i="47"/>
  <c r="V85" i="47"/>
  <c r="U85" i="47"/>
  <c r="T85" i="47"/>
  <c r="S85" i="47"/>
  <c r="R85" i="47"/>
  <c r="Q85" i="47"/>
  <c r="P85" i="47"/>
  <c r="O85" i="47"/>
  <c r="N85" i="47"/>
  <c r="A85" i="47"/>
  <c r="V84" i="47"/>
  <c r="U84" i="47"/>
  <c r="T84" i="47"/>
  <c r="S84" i="47"/>
  <c r="R84" i="47"/>
  <c r="Q84" i="47"/>
  <c r="P84" i="47"/>
  <c r="O84" i="47"/>
  <c r="N84" i="47"/>
  <c r="A84" i="47"/>
  <c r="V83" i="47"/>
  <c r="U83" i="47"/>
  <c r="T83" i="47"/>
  <c r="S83" i="47"/>
  <c r="R83" i="47"/>
  <c r="Q83" i="47"/>
  <c r="P83" i="47"/>
  <c r="O83" i="47"/>
  <c r="N83" i="47"/>
  <c r="A83" i="47"/>
  <c r="V82" i="47"/>
  <c r="U82" i="47"/>
  <c r="T82" i="47"/>
  <c r="S82" i="47"/>
  <c r="R82" i="47"/>
  <c r="Q82" i="47"/>
  <c r="P82" i="47"/>
  <c r="O82" i="47"/>
  <c r="N82" i="47"/>
  <c r="L82" i="47"/>
  <c r="K82" i="47"/>
  <c r="J82" i="47"/>
  <c r="I82" i="47"/>
  <c r="H82" i="47"/>
  <c r="G82" i="47"/>
  <c r="F82" i="47"/>
  <c r="A82" i="47"/>
  <c r="V81" i="47"/>
  <c r="U81" i="47"/>
  <c r="T81" i="47"/>
  <c r="S81" i="47"/>
  <c r="R81" i="47"/>
  <c r="Q81" i="47"/>
  <c r="P81" i="47"/>
  <c r="O81" i="47"/>
  <c r="N81" i="47"/>
  <c r="A81" i="47"/>
  <c r="V80" i="47"/>
  <c r="U80" i="47"/>
  <c r="T80" i="47"/>
  <c r="S80" i="47"/>
  <c r="R80" i="47"/>
  <c r="Q80" i="47"/>
  <c r="P80" i="47"/>
  <c r="O80" i="47"/>
  <c r="N80" i="47"/>
  <c r="A80" i="47"/>
  <c r="V79" i="47"/>
  <c r="U79" i="47"/>
  <c r="T79" i="47"/>
  <c r="S79" i="47"/>
  <c r="R79" i="47"/>
  <c r="Q79" i="47"/>
  <c r="P79" i="47"/>
  <c r="O79" i="47"/>
  <c r="N79" i="47"/>
  <c r="A79" i="47"/>
  <c r="V78" i="47"/>
  <c r="U78" i="47"/>
  <c r="T78" i="47"/>
  <c r="S78" i="47"/>
  <c r="R78" i="47"/>
  <c r="Q78" i="47"/>
  <c r="P78" i="47"/>
  <c r="O78" i="47"/>
  <c r="N78" i="47"/>
  <c r="A78" i="47"/>
  <c r="V77" i="47"/>
  <c r="U77" i="47"/>
  <c r="T77" i="47"/>
  <c r="S77" i="47"/>
  <c r="R77" i="47"/>
  <c r="Q77" i="47"/>
  <c r="P77" i="47"/>
  <c r="O77" i="47"/>
  <c r="N77" i="47"/>
  <c r="A77" i="47"/>
  <c r="V76" i="47"/>
  <c r="U76" i="47"/>
  <c r="T76" i="47"/>
  <c r="S76" i="47"/>
  <c r="R76" i="47"/>
  <c r="Q76" i="47"/>
  <c r="P76" i="47"/>
  <c r="O76" i="47"/>
  <c r="N76" i="47"/>
  <c r="A76" i="47"/>
  <c r="V75" i="47"/>
  <c r="U75" i="47"/>
  <c r="T75" i="47"/>
  <c r="S75" i="47"/>
  <c r="R75" i="47"/>
  <c r="Q75" i="47"/>
  <c r="P75" i="47"/>
  <c r="O75" i="47"/>
  <c r="N75" i="47"/>
  <c r="A75" i="47"/>
  <c r="V74" i="47"/>
  <c r="U74" i="47"/>
  <c r="T74" i="47"/>
  <c r="S74" i="47"/>
  <c r="R74" i="47"/>
  <c r="Q74" i="47"/>
  <c r="P74" i="47"/>
  <c r="O74" i="47"/>
  <c r="N74" i="47"/>
  <c r="A74" i="47"/>
  <c r="V73" i="47"/>
  <c r="U73" i="47"/>
  <c r="T73" i="47"/>
  <c r="S73" i="47"/>
  <c r="R73" i="47"/>
  <c r="Q73" i="47"/>
  <c r="P73" i="47"/>
  <c r="O73" i="47"/>
  <c r="N73" i="47"/>
  <c r="A73" i="47"/>
  <c r="V72" i="47"/>
  <c r="U72" i="47"/>
  <c r="T72" i="47"/>
  <c r="S72" i="47"/>
  <c r="R72" i="47"/>
  <c r="Q72" i="47"/>
  <c r="P72" i="47"/>
  <c r="O72" i="47"/>
  <c r="N72" i="47"/>
  <c r="A72" i="47"/>
  <c r="V71" i="47"/>
  <c r="U71" i="47"/>
  <c r="T71" i="47"/>
  <c r="S71" i="47"/>
  <c r="R71" i="47"/>
  <c r="Q71" i="47"/>
  <c r="P71" i="47"/>
  <c r="O71" i="47"/>
  <c r="N71" i="47"/>
  <c r="L71" i="47"/>
  <c r="K71" i="47"/>
  <c r="J71" i="47"/>
  <c r="I71" i="47"/>
  <c r="H71" i="47"/>
  <c r="G71" i="47"/>
  <c r="F71" i="47"/>
  <c r="E71" i="47"/>
  <c r="D71" i="47"/>
  <c r="C71" i="47"/>
  <c r="A71" i="47"/>
  <c r="V70" i="47"/>
  <c r="U70" i="47"/>
  <c r="T70" i="47"/>
  <c r="S70" i="47"/>
  <c r="R70" i="47"/>
  <c r="Q70" i="47"/>
  <c r="P70" i="47"/>
  <c r="O70" i="47"/>
  <c r="N70" i="47"/>
  <c r="A70" i="47"/>
  <c r="L69" i="47"/>
  <c r="K69" i="47"/>
  <c r="J69" i="47"/>
  <c r="I69" i="47"/>
  <c r="H69" i="47"/>
  <c r="G69" i="47"/>
  <c r="F69" i="47"/>
  <c r="E69" i="47"/>
  <c r="C69" i="47"/>
  <c r="A69" i="47"/>
  <c r="V68" i="47"/>
  <c r="U68" i="47"/>
  <c r="T68" i="47"/>
  <c r="S68" i="47"/>
  <c r="R68" i="47"/>
  <c r="Q68" i="47"/>
  <c r="P68" i="47"/>
  <c r="O68" i="47"/>
  <c r="N68" i="47"/>
  <c r="C68" i="47"/>
  <c r="A68" i="47"/>
  <c r="V67" i="47"/>
  <c r="U67" i="47"/>
  <c r="T67" i="47"/>
  <c r="S67" i="47"/>
  <c r="R67" i="47"/>
  <c r="Q67" i="47"/>
  <c r="P67" i="47"/>
  <c r="O67" i="47"/>
  <c r="N67" i="47"/>
  <c r="A67" i="47"/>
  <c r="V66" i="47"/>
  <c r="U66" i="47"/>
  <c r="T66" i="47"/>
  <c r="S66" i="47"/>
  <c r="R66" i="47"/>
  <c r="Q66" i="47"/>
  <c r="P66" i="47"/>
  <c r="O66" i="47"/>
  <c r="N66" i="47"/>
  <c r="A66" i="47"/>
  <c r="C65" i="47"/>
  <c r="A65" i="47"/>
  <c r="V64" i="47"/>
  <c r="U64" i="47"/>
  <c r="T64" i="47"/>
  <c r="S64" i="47"/>
  <c r="R64" i="47"/>
  <c r="Q64" i="47"/>
  <c r="P64" i="47"/>
  <c r="O64" i="47"/>
  <c r="N64" i="47"/>
  <c r="C64" i="47"/>
  <c r="A64" i="47"/>
  <c r="V63" i="47"/>
  <c r="U63" i="47"/>
  <c r="T63" i="47"/>
  <c r="S63" i="47"/>
  <c r="R63" i="47"/>
  <c r="Q63" i="47"/>
  <c r="P63" i="47"/>
  <c r="O63" i="47"/>
  <c r="N63" i="47"/>
  <c r="A63" i="47"/>
  <c r="V62" i="47"/>
  <c r="U62" i="47"/>
  <c r="T62" i="47"/>
  <c r="S62" i="47"/>
  <c r="R62" i="47"/>
  <c r="Q62" i="47"/>
  <c r="P62" i="47"/>
  <c r="O62" i="47"/>
  <c r="N62" i="47"/>
  <c r="A62" i="47"/>
  <c r="V61" i="47"/>
  <c r="U61" i="47"/>
  <c r="T61" i="47"/>
  <c r="S61" i="47"/>
  <c r="R61" i="47"/>
  <c r="Q61" i="47"/>
  <c r="P61" i="47"/>
  <c r="O61" i="47"/>
  <c r="N61" i="47"/>
  <c r="A61" i="47"/>
  <c r="V60" i="47"/>
  <c r="U60" i="47"/>
  <c r="T60" i="47"/>
  <c r="S60" i="47"/>
  <c r="R60" i="47"/>
  <c r="Q60" i="47"/>
  <c r="P60" i="47"/>
  <c r="O60" i="47"/>
  <c r="N60" i="47"/>
  <c r="A60" i="47"/>
  <c r="V59" i="47"/>
  <c r="U59" i="47"/>
  <c r="T59" i="47"/>
  <c r="S59" i="47"/>
  <c r="R59" i="47"/>
  <c r="Q59" i="47"/>
  <c r="P59" i="47"/>
  <c r="O59" i="47"/>
  <c r="N59" i="47"/>
  <c r="A59" i="47"/>
  <c r="V58" i="47"/>
  <c r="U58" i="47"/>
  <c r="T58" i="47"/>
  <c r="S58" i="47"/>
  <c r="R58" i="47"/>
  <c r="Q58" i="47"/>
  <c r="P58" i="47"/>
  <c r="O58" i="47"/>
  <c r="N58" i="47"/>
  <c r="C58" i="47"/>
  <c r="A58" i="47"/>
  <c r="V57" i="47"/>
  <c r="U57" i="47"/>
  <c r="T57" i="47"/>
  <c r="S57" i="47"/>
  <c r="R57" i="47"/>
  <c r="Q57" i="47"/>
  <c r="P57" i="47"/>
  <c r="O57" i="47"/>
  <c r="N57" i="47"/>
  <c r="C57" i="47"/>
  <c r="A57" i="47"/>
  <c r="V56" i="47"/>
  <c r="U56" i="47"/>
  <c r="T56" i="47"/>
  <c r="S56" i="47"/>
  <c r="R56" i="47"/>
  <c r="Q56" i="47"/>
  <c r="P56" i="47"/>
  <c r="O56" i="47"/>
  <c r="N56" i="47"/>
  <c r="A56" i="47"/>
  <c r="V55" i="47"/>
  <c r="U55" i="47"/>
  <c r="T55" i="47"/>
  <c r="S55" i="47"/>
  <c r="R55" i="47"/>
  <c r="Q55" i="47"/>
  <c r="P55" i="47"/>
  <c r="O55" i="47"/>
  <c r="N55" i="47"/>
  <c r="A55" i="47"/>
  <c r="V54" i="47"/>
  <c r="U54" i="47"/>
  <c r="T54" i="47"/>
  <c r="S54" i="47"/>
  <c r="R54" i="47"/>
  <c r="Q54" i="47"/>
  <c r="P54" i="47"/>
  <c r="O54" i="47"/>
  <c r="N54" i="47"/>
  <c r="C54" i="47"/>
  <c r="A54" i="47"/>
  <c r="V53" i="47"/>
  <c r="U53" i="47"/>
  <c r="T53" i="47"/>
  <c r="S53" i="47"/>
  <c r="R53" i="47"/>
  <c r="Q53" i="47"/>
  <c r="P53" i="47"/>
  <c r="O53" i="47"/>
  <c r="N53" i="47"/>
  <c r="L53" i="47"/>
  <c r="K53" i="47"/>
  <c r="J53" i="47"/>
  <c r="I53" i="47"/>
  <c r="H53" i="47"/>
  <c r="G53" i="47"/>
  <c r="F53" i="47"/>
  <c r="E53" i="47"/>
  <c r="D53" i="47"/>
  <c r="C53" i="47"/>
  <c r="A53" i="47"/>
  <c r="V52" i="47"/>
  <c r="U52" i="47"/>
  <c r="T52" i="47"/>
  <c r="S52" i="47"/>
  <c r="R52" i="47"/>
  <c r="Q52" i="47"/>
  <c r="P52" i="47"/>
  <c r="O52" i="47"/>
  <c r="N52" i="47"/>
  <c r="L52" i="47"/>
  <c r="K52" i="47"/>
  <c r="J52" i="47"/>
  <c r="I52" i="47"/>
  <c r="H52" i="47"/>
  <c r="G52" i="47"/>
  <c r="F52" i="47"/>
  <c r="E52" i="47"/>
  <c r="D52" i="47"/>
  <c r="C52" i="47"/>
  <c r="A52" i="47"/>
  <c r="V51" i="47"/>
  <c r="U51" i="47"/>
  <c r="T51" i="47"/>
  <c r="S51" i="47"/>
  <c r="R51" i="47"/>
  <c r="Q51" i="47"/>
  <c r="P51" i="47"/>
  <c r="O51" i="47"/>
  <c r="N51" i="47"/>
  <c r="A51" i="47"/>
  <c r="V50" i="47"/>
  <c r="U50" i="47"/>
  <c r="T50" i="47"/>
  <c r="S50" i="47"/>
  <c r="R50" i="47"/>
  <c r="Q50" i="47"/>
  <c r="P50" i="47"/>
  <c r="O50" i="47"/>
  <c r="N50" i="47"/>
  <c r="A50" i="47"/>
  <c r="V49" i="47"/>
  <c r="U49" i="47"/>
  <c r="T49" i="47"/>
  <c r="S49" i="47"/>
  <c r="R49" i="47"/>
  <c r="Q49" i="47"/>
  <c r="P49" i="47"/>
  <c r="O49" i="47"/>
  <c r="N49" i="47"/>
  <c r="A49" i="47"/>
  <c r="V48" i="47"/>
  <c r="U48" i="47"/>
  <c r="T48" i="47"/>
  <c r="S48" i="47"/>
  <c r="R48" i="47"/>
  <c r="Q48" i="47"/>
  <c r="P48" i="47"/>
  <c r="O48" i="47"/>
  <c r="N48" i="47"/>
  <c r="A48" i="47"/>
  <c r="V47" i="47"/>
  <c r="U47" i="47"/>
  <c r="T47" i="47"/>
  <c r="S47" i="47"/>
  <c r="R47" i="47"/>
  <c r="Q47" i="47"/>
  <c r="P47" i="47"/>
  <c r="O47" i="47"/>
  <c r="N47" i="47"/>
  <c r="A47" i="47"/>
  <c r="V46" i="47"/>
  <c r="U46" i="47"/>
  <c r="T46" i="47"/>
  <c r="S46" i="47"/>
  <c r="R46" i="47"/>
  <c r="Q46" i="47"/>
  <c r="P46" i="47"/>
  <c r="O46" i="47"/>
  <c r="N46" i="47"/>
  <c r="A46" i="47"/>
  <c r="V45" i="47"/>
  <c r="U45" i="47"/>
  <c r="T45" i="47"/>
  <c r="S45" i="47"/>
  <c r="R45" i="47"/>
  <c r="Q45" i="47"/>
  <c r="P45" i="47"/>
  <c r="O45" i="47"/>
  <c r="N45" i="47"/>
  <c r="A45" i="47"/>
  <c r="V44" i="47"/>
  <c r="U44" i="47"/>
  <c r="T44" i="47"/>
  <c r="S44" i="47"/>
  <c r="R44" i="47"/>
  <c r="Q44" i="47"/>
  <c r="P44" i="47"/>
  <c r="O44" i="47"/>
  <c r="N44" i="47"/>
  <c r="A44" i="47"/>
  <c r="V43" i="47"/>
  <c r="U43" i="47"/>
  <c r="T43" i="47"/>
  <c r="S43" i="47"/>
  <c r="R43" i="47"/>
  <c r="Q43" i="47"/>
  <c r="P43" i="47"/>
  <c r="O43" i="47"/>
  <c r="N43" i="47"/>
  <c r="L43" i="47"/>
  <c r="K43" i="47"/>
  <c r="J43" i="47"/>
  <c r="I43" i="47"/>
  <c r="H43" i="47"/>
  <c r="G43" i="47"/>
  <c r="F43" i="47"/>
  <c r="E43" i="47"/>
  <c r="D43" i="47"/>
  <c r="C43" i="47"/>
  <c r="A43" i="47"/>
  <c r="V42" i="47"/>
  <c r="U42" i="47"/>
  <c r="T42" i="47"/>
  <c r="S42" i="47"/>
  <c r="R42" i="47"/>
  <c r="Q42" i="47"/>
  <c r="P42" i="47"/>
  <c r="O42" i="47"/>
  <c r="N42" i="47"/>
  <c r="L42" i="47"/>
  <c r="K42" i="47"/>
  <c r="J42" i="47"/>
  <c r="I42" i="47"/>
  <c r="H42" i="47"/>
  <c r="G42" i="47"/>
  <c r="F42" i="47"/>
  <c r="E42" i="47"/>
  <c r="D42" i="47"/>
  <c r="C42" i="47"/>
  <c r="A42" i="47"/>
  <c r="V41" i="47"/>
  <c r="U41" i="47"/>
  <c r="T41" i="47"/>
  <c r="S41" i="47"/>
  <c r="R41" i="47"/>
  <c r="Q41" i="47"/>
  <c r="P41" i="47"/>
  <c r="O41" i="47"/>
  <c r="N41" i="47"/>
  <c r="L41" i="47"/>
  <c r="K41" i="47"/>
  <c r="J41" i="47"/>
  <c r="I41" i="47"/>
  <c r="H41" i="47"/>
  <c r="G41" i="47"/>
  <c r="F41" i="47"/>
  <c r="E41" i="47"/>
  <c r="D41" i="47"/>
  <c r="C41" i="47"/>
  <c r="A41" i="47"/>
  <c r="V40" i="47"/>
  <c r="U40" i="47"/>
  <c r="T40" i="47"/>
  <c r="S40" i="47"/>
  <c r="R40" i="47"/>
  <c r="Q40" i="47"/>
  <c r="P40" i="47"/>
  <c r="O40" i="47"/>
  <c r="N40" i="47"/>
  <c r="A40" i="47"/>
  <c r="V39" i="47"/>
  <c r="U39" i="47"/>
  <c r="T39" i="47"/>
  <c r="S39" i="47"/>
  <c r="R39" i="47"/>
  <c r="Q39" i="47"/>
  <c r="P39" i="47"/>
  <c r="O39" i="47"/>
  <c r="N39" i="47"/>
  <c r="L39" i="47"/>
  <c r="K39" i="47"/>
  <c r="J39" i="47"/>
  <c r="I39" i="47"/>
  <c r="H39" i="47"/>
  <c r="G39" i="47"/>
  <c r="F39" i="47"/>
  <c r="E39" i="47"/>
  <c r="D39" i="47"/>
  <c r="C39" i="47"/>
  <c r="A39" i="47"/>
  <c r="V38" i="47"/>
  <c r="U38" i="47"/>
  <c r="T38" i="47"/>
  <c r="S38" i="47"/>
  <c r="R38" i="47"/>
  <c r="Q38" i="47"/>
  <c r="P38" i="47"/>
  <c r="O38" i="47"/>
  <c r="N38" i="47"/>
  <c r="A38" i="47"/>
  <c r="V37" i="47"/>
  <c r="U37" i="47"/>
  <c r="T37" i="47"/>
  <c r="S37" i="47"/>
  <c r="R37" i="47"/>
  <c r="Q37" i="47"/>
  <c r="P37" i="47"/>
  <c r="O37" i="47"/>
  <c r="N37" i="47"/>
  <c r="L37" i="47"/>
  <c r="K37" i="47"/>
  <c r="J37" i="47"/>
  <c r="I37" i="47"/>
  <c r="H37" i="47"/>
  <c r="G37" i="47"/>
  <c r="F37" i="47"/>
  <c r="E37" i="47"/>
  <c r="D37" i="47"/>
  <c r="C37" i="47"/>
  <c r="A37" i="47"/>
  <c r="V36" i="47"/>
  <c r="U36" i="47"/>
  <c r="T36" i="47"/>
  <c r="S36" i="47"/>
  <c r="R36" i="47"/>
  <c r="Q36" i="47"/>
  <c r="P36" i="47"/>
  <c r="O36" i="47"/>
  <c r="N36" i="47"/>
  <c r="D36" i="47"/>
  <c r="C36" i="47"/>
  <c r="A36" i="47"/>
  <c r="V35" i="47"/>
  <c r="U35" i="47"/>
  <c r="T35" i="47"/>
  <c r="S35" i="47"/>
  <c r="R35" i="47"/>
  <c r="Q35" i="47"/>
  <c r="P35" i="47"/>
  <c r="O35" i="47"/>
  <c r="N35" i="47"/>
  <c r="D35" i="47"/>
  <c r="A35" i="47"/>
  <c r="V34" i="47"/>
  <c r="U34" i="47"/>
  <c r="T34" i="47"/>
  <c r="S34" i="47"/>
  <c r="R34" i="47"/>
  <c r="Q34" i="47"/>
  <c r="P34" i="47"/>
  <c r="O34" i="47"/>
  <c r="N34" i="47"/>
  <c r="L34" i="47"/>
  <c r="K34" i="47"/>
  <c r="J34" i="47"/>
  <c r="I34" i="47"/>
  <c r="H34" i="47"/>
  <c r="G34" i="47"/>
  <c r="F34" i="47"/>
  <c r="E34" i="47"/>
  <c r="D34" i="47"/>
  <c r="C34" i="47"/>
  <c r="A34" i="47"/>
  <c r="V33" i="47"/>
  <c r="U33" i="47"/>
  <c r="T33" i="47"/>
  <c r="S33" i="47"/>
  <c r="R33" i="47"/>
  <c r="Q33" i="47"/>
  <c r="P33" i="47"/>
  <c r="O33" i="47"/>
  <c r="N33" i="47"/>
  <c r="L33" i="47"/>
  <c r="K33" i="47"/>
  <c r="J33" i="47"/>
  <c r="I33" i="47"/>
  <c r="H33" i="47"/>
  <c r="G33" i="47"/>
  <c r="F33" i="47"/>
  <c r="E33" i="47"/>
  <c r="D33" i="47"/>
  <c r="T32" i="47"/>
  <c r="S32" i="47"/>
  <c r="V31" i="47"/>
  <c r="U31" i="47"/>
  <c r="T31" i="47"/>
  <c r="S31" i="47"/>
  <c r="R31" i="47"/>
  <c r="Q31" i="47"/>
  <c r="P31" i="47"/>
  <c r="O31" i="47"/>
  <c r="N31" i="47"/>
  <c r="M31" i="47"/>
  <c r="J20" i="47"/>
  <c r="I20" i="47"/>
  <c r="H20" i="47"/>
  <c r="G20" i="47"/>
  <c r="J19" i="47"/>
  <c r="I19" i="47"/>
  <c r="H19" i="47"/>
  <c r="G19" i="47"/>
  <c r="J18" i="47"/>
  <c r="I18" i="47"/>
  <c r="H18" i="47"/>
  <c r="G18" i="47"/>
  <c r="J17" i="47"/>
  <c r="I17" i="47"/>
  <c r="H17" i="47"/>
  <c r="G17" i="47"/>
  <c r="J16" i="47"/>
  <c r="I16" i="47"/>
  <c r="H16" i="47"/>
  <c r="G16" i="47"/>
  <c r="J15" i="47"/>
  <c r="I15" i="47"/>
  <c r="H15" i="47"/>
  <c r="G15" i="47"/>
  <c r="J14" i="47"/>
  <c r="I14" i="47"/>
  <c r="H14" i="47"/>
  <c r="G14" i="47"/>
  <c r="J13" i="47"/>
  <c r="I13" i="47"/>
  <c r="H13" i="47"/>
  <c r="G13" i="47"/>
  <c r="J12" i="47"/>
  <c r="I12" i="47"/>
  <c r="H12" i="47"/>
  <c r="G12" i="47"/>
  <c r="J11" i="47"/>
  <c r="H11" i="47"/>
  <c r="G11" i="47"/>
  <c r="E7" i="47"/>
  <c r="B7" i="47"/>
  <c r="I11" i="47" s="1"/>
  <c r="C33" i="47" s="1"/>
  <c r="M164" i="95"/>
  <c r="L164" i="95"/>
  <c r="K164" i="95"/>
  <c r="J164" i="95"/>
  <c r="N163" i="95"/>
  <c r="M163" i="95"/>
  <c r="L163" i="95"/>
  <c r="K163" i="95"/>
  <c r="J163" i="95"/>
  <c r="I163" i="95"/>
  <c r="F163" i="95"/>
  <c r="N162" i="95"/>
  <c r="M162" i="95"/>
  <c r="L162" i="95"/>
  <c r="K162" i="95"/>
  <c r="J162" i="95"/>
  <c r="I162" i="95"/>
  <c r="F162" i="95"/>
  <c r="N161" i="95"/>
  <c r="M161" i="95"/>
  <c r="L161" i="95"/>
  <c r="K161" i="95"/>
  <c r="J161" i="95"/>
  <c r="I161" i="95"/>
  <c r="F161" i="95"/>
  <c r="N160" i="95"/>
  <c r="M160" i="95"/>
  <c r="L160" i="95"/>
  <c r="K160" i="95"/>
  <c r="J160" i="95"/>
  <c r="I160" i="95"/>
  <c r="F160" i="95"/>
  <c r="N159" i="95"/>
  <c r="M159" i="95"/>
  <c r="L159" i="95"/>
  <c r="K159" i="95"/>
  <c r="J159" i="95"/>
  <c r="I159" i="95"/>
  <c r="F159" i="95"/>
  <c r="N158" i="95"/>
  <c r="M158" i="95"/>
  <c r="L158" i="95"/>
  <c r="K158" i="95"/>
  <c r="J158" i="95"/>
  <c r="I158" i="95"/>
  <c r="F158" i="95"/>
  <c r="N157" i="95"/>
  <c r="M157" i="95"/>
  <c r="L157" i="95"/>
  <c r="K157" i="95"/>
  <c r="J157" i="95"/>
  <c r="I157" i="95"/>
  <c r="F157" i="95"/>
  <c r="N156" i="95"/>
  <c r="M156" i="95"/>
  <c r="L156" i="95"/>
  <c r="K156" i="95"/>
  <c r="J156" i="95"/>
  <c r="I156" i="95"/>
  <c r="F156" i="95"/>
  <c r="N155" i="95"/>
  <c r="M155" i="95"/>
  <c r="L155" i="95"/>
  <c r="K155" i="95"/>
  <c r="J155" i="95"/>
  <c r="I155" i="95"/>
  <c r="F155" i="95"/>
  <c r="N154" i="95"/>
  <c r="M154" i="95"/>
  <c r="L154" i="95"/>
  <c r="K154" i="95"/>
  <c r="J154" i="95"/>
  <c r="I154" i="95"/>
  <c r="F154" i="95"/>
  <c r="N153" i="95"/>
  <c r="M153" i="95"/>
  <c r="L153" i="95"/>
  <c r="K153" i="95"/>
  <c r="J153" i="95"/>
  <c r="I153" i="95"/>
  <c r="F153" i="95"/>
  <c r="N152" i="95"/>
  <c r="M152" i="95"/>
  <c r="L152" i="95"/>
  <c r="K152" i="95"/>
  <c r="J152" i="95"/>
  <c r="I152" i="95"/>
  <c r="F152" i="95"/>
  <c r="N151" i="95"/>
  <c r="M151" i="95"/>
  <c r="L151" i="95"/>
  <c r="K151" i="95"/>
  <c r="J151" i="95"/>
  <c r="I151" i="95"/>
  <c r="F151" i="95"/>
  <c r="N150" i="95"/>
  <c r="M150" i="95"/>
  <c r="L150" i="95"/>
  <c r="K150" i="95"/>
  <c r="J150" i="95"/>
  <c r="I150" i="95"/>
  <c r="F150" i="95"/>
  <c r="N149" i="95"/>
  <c r="M149" i="95"/>
  <c r="L149" i="95"/>
  <c r="K149" i="95"/>
  <c r="J149" i="95"/>
  <c r="I149" i="95"/>
  <c r="F149" i="95"/>
  <c r="N148" i="95"/>
  <c r="M148" i="95"/>
  <c r="L148" i="95"/>
  <c r="K148" i="95"/>
  <c r="J148" i="95"/>
  <c r="I148" i="95"/>
  <c r="F148" i="95"/>
  <c r="M142" i="95"/>
  <c r="L142" i="95"/>
  <c r="K142" i="95"/>
  <c r="J142" i="95"/>
  <c r="N141" i="95"/>
  <c r="M141" i="95"/>
  <c r="L141" i="95"/>
  <c r="K141" i="95"/>
  <c r="J141" i="95"/>
  <c r="I141" i="95"/>
  <c r="F141" i="95"/>
  <c r="N140" i="95"/>
  <c r="M140" i="95"/>
  <c r="L140" i="95"/>
  <c r="K140" i="95"/>
  <c r="J140" i="95"/>
  <c r="I140" i="95"/>
  <c r="F140" i="95"/>
  <c r="N139" i="95"/>
  <c r="M139" i="95"/>
  <c r="L139" i="95"/>
  <c r="K139" i="95"/>
  <c r="J139" i="95"/>
  <c r="I139" i="95"/>
  <c r="F139" i="95"/>
  <c r="N138" i="95"/>
  <c r="M138" i="95"/>
  <c r="L138" i="95"/>
  <c r="K138" i="95"/>
  <c r="J138" i="95"/>
  <c r="I138" i="95"/>
  <c r="F138" i="95"/>
  <c r="N137" i="95"/>
  <c r="M137" i="95"/>
  <c r="L137" i="95"/>
  <c r="K137" i="95"/>
  <c r="J137" i="95"/>
  <c r="I137" i="95"/>
  <c r="F137" i="95"/>
  <c r="N136" i="95"/>
  <c r="M136" i="95"/>
  <c r="L136" i="95"/>
  <c r="K136" i="95"/>
  <c r="J136" i="95"/>
  <c r="I136" i="95"/>
  <c r="F136" i="95"/>
  <c r="N135" i="95"/>
  <c r="M135" i="95"/>
  <c r="L135" i="95"/>
  <c r="K135" i="95"/>
  <c r="J135" i="95"/>
  <c r="I135" i="95"/>
  <c r="F135" i="95"/>
  <c r="N134" i="95"/>
  <c r="M134" i="95"/>
  <c r="L134" i="95"/>
  <c r="K134" i="95"/>
  <c r="J134" i="95"/>
  <c r="I134" i="95"/>
  <c r="F134" i="95"/>
  <c r="N133" i="95"/>
  <c r="M133" i="95"/>
  <c r="L133" i="95"/>
  <c r="K133" i="95"/>
  <c r="J133" i="95"/>
  <c r="I133" i="95"/>
  <c r="F133" i="95"/>
  <c r="N132" i="95"/>
  <c r="M132" i="95"/>
  <c r="L132" i="95"/>
  <c r="K132" i="95"/>
  <c r="J132" i="95"/>
  <c r="I132" i="95"/>
  <c r="F132" i="95"/>
  <c r="N131" i="95"/>
  <c r="M131" i="95"/>
  <c r="L131" i="95"/>
  <c r="K131" i="95"/>
  <c r="J131" i="95"/>
  <c r="I131" i="95"/>
  <c r="F131" i="95"/>
  <c r="N130" i="95"/>
  <c r="M130" i="95"/>
  <c r="L130" i="95"/>
  <c r="K130" i="95"/>
  <c r="J130" i="95"/>
  <c r="I130" i="95"/>
  <c r="F130" i="95"/>
  <c r="N129" i="95"/>
  <c r="M129" i="95"/>
  <c r="L129" i="95"/>
  <c r="K129" i="95"/>
  <c r="J129" i="95"/>
  <c r="I129" i="95"/>
  <c r="F129" i="95"/>
  <c r="N128" i="95"/>
  <c r="M128" i="95"/>
  <c r="L128" i="95"/>
  <c r="K128" i="95"/>
  <c r="J128" i="95"/>
  <c r="I128" i="95"/>
  <c r="F128" i="95"/>
  <c r="N127" i="95"/>
  <c r="M127" i="95"/>
  <c r="L127" i="95"/>
  <c r="K127" i="95"/>
  <c r="J127" i="95"/>
  <c r="I127" i="95"/>
  <c r="F127" i="95"/>
  <c r="N126" i="95"/>
  <c r="M126" i="95"/>
  <c r="L126" i="95"/>
  <c r="K126" i="95"/>
  <c r="J126" i="95"/>
  <c r="I126" i="95"/>
  <c r="F126" i="95"/>
  <c r="V103" i="95"/>
  <c r="U103" i="95"/>
  <c r="T103" i="95"/>
  <c r="S103" i="95"/>
  <c r="R103" i="95"/>
  <c r="Q103" i="95"/>
  <c r="P103" i="95"/>
  <c r="O103" i="95"/>
  <c r="A103" i="95"/>
  <c r="V102" i="95"/>
  <c r="U102" i="95"/>
  <c r="T102" i="95"/>
  <c r="S102" i="95"/>
  <c r="R102" i="95"/>
  <c r="Q102" i="95"/>
  <c r="P102" i="95"/>
  <c r="O102" i="95"/>
  <c r="A102" i="95"/>
  <c r="V101" i="95"/>
  <c r="U101" i="95"/>
  <c r="T101" i="95"/>
  <c r="S101" i="95"/>
  <c r="R101" i="95"/>
  <c r="Q101" i="95"/>
  <c r="P101" i="95"/>
  <c r="O101" i="95"/>
  <c r="A101" i="95"/>
  <c r="V100" i="95"/>
  <c r="U100" i="95"/>
  <c r="T100" i="95"/>
  <c r="S100" i="95"/>
  <c r="R100" i="95"/>
  <c r="Q100" i="95"/>
  <c r="P100" i="95"/>
  <c r="O100" i="95"/>
  <c r="A100" i="95"/>
  <c r="V99" i="95"/>
  <c r="U99" i="95"/>
  <c r="T99" i="95"/>
  <c r="S99" i="95"/>
  <c r="R99" i="95"/>
  <c r="Q99" i="95"/>
  <c r="P99" i="95"/>
  <c r="O99" i="95"/>
  <c r="A99" i="95"/>
  <c r="V98" i="95"/>
  <c r="U98" i="95"/>
  <c r="T98" i="95"/>
  <c r="S98" i="95"/>
  <c r="R98" i="95"/>
  <c r="Q98" i="95"/>
  <c r="P98" i="95"/>
  <c r="O98" i="95"/>
  <c r="A98" i="95"/>
  <c r="V97" i="95"/>
  <c r="U97" i="95"/>
  <c r="T97" i="95"/>
  <c r="S97" i="95"/>
  <c r="R97" i="95"/>
  <c r="Q97" i="95"/>
  <c r="P97" i="95"/>
  <c r="O97" i="95"/>
  <c r="A97" i="95"/>
  <c r="V96" i="95"/>
  <c r="U96" i="95"/>
  <c r="T96" i="95"/>
  <c r="S96" i="95"/>
  <c r="R96" i="95"/>
  <c r="Q96" i="95"/>
  <c r="P96" i="95"/>
  <c r="O96" i="95"/>
  <c r="A96" i="95"/>
  <c r="V95" i="95"/>
  <c r="U95" i="95"/>
  <c r="T95" i="95"/>
  <c r="S95" i="95"/>
  <c r="R95" i="95"/>
  <c r="Q95" i="95"/>
  <c r="P95" i="95"/>
  <c r="O95" i="95"/>
  <c r="A95" i="95"/>
  <c r="V94" i="95"/>
  <c r="U94" i="95"/>
  <c r="T94" i="95"/>
  <c r="S94" i="95"/>
  <c r="R94" i="95"/>
  <c r="Q94" i="95"/>
  <c r="P94" i="95"/>
  <c r="O94" i="95"/>
  <c r="A94" i="95"/>
  <c r="V93" i="95"/>
  <c r="U93" i="95"/>
  <c r="T93" i="95"/>
  <c r="S93" i="95"/>
  <c r="R93" i="95"/>
  <c r="Q93" i="95"/>
  <c r="P93" i="95"/>
  <c r="O93" i="95"/>
  <c r="A93" i="95"/>
  <c r="V92" i="95"/>
  <c r="U92" i="95"/>
  <c r="T92" i="95"/>
  <c r="S92" i="95"/>
  <c r="R92" i="95"/>
  <c r="Q92" i="95"/>
  <c r="P92" i="95"/>
  <c r="O92" i="95"/>
  <c r="A92" i="95"/>
  <c r="V91" i="95"/>
  <c r="U91" i="95"/>
  <c r="T91" i="95"/>
  <c r="S91" i="95"/>
  <c r="R91" i="95"/>
  <c r="Q91" i="95"/>
  <c r="P91" i="95"/>
  <c r="O91" i="95"/>
  <c r="A91" i="95"/>
  <c r="V90" i="95"/>
  <c r="U90" i="95"/>
  <c r="T90" i="95"/>
  <c r="S90" i="95"/>
  <c r="R90" i="95"/>
  <c r="Q90" i="95"/>
  <c r="P90" i="95"/>
  <c r="O90" i="95"/>
  <c r="A90" i="95"/>
  <c r="V89" i="95"/>
  <c r="U89" i="95"/>
  <c r="T89" i="95"/>
  <c r="S89" i="95"/>
  <c r="R89" i="95"/>
  <c r="Q89" i="95"/>
  <c r="P89" i="95"/>
  <c r="O89" i="95"/>
  <c r="A89" i="95"/>
  <c r="V88" i="95"/>
  <c r="U88" i="95"/>
  <c r="T88" i="95"/>
  <c r="S88" i="95"/>
  <c r="R88" i="95"/>
  <c r="Q88" i="95"/>
  <c r="P88" i="95"/>
  <c r="O88" i="95"/>
  <c r="A88" i="95"/>
  <c r="V87" i="95"/>
  <c r="U87" i="95"/>
  <c r="T87" i="95"/>
  <c r="S87" i="95"/>
  <c r="R87" i="95"/>
  <c r="Q87" i="95"/>
  <c r="P87" i="95"/>
  <c r="O87" i="95"/>
  <c r="A87" i="95"/>
  <c r="V86" i="95"/>
  <c r="U86" i="95"/>
  <c r="T86" i="95"/>
  <c r="S86" i="95"/>
  <c r="R86" i="95"/>
  <c r="Q86" i="95"/>
  <c r="P86" i="95"/>
  <c r="O86" i="95"/>
  <c r="A86" i="95"/>
  <c r="V85" i="95"/>
  <c r="U85" i="95"/>
  <c r="T85" i="95"/>
  <c r="S85" i="95"/>
  <c r="R85" i="95"/>
  <c r="Q85" i="95"/>
  <c r="P85" i="95"/>
  <c r="O85" i="95"/>
  <c r="A85" i="95"/>
  <c r="V84" i="95"/>
  <c r="U84" i="95"/>
  <c r="T84" i="95"/>
  <c r="S84" i="95"/>
  <c r="R84" i="95"/>
  <c r="Q84" i="95"/>
  <c r="P84" i="95"/>
  <c r="O84" i="95"/>
  <c r="A84" i="95"/>
  <c r="V83" i="95"/>
  <c r="U83" i="95"/>
  <c r="T83" i="95"/>
  <c r="S83" i="95"/>
  <c r="R83" i="95"/>
  <c r="Q83" i="95"/>
  <c r="P83" i="95"/>
  <c r="O83" i="95"/>
  <c r="A83" i="95"/>
  <c r="V82" i="95"/>
  <c r="U82" i="95"/>
  <c r="T82" i="95"/>
  <c r="S82" i="95"/>
  <c r="R82" i="95"/>
  <c r="Q82" i="95"/>
  <c r="P82" i="95"/>
  <c r="O82" i="95"/>
  <c r="L82" i="95"/>
  <c r="K82" i="95"/>
  <c r="J82" i="95"/>
  <c r="I82" i="95"/>
  <c r="H82" i="95"/>
  <c r="G82" i="95"/>
  <c r="F82" i="95"/>
  <c r="A82" i="95"/>
  <c r="V81" i="95"/>
  <c r="U81" i="95"/>
  <c r="T81" i="95"/>
  <c r="S81" i="95"/>
  <c r="R81" i="95"/>
  <c r="Q81" i="95"/>
  <c r="P81" i="95"/>
  <c r="O81" i="95"/>
  <c r="A81" i="95"/>
  <c r="V80" i="95"/>
  <c r="U80" i="95"/>
  <c r="T80" i="95"/>
  <c r="S80" i="95"/>
  <c r="R80" i="95"/>
  <c r="Q80" i="95"/>
  <c r="P80" i="95"/>
  <c r="O80" i="95"/>
  <c r="D80" i="95"/>
  <c r="A80" i="95"/>
  <c r="V79" i="95"/>
  <c r="U79" i="95"/>
  <c r="T79" i="95"/>
  <c r="S79" i="95"/>
  <c r="R79" i="95"/>
  <c r="Q79" i="95"/>
  <c r="P79" i="95"/>
  <c r="O79" i="95"/>
  <c r="D79" i="95"/>
  <c r="A79" i="95"/>
  <c r="V78" i="95"/>
  <c r="U78" i="95"/>
  <c r="T78" i="95"/>
  <c r="S78" i="95"/>
  <c r="R78" i="95"/>
  <c r="Q78" i="95"/>
  <c r="P78" i="95"/>
  <c r="O78" i="95"/>
  <c r="D78" i="95"/>
  <c r="A78" i="95"/>
  <c r="V77" i="95"/>
  <c r="U77" i="95"/>
  <c r="T77" i="95"/>
  <c r="S77" i="95"/>
  <c r="R77" i="95"/>
  <c r="Q77" i="95"/>
  <c r="P77" i="95"/>
  <c r="O77" i="95"/>
  <c r="D77" i="95"/>
  <c r="A77" i="95"/>
  <c r="V76" i="95"/>
  <c r="U76" i="95"/>
  <c r="T76" i="95"/>
  <c r="S76" i="95"/>
  <c r="R76" i="95"/>
  <c r="Q76" i="95"/>
  <c r="P76" i="95"/>
  <c r="O76" i="95"/>
  <c r="A76" i="95"/>
  <c r="V75" i="95"/>
  <c r="U75" i="95"/>
  <c r="T75" i="95"/>
  <c r="S75" i="95"/>
  <c r="R75" i="95"/>
  <c r="Q75" i="95"/>
  <c r="P75" i="95"/>
  <c r="O75" i="95"/>
  <c r="A75" i="95"/>
  <c r="V74" i="95"/>
  <c r="U74" i="95"/>
  <c r="T74" i="95"/>
  <c r="S74" i="95"/>
  <c r="R74" i="95"/>
  <c r="Q74" i="95"/>
  <c r="P74" i="95"/>
  <c r="O74" i="95"/>
  <c r="A74" i="95"/>
  <c r="V73" i="95"/>
  <c r="U73" i="95"/>
  <c r="T73" i="95"/>
  <c r="S73" i="95"/>
  <c r="R73" i="95"/>
  <c r="Q73" i="95"/>
  <c r="P73" i="95"/>
  <c r="O73" i="95"/>
  <c r="A73" i="95"/>
  <c r="V72" i="95"/>
  <c r="U72" i="95"/>
  <c r="T72" i="95"/>
  <c r="S72" i="95"/>
  <c r="R72" i="95"/>
  <c r="Q72" i="95"/>
  <c r="P72" i="95"/>
  <c r="O72" i="95"/>
  <c r="A72" i="95"/>
  <c r="V71" i="95"/>
  <c r="U71" i="95"/>
  <c r="T71" i="95"/>
  <c r="S71" i="95"/>
  <c r="R71" i="95"/>
  <c r="Q71" i="95"/>
  <c r="P71" i="95"/>
  <c r="O71" i="95"/>
  <c r="L71" i="95"/>
  <c r="K71" i="95"/>
  <c r="J71" i="95"/>
  <c r="I71" i="95"/>
  <c r="H71" i="95"/>
  <c r="G71" i="95"/>
  <c r="F71" i="95"/>
  <c r="E71" i="95"/>
  <c r="D71" i="95"/>
  <c r="C71" i="95"/>
  <c r="A71" i="95"/>
  <c r="V70" i="95"/>
  <c r="U70" i="95"/>
  <c r="T70" i="95"/>
  <c r="S70" i="95"/>
  <c r="R70" i="95"/>
  <c r="Q70" i="95"/>
  <c r="P70" i="95"/>
  <c r="O70" i="95"/>
  <c r="A70" i="95"/>
  <c r="L69" i="95"/>
  <c r="K69" i="95"/>
  <c r="J69" i="95"/>
  <c r="I69" i="95"/>
  <c r="H69" i="95"/>
  <c r="G69" i="95"/>
  <c r="F69" i="95"/>
  <c r="E69" i="95"/>
  <c r="D69" i="95"/>
  <c r="C69" i="95"/>
  <c r="A69" i="95"/>
  <c r="V68" i="95"/>
  <c r="U68" i="95"/>
  <c r="T68" i="95"/>
  <c r="S68" i="95"/>
  <c r="R68" i="95"/>
  <c r="Q68" i="95"/>
  <c r="P68" i="95"/>
  <c r="O68" i="95"/>
  <c r="D68" i="95"/>
  <c r="C68" i="95"/>
  <c r="A68" i="95"/>
  <c r="V67" i="95"/>
  <c r="U67" i="95"/>
  <c r="T67" i="95"/>
  <c r="S67" i="95"/>
  <c r="R67" i="95"/>
  <c r="Q67" i="95"/>
  <c r="P67" i="95"/>
  <c r="O67" i="95"/>
  <c r="A67" i="95"/>
  <c r="V66" i="95"/>
  <c r="U66" i="95"/>
  <c r="T66" i="95"/>
  <c r="S66" i="95"/>
  <c r="R66" i="95"/>
  <c r="Q66" i="95"/>
  <c r="P66" i="95"/>
  <c r="O66" i="95"/>
  <c r="A66" i="95"/>
  <c r="D65" i="95"/>
  <c r="C65" i="95"/>
  <c r="A65" i="95"/>
  <c r="V64" i="95"/>
  <c r="U64" i="95"/>
  <c r="T64" i="95"/>
  <c r="S64" i="95"/>
  <c r="R64" i="95"/>
  <c r="Q64" i="95"/>
  <c r="P64" i="95"/>
  <c r="O64" i="95"/>
  <c r="D64" i="95"/>
  <c r="C64" i="95"/>
  <c r="A64" i="95"/>
  <c r="V63" i="95"/>
  <c r="U63" i="95"/>
  <c r="T63" i="95"/>
  <c r="S63" i="95"/>
  <c r="R63" i="95"/>
  <c r="Q63" i="95"/>
  <c r="P63" i="95"/>
  <c r="O63" i="95"/>
  <c r="A63" i="95"/>
  <c r="V62" i="95"/>
  <c r="U62" i="95"/>
  <c r="T62" i="95"/>
  <c r="S62" i="95"/>
  <c r="R62" i="95"/>
  <c r="Q62" i="95"/>
  <c r="P62" i="95"/>
  <c r="O62" i="95"/>
  <c r="A62" i="95"/>
  <c r="V61" i="95"/>
  <c r="U61" i="95"/>
  <c r="T61" i="95"/>
  <c r="S61" i="95"/>
  <c r="R61" i="95"/>
  <c r="Q61" i="95"/>
  <c r="P61" i="95"/>
  <c r="O61" i="95"/>
  <c r="A61" i="95"/>
  <c r="V60" i="95"/>
  <c r="U60" i="95"/>
  <c r="T60" i="95"/>
  <c r="S60" i="95"/>
  <c r="R60" i="95"/>
  <c r="Q60" i="95"/>
  <c r="P60" i="95"/>
  <c r="O60" i="95"/>
  <c r="A60" i="95"/>
  <c r="V59" i="95"/>
  <c r="U59" i="95"/>
  <c r="T59" i="95"/>
  <c r="S59" i="95"/>
  <c r="R59" i="95"/>
  <c r="Q59" i="95"/>
  <c r="P59" i="95"/>
  <c r="O59" i="95"/>
  <c r="A59" i="95"/>
  <c r="V58" i="95"/>
  <c r="U58" i="95"/>
  <c r="T58" i="95"/>
  <c r="S58" i="95"/>
  <c r="R58" i="95"/>
  <c r="Q58" i="95"/>
  <c r="P58" i="95"/>
  <c r="O58" i="95"/>
  <c r="C58" i="95"/>
  <c r="A58" i="95"/>
  <c r="V57" i="95"/>
  <c r="U57" i="95"/>
  <c r="T57" i="95"/>
  <c r="S57" i="95"/>
  <c r="R57" i="95"/>
  <c r="Q57" i="95"/>
  <c r="P57" i="95"/>
  <c r="O57" i="95"/>
  <c r="C57" i="95"/>
  <c r="A57" i="95"/>
  <c r="V56" i="95"/>
  <c r="U56" i="95"/>
  <c r="T56" i="95"/>
  <c r="S56" i="95"/>
  <c r="R56" i="95"/>
  <c r="Q56" i="95"/>
  <c r="P56" i="95"/>
  <c r="O56" i="95"/>
  <c r="A56" i="95"/>
  <c r="V55" i="95"/>
  <c r="U55" i="95"/>
  <c r="T55" i="95"/>
  <c r="S55" i="95"/>
  <c r="R55" i="95"/>
  <c r="Q55" i="95"/>
  <c r="P55" i="95"/>
  <c r="O55" i="95"/>
  <c r="A55" i="95"/>
  <c r="V54" i="95"/>
  <c r="U54" i="95"/>
  <c r="T54" i="95"/>
  <c r="S54" i="95"/>
  <c r="R54" i="95"/>
  <c r="Q54" i="95"/>
  <c r="P54" i="95"/>
  <c r="O54" i="95"/>
  <c r="D54" i="95"/>
  <c r="C54" i="95"/>
  <c r="A54" i="95"/>
  <c r="V53" i="95"/>
  <c r="U53" i="95"/>
  <c r="T53" i="95"/>
  <c r="S53" i="95"/>
  <c r="R53" i="95"/>
  <c r="Q53" i="95"/>
  <c r="P53" i="95"/>
  <c r="O53" i="95"/>
  <c r="L53" i="95"/>
  <c r="K53" i="95"/>
  <c r="J53" i="95"/>
  <c r="I53" i="95"/>
  <c r="H53" i="95"/>
  <c r="G53" i="95"/>
  <c r="F53" i="95"/>
  <c r="E53" i="95"/>
  <c r="D53" i="95"/>
  <c r="C53" i="95"/>
  <c r="A53" i="95"/>
  <c r="V52" i="95"/>
  <c r="U52" i="95"/>
  <c r="T52" i="95"/>
  <c r="S52" i="95"/>
  <c r="R52" i="95"/>
  <c r="Q52" i="95"/>
  <c r="P52" i="95"/>
  <c r="O52" i="95"/>
  <c r="L52" i="95"/>
  <c r="K52" i="95"/>
  <c r="J52" i="95"/>
  <c r="I52" i="95"/>
  <c r="H52" i="95"/>
  <c r="G52" i="95"/>
  <c r="F52" i="95"/>
  <c r="E52" i="95"/>
  <c r="D52" i="95"/>
  <c r="C52" i="95"/>
  <c r="A52" i="95"/>
  <c r="V51" i="95"/>
  <c r="U51" i="95"/>
  <c r="T51" i="95"/>
  <c r="S51" i="95"/>
  <c r="R51" i="95"/>
  <c r="Q51" i="95"/>
  <c r="P51" i="95"/>
  <c r="O51" i="95"/>
  <c r="A51" i="95"/>
  <c r="V50" i="95"/>
  <c r="U50" i="95"/>
  <c r="T50" i="95"/>
  <c r="S50" i="95"/>
  <c r="R50" i="95"/>
  <c r="Q50" i="95"/>
  <c r="P50" i="95"/>
  <c r="O50" i="95"/>
  <c r="A50" i="95"/>
  <c r="V49" i="95"/>
  <c r="U49" i="95"/>
  <c r="T49" i="95"/>
  <c r="S49" i="95"/>
  <c r="R49" i="95"/>
  <c r="Q49" i="95"/>
  <c r="P49" i="95"/>
  <c r="O49" i="95"/>
  <c r="A49" i="95"/>
  <c r="V48" i="95"/>
  <c r="U48" i="95"/>
  <c r="T48" i="95"/>
  <c r="S48" i="95"/>
  <c r="R48" i="95"/>
  <c r="Q48" i="95"/>
  <c r="P48" i="95"/>
  <c r="O48" i="95"/>
  <c r="A48" i="95"/>
  <c r="V47" i="95"/>
  <c r="U47" i="95"/>
  <c r="T47" i="95"/>
  <c r="S47" i="95"/>
  <c r="R47" i="95"/>
  <c r="Q47" i="95"/>
  <c r="P47" i="95"/>
  <c r="O47" i="95"/>
  <c r="A47" i="95"/>
  <c r="V46" i="95"/>
  <c r="U46" i="95"/>
  <c r="T46" i="95"/>
  <c r="S46" i="95"/>
  <c r="R46" i="95"/>
  <c r="Q46" i="95"/>
  <c r="P46" i="95"/>
  <c r="O46" i="95"/>
  <c r="A46" i="95"/>
  <c r="V45" i="95"/>
  <c r="U45" i="95"/>
  <c r="T45" i="95"/>
  <c r="S45" i="95"/>
  <c r="R45" i="95"/>
  <c r="Q45" i="95"/>
  <c r="P45" i="95"/>
  <c r="O45" i="95"/>
  <c r="A45" i="95"/>
  <c r="V44" i="95"/>
  <c r="U44" i="95"/>
  <c r="T44" i="95"/>
  <c r="S44" i="95"/>
  <c r="R44" i="95"/>
  <c r="Q44" i="95"/>
  <c r="P44" i="95"/>
  <c r="O44" i="95"/>
  <c r="A44" i="95"/>
  <c r="V43" i="95"/>
  <c r="U43" i="95"/>
  <c r="T43" i="95"/>
  <c r="S43" i="95"/>
  <c r="R43" i="95"/>
  <c r="Q43" i="95"/>
  <c r="P43" i="95"/>
  <c r="O43" i="95"/>
  <c r="L43" i="95"/>
  <c r="K43" i="95"/>
  <c r="J43" i="95"/>
  <c r="I43" i="95"/>
  <c r="H43" i="95"/>
  <c r="G43" i="95"/>
  <c r="F43" i="95"/>
  <c r="E43" i="95"/>
  <c r="D43" i="95"/>
  <c r="C43" i="95"/>
  <c r="A43" i="95"/>
  <c r="V42" i="95"/>
  <c r="U42" i="95"/>
  <c r="T42" i="95"/>
  <c r="S42" i="95"/>
  <c r="R42" i="95"/>
  <c r="Q42" i="95"/>
  <c r="P42" i="95"/>
  <c r="O42" i="95"/>
  <c r="L42" i="95"/>
  <c r="K42" i="95"/>
  <c r="J42" i="95"/>
  <c r="I42" i="95"/>
  <c r="H42" i="95"/>
  <c r="G42" i="95"/>
  <c r="F42" i="95"/>
  <c r="E42" i="95"/>
  <c r="D42" i="95"/>
  <c r="C42" i="95"/>
  <c r="A42" i="95"/>
  <c r="V41" i="95"/>
  <c r="U41" i="95"/>
  <c r="T41" i="95"/>
  <c r="S41" i="95"/>
  <c r="R41" i="95"/>
  <c r="Q41" i="95"/>
  <c r="P41" i="95"/>
  <c r="O41" i="95"/>
  <c r="L41" i="95"/>
  <c r="K41" i="95"/>
  <c r="J41" i="95"/>
  <c r="I41" i="95"/>
  <c r="H41" i="95"/>
  <c r="G41" i="95"/>
  <c r="F41" i="95"/>
  <c r="E41" i="95"/>
  <c r="D41" i="95"/>
  <c r="C41" i="95"/>
  <c r="A41" i="95"/>
  <c r="V40" i="95"/>
  <c r="U40" i="95"/>
  <c r="T40" i="95"/>
  <c r="S40" i="95"/>
  <c r="R40" i="95"/>
  <c r="Q40" i="95"/>
  <c r="P40" i="95"/>
  <c r="O40" i="95"/>
  <c r="A40" i="95"/>
  <c r="V39" i="95"/>
  <c r="U39" i="95"/>
  <c r="T39" i="95"/>
  <c r="S39" i="95"/>
  <c r="R39" i="95"/>
  <c r="Q39" i="95"/>
  <c r="P39" i="95"/>
  <c r="O39" i="95"/>
  <c r="L39" i="95"/>
  <c r="K39" i="95"/>
  <c r="J39" i="95"/>
  <c r="I39" i="95"/>
  <c r="H39" i="95"/>
  <c r="G39" i="95"/>
  <c r="F39" i="95"/>
  <c r="E39" i="95"/>
  <c r="D39" i="95"/>
  <c r="C39" i="95"/>
  <c r="A39" i="95"/>
  <c r="V38" i="95"/>
  <c r="U38" i="95"/>
  <c r="T38" i="95"/>
  <c r="S38" i="95"/>
  <c r="R38" i="95"/>
  <c r="Q38" i="95"/>
  <c r="P38" i="95"/>
  <c r="O38" i="95"/>
  <c r="A38" i="95"/>
  <c r="V37" i="95"/>
  <c r="U37" i="95"/>
  <c r="T37" i="95"/>
  <c r="S37" i="95"/>
  <c r="R37" i="95"/>
  <c r="Q37" i="95"/>
  <c r="P37" i="95"/>
  <c r="O37" i="95"/>
  <c r="L37" i="95"/>
  <c r="K37" i="95"/>
  <c r="J37" i="95"/>
  <c r="I37" i="95"/>
  <c r="H37" i="95"/>
  <c r="G37" i="95"/>
  <c r="F37" i="95"/>
  <c r="E37" i="95"/>
  <c r="D37" i="95"/>
  <c r="C37" i="95"/>
  <c r="A37" i="95"/>
  <c r="V36" i="95"/>
  <c r="U36" i="95"/>
  <c r="T36" i="95"/>
  <c r="S36" i="95"/>
  <c r="R36" i="95"/>
  <c r="Q36" i="95"/>
  <c r="P36" i="95"/>
  <c r="O36" i="95"/>
  <c r="D36" i="95"/>
  <c r="C36" i="95"/>
  <c r="A36" i="95"/>
  <c r="V35" i="95"/>
  <c r="U35" i="95"/>
  <c r="T35" i="95"/>
  <c r="S35" i="95"/>
  <c r="R35" i="95"/>
  <c r="Q35" i="95"/>
  <c r="P35" i="95"/>
  <c r="O35" i="95"/>
  <c r="A35" i="95"/>
  <c r="V34" i="95"/>
  <c r="U34" i="95"/>
  <c r="T34" i="95"/>
  <c r="S34" i="95"/>
  <c r="R34" i="95"/>
  <c r="Q34" i="95"/>
  <c r="P34" i="95"/>
  <c r="O34" i="95"/>
  <c r="L34" i="95"/>
  <c r="K34" i="95"/>
  <c r="J34" i="95"/>
  <c r="I34" i="95"/>
  <c r="H34" i="95"/>
  <c r="G34" i="95"/>
  <c r="F34" i="95"/>
  <c r="E34" i="95"/>
  <c r="D34" i="95"/>
  <c r="C34" i="95"/>
  <c r="A34" i="95"/>
  <c r="V33" i="95"/>
  <c r="U33" i="95"/>
  <c r="T33" i="95"/>
  <c r="S33" i="95"/>
  <c r="R33" i="95"/>
  <c r="Q33" i="95"/>
  <c r="P33" i="95"/>
  <c r="O33" i="95"/>
  <c r="L33" i="95"/>
  <c r="K33" i="95"/>
  <c r="J33" i="95"/>
  <c r="I33" i="95"/>
  <c r="H33" i="95"/>
  <c r="G33" i="95"/>
  <c r="F33" i="95"/>
  <c r="E33" i="95"/>
  <c r="T32" i="95"/>
  <c r="S32" i="95"/>
  <c r="V31" i="95"/>
  <c r="U31" i="95"/>
  <c r="T31" i="95"/>
  <c r="S31" i="95"/>
  <c r="R31" i="95"/>
  <c r="Q31" i="95"/>
  <c r="P31" i="95"/>
  <c r="O31" i="95"/>
  <c r="N31" i="95"/>
  <c r="M31" i="95"/>
  <c r="J20" i="95"/>
  <c r="I20" i="95"/>
  <c r="H20" i="95"/>
  <c r="G20" i="95"/>
  <c r="J19" i="95"/>
  <c r="I19" i="95"/>
  <c r="H19" i="95"/>
  <c r="G19" i="95"/>
  <c r="J18" i="95"/>
  <c r="I18" i="95"/>
  <c r="H18" i="95"/>
  <c r="G18" i="95"/>
  <c r="J17" i="95"/>
  <c r="I17" i="95"/>
  <c r="H17" i="95"/>
  <c r="G17" i="95"/>
  <c r="J16" i="95"/>
  <c r="I16" i="95"/>
  <c r="H16" i="95"/>
  <c r="G16" i="95"/>
  <c r="J15" i="95"/>
  <c r="I15" i="95"/>
  <c r="H15" i="95"/>
  <c r="G15" i="95"/>
  <c r="J14" i="95"/>
  <c r="I14" i="95"/>
  <c r="H14" i="95"/>
  <c r="G14" i="95"/>
  <c r="J13" i="95"/>
  <c r="I13" i="95"/>
  <c r="H13" i="95"/>
  <c r="G13" i="95"/>
  <c r="J12" i="95"/>
  <c r="H12" i="95"/>
  <c r="G12" i="95"/>
  <c r="J11" i="95"/>
  <c r="H11" i="95"/>
  <c r="G11" i="95"/>
  <c r="E7" i="95"/>
  <c r="B7" i="95"/>
  <c r="I12" i="95" s="1"/>
  <c r="D33" i="95" s="1"/>
  <c r="D35" i="95" s="1"/>
  <c r="M164" i="94"/>
  <c r="L164" i="94"/>
  <c r="K164" i="94"/>
  <c r="J164" i="94"/>
  <c r="N163" i="94"/>
  <c r="M163" i="94"/>
  <c r="L163" i="94"/>
  <c r="K163" i="94"/>
  <c r="J163" i="94"/>
  <c r="I163" i="94"/>
  <c r="F163" i="94"/>
  <c r="N162" i="94"/>
  <c r="M162" i="94"/>
  <c r="L162" i="94"/>
  <c r="K162" i="94"/>
  <c r="J162" i="94"/>
  <c r="I162" i="94"/>
  <c r="F162" i="94"/>
  <c r="N161" i="94"/>
  <c r="M161" i="94"/>
  <c r="L161" i="94"/>
  <c r="K161" i="94"/>
  <c r="J161" i="94"/>
  <c r="I161" i="94"/>
  <c r="F161" i="94"/>
  <c r="N160" i="94"/>
  <c r="M160" i="94"/>
  <c r="L160" i="94"/>
  <c r="K160" i="94"/>
  <c r="J160" i="94"/>
  <c r="I160" i="94"/>
  <c r="F160" i="94"/>
  <c r="N159" i="94"/>
  <c r="M159" i="94"/>
  <c r="L159" i="94"/>
  <c r="K159" i="94"/>
  <c r="J159" i="94"/>
  <c r="I159" i="94"/>
  <c r="F159" i="94"/>
  <c r="N158" i="94"/>
  <c r="M158" i="94"/>
  <c r="L158" i="94"/>
  <c r="K158" i="94"/>
  <c r="J158" i="94"/>
  <c r="I158" i="94"/>
  <c r="F158" i="94"/>
  <c r="N157" i="94"/>
  <c r="M157" i="94"/>
  <c r="L157" i="94"/>
  <c r="K157" i="94"/>
  <c r="J157" i="94"/>
  <c r="I157" i="94"/>
  <c r="F157" i="94"/>
  <c r="N156" i="94"/>
  <c r="M156" i="94"/>
  <c r="L156" i="94"/>
  <c r="K156" i="94"/>
  <c r="J156" i="94"/>
  <c r="I156" i="94"/>
  <c r="F156" i="94"/>
  <c r="N155" i="94"/>
  <c r="M155" i="94"/>
  <c r="L155" i="94"/>
  <c r="K155" i="94"/>
  <c r="J155" i="94"/>
  <c r="I155" i="94"/>
  <c r="F155" i="94"/>
  <c r="N154" i="94"/>
  <c r="M154" i="94"/>
  <c r="L154" i="94"/>
  <c r="K154" i="94"/>
  <c r="J154" i="94"/>
  <c r="I154" i="94"/>
  <c r="F154" i="94"/>
  <c r="N153" i="94"/>
  <c r="M153" i="94"/>
  <c r="L153" i="94"/>
  <c r="K153" i="94"/>
  <c r="J153" i="94"/>
  <c r="I153" i="94"/>
  <c r="F153" i="94"/>
  <c r="N152" i="94"/>
  <c r="M152" i="94"/>
  <c r="L152" i="94"/>
  <c r="K152" i="94"/>
  <c r="J152" i="94"/>
  <c r="I152" i="94"/>
  <c r="F152" i="94"/>
  <c r="N151" i="94"/>
  <c r="M151" i="94"/>
  <c r="L151" i="94"/>
  <c r="K151" i="94"/>
  <c r="J151" i="94"/>
  <c r="I151" i="94"/>
  <c r="F151" i="94"/>
  <c r="N150" i="94"/>
  <c r="M150" i="94"/>
  <c r="L150" i="94"/>
  <c r="K150" i="94"/>
  <c r="J150" i="94"/>
  <c r="I150" i="94"/>
  <c r="F150" i="94"/>
  <c r="N149" i="94"/>
  <c r="M149" i="94"/>
  <c r="L149" i="94"/>
  <c r="K149" i="94"/>
  <c r="J149" i="94"/>
  <c r="I149" i="94"/>
  <c r="F149" i="94"/>
  <c r="N148" i="94"/>
  <c r="M148" i="94"/>
  <c r="L148" i="94"/>
  <c r="K148" i="94"/>
  <c r="J148" i="94"/>
  <c r="I148" i="94"/>
  <c r="F148" i="94"/>
  <c r="M142" i="94"/>
  <c r="L142" i="94"/>
  <c r="K142" i="94"/>
  <c r="J142" i="94"/>
  <c r="N141" i="94"/>
  <c r="M141" i="94"/>
  <c r="L141" i="94"/>
  <c r="K141" i="94"/>
  <c r="J141" i="94"/>
  <c r="I141" i="94"/>
  <c r="F141" i="94"/>
  <c r="N140" i="94"/>
  <c r="M140" i="94"/>
  <c r="L140" i="94"/>
  <c r="K140" i="94"/>
  <c r="J140" i="94"/>
  <c r="I140" i="94"/>
  <c r="F140" i="94"/>
  <c r="N139" i="94"/>
  <c r="M139" i="94"/>
  <c r="L139" i="94"/>
  <c r="K139" i="94"/>
  <c r="J139" i="94"/>
  <c r="I139" i="94"/>
  <c r="F139" i="94"/>
  <c r="N138" i="94"/>
  <c r="M138" i="94"/>
  <c r="L138" i="94"/>
  <c r="K138" i="94"/>
  <c r="J138" i="94"/>
  <c r="I138" i="94"/>
  <c r="F138" i="94"/>
  <c r="N137" i="94"/>
  <c r="M137" i="94"/>
  <c r="L137" i="94"/>
  <c r="K137" i="94"/>
  <c r="J137" i="94"/>
  <c r="I137" i="94"/>
  <c r="F137" i="94"/>
  <c r="N136" i="94"/>
  <c r="M136" i="94"/>
  <c r="L136" i="94"/>
  <c r="K136" i="94"/>
  <c r="J136" i="94"/>
  <c r="I136" i="94"/>
  <c r="F136" i="94"/>
  <c r="N135" i="94"/>
  <c r="M135" i="94"/>
  <c r="L135" i="94"/>
  <c r="K135" i="94"/>
  <c r="J135" i="94"/>
  <c r="I135" i="94"/>
  <c r="F135" i="94"/>
  <c r="N134" i="94"/>
  <c r="M134" i="94"/>
  <c r="L134" i="94"/>
  <c r="K134" i="94"/>
  <c r="J134" i="94"/>
  <c r="I134" i="94"/>
  <c r="F134" i="94"/>
  <c r="N133" i="94"/>
  <c r="M133" i="94"/>
  <c r="L133" i="94"/>
  <c r="K133" i="94"/>
  <c r="J133" i="94"/>
  <c r="I133" i="94"/>
  <c r="F133" i="94"/>
  <c r="N132" i="94"/>
  <c r="M132" i="94"/>
  <c r="L132" i="94"/>
  <c r="K132" i="94"/>
  <c r="J132" i="94"/>
  <c r="I132" i="94"/>
  <c r="F132" i="94"/>
  <c r="N131" i="94"/>
  <c r="M131" i="94"/>
  <c r="L131" i="94"/>
  <c r="K131" i="94"/>
  <c r="J131" i="94"/>
  <c r="I131" i="94"/>
  <c r="F131" i="94"/>
  <c r="N130" i="94"/>
  <c r="M130" i="94"/>
  <c r="L130" i="94"/>
  <c r="K130" i="94"/>
  <c r="J130" i="94"/>
  <c r="I130" i="94"/>
  <c r="F130" i="94"/>
  <c r="N129" i="94"/>
  <c r="M129" i="94"/>
  <c r="L129" i="94"/>
  <c r="K129" i="94"/>
  <c r="J129" i="94"/>
  <c r="I129" i="94"/>
  <c r="F129" i="94"/>
  <c r="N128" i="94"/>
  <c r="M128" i="94"/>
  <c r="L128" i="94"/>
  <c r="K128" i="94"/>
  <c r="J128" i="94"/>
  <c r="I128" i="94"/>
  <c r="F128" i="94"/>
  <c r="N127" i="94"/>
  <c r="M127" i="94"/>
  <c r="L127" i="94"/>
  <c r="K127" i="94"/>
  <c r="J127" i="94"/>
  <c r="I127" i="94"/>
  <c r="F127" i="94"/>
  <c r="N126" i="94"/>
  <c r="M126" i="94"/>
  <c r="L126" i="94"/>
  <c r="K126" i="94"/>
  <c r="J126" i="94"/>
  <c r="I126" i="94"/>
  <c r="F126" i="94"/>
  <c r="V103" i="94"/>
  <c r="U103" i="94"/>
  <c r="T103" i="94"/>
  <c r="S103" i="94"/>
  <c r="R103" i="94"/>
  <c r="Q103" i="94"/>
  <c r="P103" i="94"/>
  <c r="O103" i="94"/>
  <c r="A103" i="94"/>
  <c r="V102" i="94"/>
  <c r="U102" i="94"/>
  <c r="T102" i="94"/>
  <c r="S102" i="94"/>
  <c r="R102" i="94"/>
  <c r="Q102" i="94"/>
  <c r="P102" i="94"/>
  <c r="O102" i="94"/>
  <c r="A102" i="94"/>
  <c r="V101" i="94"/>
  <c r="U101" i="94"/>
  <c r="T101" i="94"/>
  <c r="S101" i="94"/>
  <c r="R101" i="94"/>
  <c r="Q101" i="94"/>
  <c r="P101" i="94"/>
  <c r="O101" i="94"/>
  <c r="A101" i="94"/>
  <c r="V100" i="94"/>
  <c r="U100" i="94"/>
  <c r="T100" i="94"/>
  <c r="S100" i="94"/>
  <c r="R100" i="94"/>
  <c r="Q100" i="94"/>
  <c r="P100" i="94"/>
  <c r="O100" i="94"/>
  <c r="A100" i="94"/>
  <c r="V99" i="94"/>
  <c r="U99" i="94"/>
  <c r="T99" i="94"/>
  <c r="S99" i="94"/>
  <c r="R99" i="94"/>
  <c r="Q99" i="94"/>
  <c r="P99" i="94"/>
  <c r="O99" i="94"/>
  <c r="A99" i="94"/>
  <c r="V98" i="94"/>
  <c r="U98" i="94"/>
  <c r="T98" i="94"/>
  <c r="S98" i="94"/>
  <c r="R98" i="94"/>
  <c r="Q98" i="94"/>
  <c r="P98" i="94"/>
  <c r="O98" i="94"/>
  <c r="A98" i="94"/>
  <c r="V97" i="94"/>
  <c r="U97" i="94"/>
  <c r="T97" i="94"/>
  <c r="S97" i="94"/>
  <c r="R97" i="94"/>
  <c r="Q97" i="94"/>
  <c r="P97" i="94"/>
  <c r="O97" i="94"/>
  <c r="A97" i="94"/>
  <c r="V96" i="94"/>
  <c r="U96" i="94"/>
  <c r="T96" i="94"/>
  <c r="S96" i="94"/>
  <c r="R96" i="94"/>
  <c r="Q96" i="94"/>
  <c r="P96" i="94"/>
  <c r="O96" i="94"/>
  <c r="A96" i="94"/>
  <c r="V95" i="94"/>
  <c r="U95" i="94"/>
  <c r="T95" i="94"/>
  <c r="S95" i="94"/>
  <c r="R95" i="94"/>
  <c r="Q95" i="94"/>
  <c r="P95" i="94"/>
  <c r="O95" i="94"/>
  <c r="A95" i="94"/>
  <c r="V94" i="94"/>
  <c r="U94" i="94"/>
  <c r="T94" i="94"/>
  <c r="S94" i="94"/>
  <c r="R94" i="94"/>
  <c r="Q94" i="94"/>
  <c r="P94" i="94"/>
  <c r="O94" i="94"/>
  <c r="A94" i="94"/>
  <c r="V93" i="94"/>
  <c r="U93" i="94"/>
  <c r="T93" i="94"/>
  <c r="S93" i="94"/>
  <c r="R93" i="94"/>
  <c r="Q93" i="94"/>
  <c r="P93" i="94"/>
  <c r="O93" i="94"/>
  <c r="A93" i="94"/>
  <c r="V92" i="94"/>
  <c r="U92" i="94"/>
  <c r="T92" i="94"/>
  <c r="S92" i="94"/>
  <c r="R92" i="94"/>
  <c r="Q92" i="94"/>
  <c r="P92" i="94"/>
  <c r="O92" i="94"/>
  <c r="A92" i="94"/>
  <c r="V91" i="94"/>
  <c r="U91" i="94"/>
  <c r="T91" i="94"/>
  <c r="S91" i="94"/>
  <c r="R91" i="94"/>
  <c r="Q91" i="94"/>
  <c r="P91" i="94"/>
  <c r="O91" i="94"/>
  <c r="A91" i="94"/>
  <c r="V90" i="94"/>
  <c r="U90" i="94"/>
  <c r="T90" i="94"/>
  <c r="S90" i="94"/>
  <c r="R90" i="94"/>
  <c r="Q90" i="94"/>
  <c r="P90" i="94"/>
  <c r="O90" i="94"/>
  <c r="A90" i="94"/>
  <c r="V89" i="94"/>
  <c r="U89" i="94"/>
  <c r="T89" i="94"/>
  <c r="S89" i="94"/>
  <c r="R89" i="94"/>
  <c r="Q89" i="94"/>
  <c r="P89" i="94"/>
  <c r="O89" i="94"/>
  <c r="A89" i="94"/>
  <c r="V88" i="94"/>
  <c r="U88" i="94"/>
  <c r="T88" i="94"/>
  <c r="S88" i="94"/>
  <c r="R88" i="94"/>
  <c r="Q88" i="94"/>
  <c r="P88" i="94"/>
  <c r="O88" i="94"/>
  <c r="A88" i="94"/>
  <c r="V87" i="94"/>
  <c r="U87" i="94"/>
  <c r="T87" i="94"/>
  <c r="S87" i="94"/>
  <c r="R87" i="94"/>
  <c r="Q87" i="94"/>
  <c r="P87" i="94"/>
  <c r="O87" i="94"/>
  <c r="A87" i="94"/>
  <c r="V86" i="94"/>
  <c r="U86" i="94"/>
  <c r="T86" i="94"/>
  <c r="S86" i="94"/>
  <c r="R86" i="94"/>
  <c r="Q86" i="94"/>
  <c r="P86" i="94"/>
  <c r="O86" i="94"/>
  <c r="A86" i="94"/>
  <c r="V85" i="94"/>
  <c r="U85" i="94"/>
  <c r="T85" i="94"/>
  <c r="S85" i="94"/>
  <c r="R85" i="94"/>
  <c r="Q85" i="94"/>
  <c r="P85" i="94"/>
  <c r="O85" i="94"/>
  <c r="A85" i="94"/>
  <c r="V84" i="94"/>
  <c r="U84" i="94"/>
  <c r="T84" i="94"/>
  <c r="S84" i="94"/>
  <c r="R84" i="94"/>
  <c r="Q84" i="94"/>
  <c r="P84" i="94"/>
  <c r="O84" i="94"/>
  <c r="A84" i="94"/>
  <c r="V83" i="94"/>
  <c r="U83" i="94"/>
  <c r="T83" i="94"/>
  <c r="S83" i="94"/>
  <c r="R83" i="94"/>
  <c r="Q83" i="94"/>
  <c r="P83" i="94"/>
  <c r="O83" i="94"/>
  <c r="A83" i="94"/>
  <c r="V82" i="94"/>
  <c r="U82" i="94"/>
  <c r="T82" i="94"/>
  <c r="S82" i="94"/>
  <c r="R82" i="94"/>
  <c r="Q82" i="94"/>
  <c r="P82" i="94"/>
  <c r="O82" i="94"/>
  <c r="L82" i="94"/>
  <c r="K82" i="94"/>
  <c r="J82" i="94"/>
  <c r="I82" i="94"/>
  <c r="H82" i="94"/>
  <c r="G82" i="94"/>
  <c r="F82" i="94"/>
  <c r="A82" i="94"/>
  <c r="V81" i="94"/>
  <c r="U81" i="94"/>
  <c r="T81" i="94"/>
  <c r="S81" i="94"/>
  <c r="R81" i="94"/>
  <c r="Q81" i="94"/>
  <c r="P81" i="94"/>
  <c r="O81" i="94"/>
  <c r="A81" i="94"/>
  <c r="V80" i="94"/>
  <c r="U80" i="94"/>
  <c r="T80" i="94"/>
  <c r="S80" i="94"/>
  <c r="R80" i="94"/>
  <c r="Q80" i="94"/>
  <c r="P80" i="94"/>
  <c r="O80" i="94"/>
  <c r="D80" i="94"/>
  <c r="A80" i="94"/>
  <c r="V79" i="94"/>
  <c r="U79" i="94"/>
  <c r="T79" i="94"/>
  <c r="S79" i="94"/>
  <c r="R79" i="94"/>
  <c r="Q79" i="94"/>
  <c r="P79" i="94"/>
  <c r="O79" i="94"/>
  <c r="D79" i="94"/>
  <c r="A79" i="94"/>
  <c r="V78" i="94"/>
  <c r="U78" i="94"/>
  <c r="T78" i="94"/>
  <c r="S78" i="94"/>
  <c r="R78" i="94"/>
  <c r="Q78" i="94"/>
  <c r="P78" i="94"/>
  <c r="O78" i="94"/>
  <c r="D78" i="94"/>
  <c r="A78" i="94"/>
  <c r="V77" i="94"/>
  <c r="U77" i="94"/>
  <c r="T77" i="94"/>
  <c r="S77" i="94"/>
  <c r="R77" i="94"/>
  <c r="Q77" i="94"/>
  <c r="P77" i="94"/>
  <c r="O77" i="94"/>
  <c r="D77" i="94"/>
  <c r="A77" i="94"/>
  <c r="V76" i="94"/>
  <c r="U76" i="94"/>
  <c r="T76" i="94"/>
  <c r="S76" i="94"/>
  <c r="R76" i="94"/>
  <c r="Q76" i="94"/>
  <c r="P76" i="94"/>
  <c r="O76" i="94"/>
  <c r="A76" i="94"/>
  <c r="V75" i="94"/>
  <c r="U75" i="94"/>
  <c r="T75" i="94"/>
  <c r="S75" i="94"/>
  <c r="R75" i="94"/>
  <c r="Q75" i="94"/>
  <c r="P75" i="94"/>
  <c r="O75" i="94"/>
  <c r="A75" i="94"/>
  <c r="V74" i="94"/>
  <c r="U74" i="94"/>
  <c r="T74" i="94"/>
  <c r="S74" i="94"/>
  <c r="R74" i="94"/>
  <c r="Q74" i="94"/>
  <c r="P74" i="94"/>
  <c r="O74" i="94"/>
  <c r="A74" i="94"/>
  <c r="V73" i="94"/>
  <c r="U73" i="94"/>
  <c r="T73" i="94"/>
  <c r="S73" i="94"/>
  <c r="R73" i="94"/>
  <c r="Q73" i="94"/>
  <c r="P73" i="94"/>
  <c r="O73" i="94"/>
  <c r="A73" i="94"/>
  <c r="V72" i="94"/>
  <c r="U72" i="94"/>
  <c r="T72" i="94"/>
  <c r="S72" i="94"/>
  <c r="R72" i="94"/>
  <c r="Q72" i="94"/>
  <c r="P72" i="94"/>
  <c r="O72" i="94"/>
  <c r="A72" i="94"/>
  <c r="V71" i="94"/>
  <c r="U71" i="94"/>
  <c r="T71" i="94"/>
  <c r="S71" i="94"/>
  <c r="R71" i="94"/>
  <c r="Q71" i="94"/>
  <c r="P71" i="94"/>
  <c r="O71" i="94"/>
  <c r="L71" i="94"/>
  <c r="K71" i="94"/>
  <c r="J71" i="94"/>
  <c r="I71" i="94"/>
  <c r="H71" i="94"/>
  <c r="G71" i="94"/>
  <c r="F71" i="94"/>
  <c r="E71" i="94"/>
  <c r="D71" i="94"/>
  <c r="C71" i="94"/>
  <c r="A71" i="94"/>
  <c r="V70" i="94"/>
  <c r="U70" i="94"/>
  <c r="T70" i="94"/>
  <c r="S70" i="94"/>
  <c r="R70" i="94"/>
  <c r="Q70" i="94"/>
  <c r="P70" i="94"/>
  <c r="O70" i="94"/>
  <c r="A70" i="94"/>
  <c r="L69" i="94"/>
  <c r="K69" i="94"/>
  <c r="J69" i="94"/>
  <c r="I69" i="94"/>
  <c r="H69" i="94"/>
  <c r="G69" i="94"/>
  <c r="F69" i="94"/>
  <c r="E69" i="94"/>
  <c r="D69" i="94"/>
  <c r="C69" i="94"/>
  <c r="A69" i="94"/>
  <c r="V68" i="94"/>
  <c r="U68" i="94"/>
  <c r="T68" i="94"/>
  <c r="S68" i="94"/>
  <c r="R68" i="94"/>
  <c r="Q68" i="94"/>
  <c r="P68" i="94"/>
  <c r="O68" i="94"/>
  <c r="D68" i="94"/>
  <c r="C68" i="94"/>
  <c r="A68" i="94"/>
  <c r="V67" i="94"/>
  <c r="U67" i="94"/>
  <c r="T67" i="94"/>
  <c r="S67" i="94"/>
  <c r="R67" i="94"/>
  <c r="Q67" i="94"/>
  <c r="P67" i="94"/>
  <c r="O67" i="94"/>
  <c r="A67" i="94"/>
  <c r="V66" i="94"/>
  <c r="U66" i="94"/>
  <c r="T66" i="94"/>
  <c r="S66" i="94"/>
  <c r="R66" i="94"/>
  <c r="Q66" i="94"/>
  <c r="P66" i="94"/>
  <c r="O66" i="94"/>
  <c r="A66" i="94"/>
  <c r="D65" i="94"/>
  <c r="C65" i="94"/>
  <c r="A65" i="94"/>
  <c r="V64" i="94"/>
  <c r="U64" i="94"/>
  <c r="T64" i="94"/>
  <c r="S64" i="94"/>
  <c r="R64" i="94"/>
  <c r="Q64" i="94"/>
  <c r="P64" i="94"/>
  <c r="O64" i="94"/>
  <c r="D64" i="94"/>
  <c r="C64" i="94"/>
  <c r="A64" i="94"/>
  <c r="V63" i="94"/>
  <c r="U63" i="94"/>
  <c r="T63" i="94"/>
  <c r="S63" i="94"/>
  <c r="R63" i="94"/>
  <c r="Q63" i="94"/>
  <c r="P63" i="94"/>
  <c r="O63" i="94"/>
  <c r="A63" i="94"/>
  <c r="V62" i="94"/>
  <c r="U62" i="94"/>
  <c r="T62" i="94"/>
  <c r="S62" i="94"/>
  <c r="R62" i="94"/>
  <c r="Q62" i="94"/>
  <c r="P62" i="94"/>
  <c r="O62" i="94"/>
  <c r="A62" i="94"/>
  <c r="V61" i="94"/>
  <c r="U61" i="94"/>
  <c r="T61" i="94"/>
  <c r="S61" i="94"/>
  <c r="R61" i="94"/>
  <c r="Q61" i="94"/>
  <c r="P61" i="94"/>
  <c r="O61" i="94"/>
  <c r="A61" i="94"/>
  <c r="V60" i="94"/>
  <c r="U60" i="94"/>
  <c r="T60" i="94"/>
  <c r="S60" i="94"/>
  <c r="R60" i="94"/>
  <c r="Q60" i="94"/>
  <c r="P60" i="94"/>
  <c r="O60" i="94"/>
  <c r="A60" i="94"/>
  <c r="V59" i="94"/>
  <c r="U59" i="94"/>
  <c r="T59" i="94"/>
  <c r="S59" i="94"/>
  <c r="R59" i="94"/>
  <c r="Q59" i="94"/>
  <c r="P59" i="94"/>
  <c r="O59" i="94"/>
  <c r="A59" i="94"/>
  <c r="V58" i="94"/>
  <c r="U58" i="94"/>
  <c r="T58" i="94"/>
  <c r="S58" i="94"/>
  <c r="R58" i="94"/>
  <c r="Q58" i="94"/>
  <c r="P58" i="94"/>
  <c r="O58" i="94"/>
  <c r="C58" i="94"/>
  <c r="A58" i="94"/>
  <c r="V57" i="94"/>
  <c r="U57" i="94"/>
  <c r="T57" i="94"/>
  <c r="S57" i="94"/>
  <c r="R57" i="94"/>
  <c r="Q57" i="94"/>
  <c r="P57" i="94"/>
  <c r="O57" i="94"/>
  <c r="C57" i="94"/>
  <c r="A57" i="94"/>
  <c r="V56" i="94"/>
  <c r="U56" i="94"/>
  <c r="T56" i="94"/>
  <c r="S56" i="94"/>
  <c r="R56" i="94"/>
  <c r="Q56" i="94"/>
  <c r="P56" i="94"/>
  <c r="O56" i="94"/>
  <c r="A56" i="94"/>
  <c r="V55" i="94"/>
  <c r="U55" i="94"/>
  <c r="T55" i="94"/>
  <c r="S55" i="94"/>
  <c r="R55" i="94"/>
  <c r="Q55" i="94"/>
  <c r="P55" i="94"/>
  <c r="O55" i="94"/>
  <c r="A55" i="94"/>
  <c r="V54" i="94"/>
  <c r="U54" i="94"/>
  <c r="T54" i="94"/>
  <c r="S54" i="94"/>
  <c r="R54" i="94"/>
  <c r="Q54" i="94"/>
  <c r="P54" i="94"/>
  <c r="O54" i="94"/>
  <c r="D54" i="94"/>
  <c r="C54" i="94"/>
  <c r="A54" i="94"/>
  <c r="V53" i="94"/>
  <c r="U53" i="94"/>
  <c r="T53" i="94"/>
  <c r="S53" i="94"/>
  <c r="R53" i="94"/>
  <c r="Q53" i="94"/>
  <c r="P53" i="94"/>
  <c r="O53" i="94"/>
  <c r="L53" i="94"/>
  <c r="K53" i="94"/>
  <c r="J53" i="94"/>
  <c r="I53" i="94"/>
  <c r="H53" i="94"/>
  <c r="G53" i="94"/>
  <c r="F53" i="94"/>
  <c r="E53" i="94"/>
  <c r="D53" i="94"/>
  <c r="C53" i="94"/>
  <c r="A53" i="94"/>
  <c r="V52" i="94"/>
  <c r="U52" i="94"/>
  <c r="T52" i="94"/>
  <c r="S52" i="94"/>
  <c r="R52" i="94"/>
  <c r="Q52" i="94"/>
  <c r="P52" i="94"/>
  <c r="O52" i="94"/>
  <c r="L52" i="94"/>
  <c r="K52" i="94"/>
  <c r="J52" i="94"/>
  <c r="I52" i="94"/>
  <c r="H52" i="94"/>
  <c r="G52" i="94"/>
  <c r="F52" i="94"/>
  <c r="E52" i="94"/>
  <c r="D52" i="94"/>
  <c r="C52" i="94"/>
  <c r="A52" i="94"/>
  <c r="V51" i="94"/>
  <c r="U51" i="94"/>
  <c r="T51" i="94"/>
  <c r="S51" i="94"/>
  <c r="R51" i="94"/>
  <c r="Q51" i="94"/>
  <c r="P51" i="94"/>
  <c r="O51" i="94"/>
  <c r="A51" i="94"/>
  <c r="V50" i="94"/>
  <c r="U50" i="94"/>
  <c r="T50" i="94"/>
  <c r="S50" i="94"/>
  <c r="R50" i="94"/>
  <c r="Q50" i="94"/>
  <c r="P50" i="94"/>
  <c r="O50" i="94"/>
  <c r="A50" i="94"/>
  <c r="V49" i="94"/>
  <c r="U49" i="94"/>
  <c r="T49" i="94"/>
  <c r="S49" i="94"/>
  <c r="R49" i="94"/>
  <c r="Q49" i="94"/>
  <c r="P49" i="94"/>
  <c r="O49" i="94"/>
  <c r="A49" i="94"/>
  <c r="V48" i="94"/>
  <c r="U48" i="94"/>
  <c r="T48" i="94"/>
  <c r="S48" i="94"/>
  <c r="R48" i="94"/>
  <c r="Q48" i="94"/>
  <c r="P48" i="94"/>
  <c r="O48" i="94"/>
  <c r="A48" i="94"/>
  <c r="V47" i="94"/>
  <c r="U47" i="94"/>
  <c r="T47" i="94"/>
  <c r="S47" i="94"/>
  <c r="R47" i="94"/>
  <c r="Q47" i="94"/>
  <c r="P47" i="94"/>
  <c r="O47" i="94"/>
  <c r="A47" i="94"/>
  <c r="V46" i="94"/>
  <c r="U46" i="94"/>
  <c r="T46" i="94"/>
  <c r="S46" i="94"/>
  <c r="R46" i="94"/>
  <c r="Q46" i="94"/>
  <c r="P46" i="94"/>
  <c r="O46" i="94"/>
  <c r="A46" i="94"/>
  <c r="V45" i="94"/>
  <c r="U45" i="94"/>
  <c r="T45" i="94"/>
  <c r="S45" i="94"/>
  <c r="R45" i="94"/>
  <c r="Q45" i="94"/>
  <c r="P45" i="94"/>
  <c r="O45" i="94"/>
  <c r="A45" i="94"/>
  <c r="V44" i="94"/>
  <c r="U44" i="94"/>
  <c r="T44" i="94"/>
  <c r="S44" i="94"/>
  <c r="R44" i="94"/>
  <c r="Q44" i="94"/>
  <c r="P44" i="94"/>
  <c r="O44" i="94"/>
  <c r="A44" i="94"/>
  <c r="V43" i="94"/>
  <c r="U43" i="94"/>
  <c r="T43" i="94"/>
  <c r="S43" i="94"/>
  <c r="R43" i="94"/>
  <c r="Q43" i="94"/>
  <c r="P43" i="94"/>
  <c r="O43" i="94"/>
  <c r="L43" i="94"/>
  <c r="K43" i="94"/>
  <c r="J43" i="94"/>
  <c r="I43" i="94"/>
  <c r="H43" i="94"/>
  <c r="G43" i="94"/>
  <c r="F43" i="94"/>
  <c r="E43" i="94"/>
  <c r="D43" i="94"/>
  <c r="C43" i="94"/>
  <c r="A43" i="94"/>
  <c r="V42" i="94"/>
  <c r="U42" i="94"/>
  <c r="T42" i="94"/>
  <c r="S42" i="94"/>
  <c r="R42" i="94"/>
  <c r="Q42" i="94"/>
  <c r="P42" i="94"/>
  <c r="O42" i="94"/>
  <c r="L42" i="94"/>
  <c r="K42" i="94"/>
  <c r="J42" i="94"/>
  <c r="I42" i="94"/>
  <c r="H42" i="94"/>
  <c r="G42" i="94"/>
  <c r="F42" i="94"/>
  <c r="E42" i="94"/>
  <c r="D42" i="94"/>
  <c r="C42" i="94"/>
  <c r="A42" i="94"/>
  <c r="V41" i="94"/>
  <c r="U41" i="94"/>
  <c r="T41" i="94"/>
  <c r="S41" i="94"/>
  <c r="R41" i="94"/>
  <c r="Q41" i="94"/>
  <c r="P41" i="94"/>
  <c r="O41" i="94"/>
  <c r="L41" i="94"/>
  <c r="K41" i="94"/>
  <c r="J41" i="94"/>
  <c r="I41" i="94"/>
  <c r="H41" i="94"/>
  <c r="G41" i="94"/>
  <c r="F41" i="94"/>
  <c r="E41" i="94"/>
  <c r="D41" i="94"/>
  <c r="C41" i="94"/>
  <c r="A41" i="94"/>
  <c r="V40" i="94"/>
  <c r="U40" i="94"/>
  <c r="T40" i="94"/>
  <c r="S40" i="94"/>
  <c r="R40" i="94"/>
  <c r="Q40" i="94"/>
  <c r="P40" i="94"/>
  <c r="O40" i="94"/>
  <c r="A40" i="94"/>
  <c r="V39" i="94"/>
  <c r="U39" i="94"/>
  <c r="T39" i="94"/>
  <c r="S39" i="94"/>
  <c r="R39" i="94"/>
  <c r="Q39" i="94"/>
  <c r="P39" i="94"/>
  <c r="O39" i="94"/>
  <c r="L39" i="94"/>
  <c r="K39" i="94"/>
  <c r="J39" i="94"/>
  <c r="I39" i="94"/>
  <c r="H39" i="94"/>
  <c r="G39" i="94"/>
  <c r="F39" i="94"/>
  <c r="E39" i="94"/>
  <c r="D39" i="94"/>
  <c r="C39" i="94"/>
  <c r="A39" i="94"/>
  <c r="V38" i="94"/>
  <c r="U38" i="94"/>
  <c r="T38" i="94"/>
  <c r="S38" i="94"/>
  <c r="R38" i="94"/>
  <c r="Q38" i="94"/>
  <c r="P38" i="94"/>
  <c r="O38" i="94"/>
  <c r="A38" i="94"/>
  <c r="V37" i="94"/>
  <c r="U37" i="94"/>
  <c r="T37" i="94"/>
  <c r="S37" i="94"/>
  <c r="R37" i="94"/>
  <c r="Q37" i="94"/>
  <c r="P37" i="94"/>
  <c r="O37" i="94"/>
  <c r="L37" i="94"/>
  <c r="K37" i="94"/>
  <c r="J37" i="94"/>
  <c r="I37" i="94"/>
  <c r="H37" i="94"/>
  <c r="G37" i="94"/>
  <c r="F37" i="94"/>
  <c r="E37" i="94"/>
  <c r="D37" i="94"/>
  <c r="C37" i="94"/>
  <c r="A37" i="94"/>
  <c r="V36" i="94"/>
  <c r="U36" i="94"/>
  <c r="T36" i="94"/>
  <c r="S36" i="94"/>
  <c r="R36" i="94"/>
  <c r="Q36" i="94"/>
  <c r="P36" i="94"/>
  <c r="O36" i="94"/>
  <c r="D36" i="94"/>
  <c r="C36" i="94"/>
  <c r="A36" i="94"/>
  <c r="V35" i="94"/>
  <c r="U35" i="94"/>
  <c r="T35" i="94"/>
  <c r="S35" i="94"/>
  <c r="R35" i="94"/>
  <c r="Q35" i="94"/>
  <c r="P35" i="94"/>
  <c r="O35" i="94"/>
  <c r="A35" i="94"/>
  <c r="V34" i="94"/>
  <c r="U34" i="94"/>
  <c r="T34" i="94"/>
  <c r="S34" i="94"/>
  <c r="R34" i="94"/>
  <c r="Q34" i="94"/>
  <c r="P34" i="94"/>
  <c r="O34" i="94"/>
  <c r="L34" i="94"/>
  <c r="K34" i="94"/>
  <c r="J34" i="94"/>
  <c r="I34" i="94"/>
  <c r="H34" i="94"/>
  <c r="G34" i="94"/>
  <c r="F34" i="94"/>
  <c r="E34" i="94"/>
  <c r="D34" i="94"/>
  <c r="C34" i="94"/>
  <c r="A34" i="94"/>
  <c r="V33" i="94"/>
  <c r="U33" i="94"/>
  <c r="T33" i="94"/>
  <c r="S33" i="94"/>
  <c r="R33" i="94"/>
  <c r="Q33" i="94"/>
  <c r="P33" i="94"/>
  <c r="O33" i="94"/>
  <c r="L33" i="94"/>
  <c r="K33" i="94"/>
  <c r="J33" i="94"/>
  <c r="I33" i="94"/>
  <c r="H33" i="94"/>
  <c r="G33" i="94"/>
  <c r="F33" i="94"/>
  <c r="E33" i="94"/>
  <c r="T32" i="94"/>
  <c r="S32" i="94"/>
  <c r="V31" i="94"/>
  <c r="U31" i="94"/>
  <c r="T31" i="94"/>
  <c r="S31" i="94"/>
  <c r="R31" i="94"/>
  <c r="Q31" i="94"/>
  <c r="P31" i="94"/>
  <c r="O31" i="94"/>
  <c r="N31" i="94"/>
  <c r="M31" i="94"/>
  <c r="J20" i="94"/>
  <c r="I20" i="94"/>
  <c r="H20" i="94"/>
  <c r="G20" i="94"/>
  <c r="J19" i="94"/>
  <c r="I19" i="94"/>
  <c r="H19" i="94"/>
  <c r="G19" i="94"/>
  <c r="J18" i="94"/>
  <c r="I18" i="94"/>
  <c r="H18" i="94"/>
  <c r="G18" i="94"/>
  <c r="J17" i="94"/>
  <c r="I17" i="94"/>
  <c r="H17" i="94"/>
  <c r="G17" i="94"/>
  <c r="J16" i="94"/>
  <c r="I16" i="94"/>
  <c r="H16" i="94"/>
  <c r="G16" i="94"/>
  <c r="J15" i="94"/>
  <c r="I15" i="94"/>
  <c r="H15" i="94"/>
  <c r="G15" i="94"/>
  <c r="J14" i="94"/>
  <c r="I14" i="94"/>
  <c r="H14" i="94"/>
  <c r="G14" i="94"/>
  <c r="J13" i="94"/>
  <c r="I13" i="94"/>
  <c r="H13" i="94"/>
  <c r="G13" i="94"/>
  <c r="J12" i="94"/>
  <c r="H12" i="94"/>
  <c r="G12" i="94"/>
  <c r="J11" i="94"/>
  <c r="H11" i="94"/>
  <c r="G11" i="94"/>
  <c r="E7" i="94"/>
  <c r="B7" i="94"/>
  <c r="I12" i="94" s="1"/>
  <c r="D33" i="94" s="1"/>
  <c r="G129" i="46"/>
  <c r="F129" i="46"/>
  <c r="E129" i="46"/>
  <c r="D129" i="46"/>
  <c r="C129" i="46"/>
  <c r="H128" i="46"/>
  <c r="G128" i="46"/>
  <c r="E128" i="46"/>
  <c r="C128" i="46"/>
  <c r="H127" i="46"/>
  <c r="G127" i="46"/>
  <c r="E127" i="46"/>
  <c r="C127" i="46"/>
  <c r="H126" i="46"/>
  <c r="G126" i="46"/>
  <c r="E126" i="46"/>
  <c r="C126" i="46"/>
  <c r="H125" i="46"/>
  <c r="G125" i="46"/>
  <c r="E125" i="46"/>
  <c r="C125" i="46"/>
  <c r="H121" i="46"/>
  <c r="G121" i="46"/>
  <c r="H120" i="46"/>
  <c r="G120" i="46"/>
  <c r="D120" i="46"/>
  <c r="H119" i="46"/>
  <c r="G119" i="46"/>
  <c r="D119" i="46"/>
  <c r="H118" i="46"/>
  <c r="G118" i="46"/>
  <c r="D118" i="46"/>
  <c r="V103" i="46"/>
  <c r="U103" i="46"/>
  <c r="T103" i="46"/>
  <c r="S103" i="46"/>
  <c r="R103" i="46"/>
  <c r="Q103" i="46"/>
  <c r="P103" i="46"/>
  <c r="O103" i="46"/>
  <c r="N103" i="46"/>
  <c r="A103" i="46"/>
  <c r="V102" i="46"/>
  <c r="U102" i="46"/>
  <c r="T102" i="46"/>
  <c r="S102" i="46"/>
  <c r="R102" i="46"/>
  <c r="Q102" i="46"/>
  <c r="P102" i="46"/>
  <c r="O102" i="46"/>
  <c r="N102" i="46"/>
  <c r="A102" i="46"/>
  <c r="V101" i="46"/>
  <c r="U101" i="46"/>
  <c r="T101" i="46"/>
  <c r="S101" i="46"/>
  <c r="R101" i="46"/>
  <c r="Q101" i="46"/>
  <c r="P101" i="46"/>
  <c r="O101" i="46"/>
  <c r="N101" i="46"/>
  <c r="A101" i="46"/>
  <c r="V100" i="46"/>
  <c r="U100" i="46"/>
  <c r="T100" i="46"/>
  <c r="S100" i="46"/>
  <c r="R100" i="46"/>
  <c r="Q100" i="46"/>
  <c r="P100" i="46"/>
  <c r="O100" i="46"/>
  <c r="N100" i="46"/>
  <c r="A100" i="46"/>
  <c r="V99" i="46"/>
  <c r="U99" i="46"/>
  <c r="T99" i="46"/>
  <c r="S99" i="46"/>
  <c r="R99" i="46"/>
  <c r="Q99" i="46"/>
  <c r="P99" i="46"/>
  <c r="O99" i="46"/>
  <c r="N99" i="46"/>
  <c r="A99" i="46"/>
  <c r="V98" i="46"/>
  <c r="U98" i="46"/>
  <c r="T98" i="46"/>
  <c r="S98" i="46"/>
  <c r="R98" i="46"/>
  <c r="Q98" i="46"/>
  <c r="P98" i="46"/>
  <c r="O98" i="46"/>
  <c r="N98" i="46"/>
  <c r="A98" i="46"/>
  <c r="V97" i="46"/>
  <c r="U97" i="46"/>
  <c r="T97" i="46"/>
  <c r="S97" i="46"/>
  <c r="R97" i="46"/>
  <c r="Q97" i="46"/>
  <c r="P97" i="46"/>
  <c r="O97" i="46"/>
  <c r="N97" i="46"/>
  <c r="A97" i="46"/>
  <c r="V96" i="46"/>
  <c r="U96" i="46"/>
  <c r="T96" i="46"/>
  <c r="S96" i="46"/>
  <c r="R96" i="46"/>
  <c r="Q96" i="46"/>
  <c r="P96" i="46"/>
  <c r="O96" i="46"/>
  <c r="N96" i="46"/>
  <c r="A96" i="46"/>
  <c r="V95" i="46"/>
  <c r="U95" i="46"/>
  <c r="T95" i="46"/>
  <c r="S95" i="46"/>
  <c r="R95" i="46"/>
  <c r="Q95" i="46"/>
  <c r="P95" i="46"/>
  <c r="O95" i="46"/>
  <c r="N95" i="46"/>
  <c r="A95" i="46"/>
  <c r="V94" i="46"/>
  <c r="U94" i="46"/>
  <c r="T94" i="46"/>
  <c r="S94" i="46"/>
  <c r="R94" i="46"/>
  <c r="Q94" i="46"/>
  <c r="P94" i="46"/>
  <c r="O94" i="46"/>
  <c r="N94" i="46"/>
  <c r="A94" i="46"/>
  <c r="V93" i="46"/>
  <c r="U93" i="46"/>
  <c r="T93" i="46"/>
  <c r="S93" i="46"/>
  <c r="R93" i="46"/>
  <c r="Q93" i="46"/>
  <c r="P93" i="46"/>
  <c r="O93" i="46"/>
  <c r="N93" i="46"/>
  <c r="A93" i="46"/>
  <c r="V92" i="46"/>
  <c r="U92" i="46"/>
  <c r="T92" i="46"/>
  <c r="S92" i="46"/>
  <c r="R92" i="46"/>
  <c r="Q92" i="46"/>
  <c r="P92" i="46"/>
  <c r="O92" i="46"/>
  <c r="N92" i="46"/>
  <c r="A92" i="46"/>
  <c r="V91" i="46"/>
  <c r="U91" i="46"/>
  <c r="T91" i="46"/>
  <c r="S91" i="46"/>
  <c r="R91" i="46"/>
  <c r="Q91" i="46"/>
  <c r="P91" i="46"/>
  <c r="O91" i="46"/>
  <c r="N91" i="46"/>
  <c r="A91" i="46"/>
  <c r="V90" i="46"/>
  <c r="U90" i="46"/>
  <c r="T90" i="46"/>
  <c r="S90" i="46"/>
  <c r="R90" i="46"/>
  <c r="Q90" i="46"/>
  <c r="P90" i="46"/>
  <c r="O90" i="46"/>
  <c r="N90" i="46"/>
  <c r="A90" i="46"/>
  <c r="V89" i="46"/>
  <c r="U89" i="46"/>
  <c r="T89" i="46"/>
  <c r="S89" i="46"/>
  <c r="R89" i="46"/>
  <c r="Q89" i="46"/>
  <c r="P89" i="46"/>
  <c r="O89" i="46"/>
  <c r="N89" i="46"/>
  <c r="A89" i="46"/>
  <c r="V88" i="46"/>
  <c r="U88" i="46"/>
  <c r="T88" i="46"/>
  <c r="S88" i="46"/>
  <c r="R88" i="46"/>
  <c r="Q88" i="46"/>
  <c r="P88" i="46"/>
  <c r="O88" i="46"/>
  <c r="N88" i="46"/>
  <c r="A88" i="46"/>
  <c r="V87" i="46"/>
  <c r="U87" i="46"/>
  <c r="T87" i="46"/>
  <c r="S87" i="46"/>
  <c r="R87" i="46"/>
  <c r="Q87" i="46"/>
  <c r="P87" i="46"/>
  <c r="O87" i="46"/>
  <c r="N87" i="46"/>
  <c r="A87" i="46"/>
  <c r="V86" i="46"/>
  <c r="U86" i="46"/>
  <c r="T86" i="46"/>
  <c r="S86" i="46"/>
  <c r="R86" i="46"/>
  <c r="Q86" i="46"/>
  <c r="P86" i="46"/>
  <c r="O86" i="46"/>
  <c r="N86" i="46"/>
  <c r="A86" i="46"/>
  <c r="V85" i="46"/>
  <c r="U85" i="46"/>
  <c r="T85" i="46"/>
  <c r="S85" i="46"/>
  <c r="R85" i="46"/>
  <c r="Q85" i="46"/>
  <c r="P85" i="46"/>
  <c r="O85" i="46"/>
  <c r="N85" i="46"/>
  <c r="A85" i="46"/>
  <c r="V84" i="46"/>
  <c r="U84" i="46"/>
  <c r="T84" i="46"/>
  <c r="S84" i="46"/>
  <c r="R84" i="46"/>
  <c r="Q84" i="46"/>
  <c r="P84" i="46"/>
  <c r="O84" i="46"/>
  <c r="N84" i="46"/>
  <c r="A84" i="46"/>
  <c r="V83" i="46"/>
  <c r="U83" i="46"/>
  <c r="T83" i="46"/>
  <c r="S83" i="46"/>
  <c r="R83" i="46"/>
  <c r="Q83" i="46"/>
  <c r="P83" i="46"/>
  <c r="O83" i="46"/>
  <c r="N83" i="46"/>
  <c r="A83" i="46"/>
  <c r="V82" i="46"/>
  <c r="U82" i="46"/>
  <c r="T82" i="46"/>
  <c r="S82" i="46"/>
  <c r="R82" i="46"/>
  <c r="Q82" i="46"/>
  <c r="P82" i="46"/>
  <c r="O82" i="46"/>
  <c r="N82" i="46"/>
  <c r="L82" i="46"/>
  <c r="K82" i="46"/>
  <c r="J82" i="46"/>
  <c r="I82" i="46"/>
  <c r="H82" i="46"/>
  <c r="G82" i="46"/>
  <c r="F82" i="46"/>
  <c r="A82" i="46"/>
  <c r="V81" i="46"/>
  <c r="U81" i="46"/>
  <c r="T81" i="46"/>
  <c r="S81" i="46"/>
  <c r="R81" i="46"/>
  <c r="Q81" i="46"/>
  <c r="P81" i="46"/>
  <c r="O81" i="46"/>
  <c r="N81" i="46"/>
  <c r="A81" i="46"/>
  <c r="V80" i="46"/>
  <c r="U80" i="46"/>
  <c r="T80" i="46"/>
  <c r="S80" i="46"/>
  <c r="R80" i="46"/>
  <c r="Q80" i="46"/>
  <c r="P80" i="46"/>
  <c r="O80" i="46"/>
  <c r="N80" i="46"/>
  <c r="A80" i="46"/>
  <c r="V79" i="46"/>
  <c r="U79" i="46"/>
  <c r="T79" i="46"/>
  <c r="S79" i="46"/>
  <c r="R79" i="46"/>
  <c r="Q79" i="46"/>
  <c r="P79" i="46"/>
  <c r="O79" i="46"/>
  <c r="N79" i="46"/>
  <c r="A79" i="46"/>
  <c r="V78" i="46"/>
  <c r="U78" i="46"/>
  <c r="T78" i="46"/>
  <c r="S78" i="46"/>
  <c r="R78" i="46"/>
  <c r="Q78" i="46"/>
  <c r="P78" i="46"/>
  <c r="O78" i="46"/>
  <c r="N78" i="46"/>
  <c r="A78" i="46"/>
  <c r="V77" i="46"/>
  <c r="U77" i="46"/>
  <c r="T77" i="46"/>
  <c r="S77" i="46"/>
  <c r="R77" i="46"/>
  <c r="Q77" i="46"/>
  <c r="P77" i="46"/>
  <c r="O77" i="46"/>
  <c r="N77" i="46"/>
  <c r="A77" i="46"/>
  <c r="V76" i="46"/>
  <c r="U76" i="46"/>
  <c r="T76" i="46"/>
  <c r="S76" i="46"/>
  <c r="R76" i="46"/>
  <c r="Q76" i="46"/>
  <c r="P76" i="46"/>
  <c r="O76" i="46"/>
  <c r="N76" i="46"/>
  <c r="A76" i="46"/>
  <c r="V75" i="46"/>
  <c r="U75" i="46"/>
  <c r="T75" i="46"/>
  <c r="S75" i="46"/>
  <c r="R75" i="46"/>
  <c r="Q75" i="46"/>
  <c r="P75" i="46"/>
  <c r="O75" i="46"/>
  <c r="N75" i="46"/>
  <c r="A75" i="46"/>
  <c r="V74" i="46"/>
  <c r="U74" i="46"/>
  <c r="T74" i="46"/>
  <c r="S74" i="46"/>
  <c r="R74" i="46"/>
  <c r="Q74" i="46"/>
  <c r="P74" i="46"/>
  <c r="O74" i="46"/>
  <c r="N74" i="46"/>
  <c r="A74" i="46"/>
  <c r="V73" i="46"/>
  <c r="U73" i="46"/>
  <c r="T73" i="46"/>
  <c r="S73" i="46"/>
  <c r="R73" i="46"/>
  <c r="Q73" i="46"/>
  <c r="P73" i="46"/>
  <c r="O73" i="46"/>
  <c r="N73" i="46"/>
  <c r="A73" i="46"/>
  <c r="V72" i="46"/>
  <c r="U72" i="46"/>
  <c r="T72" i="46"/>
  <c r="S72" i="46"/>
  <c r="R72" i="46"/>
  <c r="Q72" i="46"/>
  <c r="P72" i="46"/>
  <c r="O72" i="46"/>
  <c r="N72" i="46"/>
  <c r="A72" i="46"/>
  <c r="V71" i="46"/>
  <c r="U71" i="46"/>
  <c r="T71" i="46"/>
  <c r="S71" i="46"/>
  <c r="R71" i="46"/>
  <c r="Q71" i="46"/>
  <c r="P71" i="46"/>
  <c r="O71" i="46"/>
  <c r="N71" i="46"/>
  <c r="L71" i="46"/>
  <c r="K71" i="46"/>
  <c r="J71" i="46"/>
  <c r="I71" i="46"/>
  <c r="H71" i="46"/>
  <c r="G71" i="46"/>
  <c r="F71" i="46"/>
  <c r="E71" i="46"/>
  <c r="D71" i="46"/>
  <c r="C71" i="46"/>
  <c r="A71" i="46"/>
  <c r="V70" i="46"/>
  <c r="U70" i="46"/>
  <c r="T70" i="46"/>
  <c r="S70" i="46"/>
  <c r="R70" i="46"/>
  <c r="Q70" i="46"/>
  <c r="P70" i="46"/>
  <c r="O70" i="46"/>
  <c r="N70" i="46"/>
  <c r="A70" i="46"/>
  <c r="L69" i="46"/>
  <c r="K69" i="46"/>
  <c r="J69" i="46"/>
  <c r="I69" i="46"/>
  <c r="H69" i="46"/>
  <c r="G69" i="46"/>
  <c r="F69" i="46"/>
  <c r="E69" i="46"/>
  <c r="D69" i="46"/>
  <c r="C69" i="46"/>
  <c r="A69" i="46"/>
  <c r="V68" i="46"/>
  <c r="U68" i="46"/>
  <c r="T68" i="46"/>
  <c r="S68" i="46"/>
  <c r="R68" i="46"/>
  <c r="Q68" i="46"/>
  <c r="P68" i="46"/>
  <c r="O68" i="46"/>
  <c r="N68" i="46"/>
  <c r="C68" i="46"/>
  <c r="A68" i="46"/>
  <c r="V67" i="46"/>
  <c r="U67" i="46"/>
  <c r="T67" i="46"/>
  <c r="S67" i="46"/>
  <c r="R67" i="46"/>
  <c r="Q67" i="46"/>
  <c r="P67" i="46"/>
  <c r="O67" i="46"/>
  <c r="N67" i="46"/>
  <c r="A67" i="46"/>
  <c r="V66" i="46"/>
  <c r="U66" i="46"/>
  <c r="T66" i="46"/>
  <c r="S66" i="46"/>
  <c r="R66" i="46"/>
  <c r="Q66" i="46"/>
  <c r="P66" i="46"/>
  <c r="O66" i="46"/>
  <c r="N66" i="46"/>
  <c r="A66" i="46"/>
  <c r="C65" i="46"/>
  <c r="A65" i="46"/>
  <c r="V64" i="46"/>
  <c r="U64" i="46"/>
  <c r="T64" i="46"/>
  <c r="S64" i="46"/>
  <c r="R64" i="46"/>
  <c r="Q64" i="46"/>
  <c r="P64" i="46"/>
  <c r="O64" i="46"/>
  <c r="N64" i="46"/>
  <c r="C64" i="46"/>
  <c r="A64" i="46"/>
  <c r="V63" i="46"/>
  <c r="U63" i="46"/>
  <c r="T63" i="46"/>
  <c r="S63" i="46"/>
  <c r="R63" i="46"/>
  <c r="Q63" i="46"/>
  <c r="P63" i="46"/>
  <c r="O63" i="46"/>
  <c r="N63" i="46"/>
  <c r="A63" i="46"/>
  <c r="V62" i="46"/>
  <c r="U62" i="46"/>
  <c r="T62" i="46"/>
  <c r="S62" i="46"/>
  <c r="R62" i="46"/>
  <c r="Q62" i="46"/>
  <c r="P62" i="46"/>
  <c r="O62" i="46"/>
  <c r="N62" i="46"/>
  <c r="A62" i="46"/>
  <c r="V61" i="46"/>
  <c r="U61" i="46"/>
  <c r="T61" i="46"/>
  <c r="S61" i="46"/>
  <c r="R61" i="46"/>
  <c r="Q61" i="46"/>
  <c r="P61" i="46"/>
  <c r="O61" i="46"/>
  <c r="N61" i="46"/>
  <c r="A61" i="46"/>
  <c r="V60" i="46"/>
  <c r="U60" i="46"/>
  <c r="T60" i="46"/>
  <c r="S60" i="46"/>
  <c r="R60" i="46"/>
  <c r="Q60" i="46"/>
  <c r="P60" i="46"/>
  <c r="O60" i="46"/>
  <c r="N60" i="46"/>
  <c r="A60" i="46"/>
  <c r="V59" i="46"/>
  <c r="U59" i="46"/>
  <c r="T59" i="46"/>
  <c r="S59" i="46"/>
  <c r="R59" i="46"/>
  <c r="Q59" i="46"/>
  <c r="P59" i="46"/>
  <c r="O59" i="46"/>
  <c r="N59" i="46"/>
  <c r="A59" i="46"/>
  <c r="V58" i="46"/>
  <c r="U58" i="46"/>
  <c r="T58" i="46"/>
  <c r="S58" i="46"/>
  <c r="R58" i="46"/>
  <c r="Q58" i="46"/>
  <c r="P58" i="46"/>
  <c r="O58" i="46"/>
  <c r="N58" i="46"/>
  <c r="C58" i="46"/>
  <c r="A58" i="46"/>
  <c r="V57" i="46"/>
  <c r="U57" i="46"/>
  <c r="T57" i="46"/>
  <c r="S57" i="46"/>
  <c r="R57" i="46"/>
  <c r="Q57" i="46"/>
  <c r="P57" i="46"/>
  <c r="O57" i="46"/>
  <c r="N57" i="46"/>
  <c r="C57" i="46"/>
  <c r="A57" i="46"/>
  <c r="V56" i="46"/>
  <c r="U56" i="46"/>
  <c r="T56" i="46"/>
  <c r="S56" i="46"/>
  <c r="R56" i="46"/>
  <c r="Q56" i="46"/>
  <c r="P56" i="46"/>
  <c r="O56" i="46"/>
  <c r="N56" i="46"/>
  <c r="A56" i="46"/>
  <c r="V55" i="46"/>
  <c r="U55" i="46"/>
  <c r="T55" i="46"/>
  <c r="S55" i="46"/>
  <c r="R55" i="46"/>
  <c r="Q55" i="46"/>
  <c r="P55" i="46"/>
  <c r="O55" i="46"/>
  <c r="N55" i="46"/>
  <c r="A55" i="46"/>
  <c r="V54" i="46"/>
  <c r="U54" i="46"/>
  <c r="T54" i="46"/>
  <c r="S54" i="46"/>
  <c r="R54" i="46"/>
  <c r="Q54" i="46"/>
  <c r="P54" i="46"/>
  <c r="O54" i="46"/>
  <c r="N54" i="46"/>
  <c r="C54" i="46"/>
  <c r="A54" i="46"/>
  <c r="V53" i="46"/>
  <c r="U53" i="46"/>
  <c r="T53" i="46"/>
  <c r="S53" i="46"/>
  <c r="R53" i="46"/>
  <c r="Q53" i="46"/>
  <c r="P53" i="46"/>
  <c r="O53" i="46"/>
  <c r="N53" i="46"/>
  <c r="L53" i="46"/>
  <c r="K53" i="46"/>
  <c r="J53" i="46"/>
  <c r="I53" i="46"/>
  <c r="H53" i="46"/>
  <c r="G53" i="46"/>
  <c r="F53" i="46"/>
  <c r="E53" i="46"/>
  <c r="D53" i="46"/>
  <c r="C53" i="46"/>
  <c r="A53" i="46"/>
  <c r="V52" i="46"/>
  <c r="U52" i="46"/>
  <c r="T52" i="46"/>
  <c r="S52" i="46"/>
  <c r="R52" i="46"/>
  <c r="Q52" i="46"/>
  <c r="P52" i="46"/>
  <c r="O52" i="46"/>
  <c r="N52" i="46"/>
  <c r="L52" i="46"/>
  <c r="K52" i="46"/>
  <c r="J52" i="46"/>
  <c r="I52" i="46"/>
  <c r="H52" i="46"/>
  <c r="G52" i="46"/>
  <c r="F52" i="46"/>
  <c r="E52" i="46"/>
  <c r="D52" i="46"/>
  <c r="C52" i="46"/>
  <c r="A52" i="46"/>
  <c r="V51" i="46"/>
  <c r="U51" i="46"/>
  <c r="T51" i="46"/>
  <c r="S51" i="46"/>
  <c r="R51" i="46"/>
  <c r="Q51" i="46"/>
  <c r="P51" i="46"/>
  <c r="O51" i="46"/>
  <c r="N51" i="46"/>
  <c r="A51" i="46"/>
  <c r="V50" i="46"/>
  <c r="U50" i="46"/>
  <c r="T50" i="46"/>
  <c r="S50" i="46"/>
  <c r="R50" i="46"/>
  <c r="Q50" i="46"/>
  <c r="P50" i="46"/>
  <c r="O50" i="46"/>
  <c r="N50" i="46"/>
  <c r="A50" i="46"/>
  <c r="V49" i="46"/>
  <c r="U49" i="46"/>
  <c r="T49" i="46"/>
  <c r="S49" i="46"/>
  <c r="R49" i="46"/>
  <c r="Q49" i="46"/>
  <c r="P49" i="46"/>
  <c r="O49" i="46"/>
  <c r="N49" i="46"/>
  <c r="A49" i="46"/>
  <c r="V48" i="46"/>
  <c r="U48" i="46"/>
  <c r="T48" i="46"/>
  <c r="S48" i="46"/>
  <c r="R48" i="46"/>
  <c r="Q48" i="46"/>
  <c r="P48" i="46"/>
  <c r="O48" i="46"/>
  <c r="N48" i="46"/>
  <c r="A48" i="46"/>
  <c r="V47" i="46"/>
  <c r="U47" i="46"/>
  <c r="T47" i="46"/>
  <c r="S47" i="46"/>
  <c r="R47" i="46"/>
  <c r="Q47" i="46"/>
  <c r="P47" i="46"/>
  <c r="O47" i="46"/>
  <c r="N47" i="46"/>
  <c r="A47" i="46"/>
  <c r="V46" i="46"/>
  <c r="U46" i="46"/>
  <c r="T46" i="46"/>
  <c r="S46" i="46"/>
  <c r="R46" i="46"/>
  <c r="Q46" i="46"/>
  <c r="P46" i="46"/>
  <c r="O46" i="46"/>
  <c r="N46" i="46"/>
  <c r="A46" i="46"/>
  <c r="V45" i="46"/>
  <c r="U45" i="46"/>
  <c r="T45" i="46"/>
  <c r="S45" i="46"/>
  <c r="R45" i="46"/>
  <c r="Q45" i="46"/>
  <c r="P45" i="46"/>
  <c r="O45" i="46"/>
  <c r="N45" i="46"/>
  <c r="A45" i="46"/>
  <c r="V44" i="46"/>
  <c r="U44" i="46"/>
  <c r="T44" i="46"/>
  <c r="S44" i="46"/>
  <c r="R44" i="46"/>
  <c r="Q44" i="46"/>
  <c r="P44" i="46"/>
  <c r="O44" i="46"/>
  <c r="N44" i="46"/>
  <c r="A44" i="46"/>
  <c r="V43" i="46"/>
  <c r="U43" i="46"/>
  <c r="T43" i="46"/>
  <c r="S43" i="46"/>
  <c r="R43" i="46"/>
  <c r="Q43" i="46"/>
  <c r="P43" i="46"/>
  <c r="O43" i="46"/>
  <c r="N43" i="46"/>
  <c r="L43" i="46"/>
  <c r="K43" i="46"/>
  <c r="J43" i="46"/>
  <c r="I43" i="46"/>
  <c r="H43" i="46"/>
  <c r="G43" i="46"/>
  <c r="F43" i="46"/>
  <c r="E43" i="46"/>
  <c r="D43" i="46"/>
  <c r="C43" i="46"/>
  <c r="A43" i="46"/>
  <c r="V42" i="46"/>
  <c r="U42" i="46"/>
  <c r="T42" i="46"/>
  <c r="S42" i="46"/>
  <c r="R42" i="46"/>
  <c r="Q42" i="46"/>
  <c r="P42" i="46"/>
  <c r="O42" i="46"/>
  <c r="N42" i="46"/>
  <c r="L42" i="46"/>
  <c r="K42" i="46"/>
  <c r="J42" i="46"/>
  <c r="I42" i="46"/>
  <c r="H42" i="46"/>
  <c r="G42" i="46"/>
  <c r="F42" i="46"/>
  <c r="E42" i="46"/>
  <c r="D42" i="46"/>
  <c r="C42" i="46"/>
  <c r="A42" i="46"/>
  <c r="V41" i="46"/>
  <c r="U41" i="46"/>
  <c r="T41" i="46"/>
  <c r="S41" i="46"/>
  <c r="R41" i="46"/>
  <c r="Q41" i="46"/>
  <c r="P41" i="46"/>
  <c r="O41" i="46"/>
  <c r="N41" i="46"/>
  <c r="L41" i="46"/>
  <c r="K41" i="46"/>
  <c r="J41" i="46"/>
  <c r="I41" i="46"/>
  <c r="H41" i="46"/>
  <c r="G41" i="46"/>
  <c r="F41" i="46"/>
  <c r="E41" i="46"/>
  <c r="D41" i="46"/>
  <c r="C41" i="46"/>
  <c r="A41" i="46"/>
  <c r="V40" i="46"/>
  <c r="U40" i="46"/>
  <c r="T40" i="46"/>
  <c r="S40" i="46"/>
  <c r="R40" i="46"/>
  <c r="Q40" i="46"/>
  <c r="P40" i="46"/>
  <c r="O40" i="46"/>
  <c r="N40" i="46"/>
  <c r="A40" i="46"/>
  <c r="V39" i="46"/>
  <c r="U39" i="46"/>
  <c r="T39" i="46"/>
  <c r="S39" i="46"/>
  <c r="R39" i="46"/>
  <c r="Q39" i="46"/>
  <c r="P39" i="46"/>
  <c r="O39" i="46"/>
  <c r="N39" i="46"/>
  <c r="L39" i="46"/>
  <c r="K39" i="46"/>
  <c r="J39" i="46"/>
  <c r="I39" i="46"/>
  <c r="H39" i="46"/>
  <c r="G39" i="46"/>
  <c r="F39" i="46"/>
  <c r="E39" i="46"/>
  <c r="D39" i="46"/>
  <c r="C39" i="46"/>
  <c r="A39" i="46"/>
  <c r="V38" i="46"/>
  <c r="U38" i="46"/>
  <c r="T38" i="46"/>
  <c r="S38" i="46"/>
  <c r="R38" i="46"/>
  <c r="Q38" i="46"/>
  <c r="P38" i="46"/>
  <c r="O38" i="46"/>
  <c r="N38" i="46"/>
  <c r="A38" i="46"/>
  <c r="V37" i="46"/>
  <c r="U37" i="46"/>
  <c r="T37" i="46"/>
  <c r="S37" i="46"/>
  <c r="R37" i="46"/>
  <c r="Q37" i="46"/>
  <c r="P37" i="46"/>
  <c r="O37" i="46"/>
  <c r="N37" i="46"/>
  <c r="L37" i="46"/>
  <c r="K37" i="46"/>
  <c r="J37" i="46"/>
  <c r="I37" i="46"/>
  <c r="H37" i="46"/>
  <c r="G37" i="46"/>
  <c r="F37" i="46"/>
  <c r="E37" i="46"/>
  <c r="D37" i="46"/>
  <c r="C37" i="46"/>
  <c r="A37" i="46"/>
  <c r="V36" i="46"/>
  <c r="U36" i="46"/>
  <c r="T36" i="46"/>
  <c r="S36" i="46"/>
  <c r="R36" i="46"/>
  <c r="Q36" i="46"/>
  <c r="P36" i="46"/>
  <c r="O36" i="46"/>
  <c r="N36" i="46"/>
  <c r="C36" i="46"/>
  <c r="A36" i="46"/>
  <c r="V35" i="46"/>
  <c r="U35" i="46"/>
  <c r="T35" i="46"/>
  <c r="S35" i="46"/>
  <c r="R35" i="46"/>
  <c r="Q35" i="46"/>
  <c r="P35" i="46"/>
  <c r="O35" i="46"/>
  <c r="N35" i="46"/>
  <c r="A35" i="46"/>
  <c r="V34" i="46"/>
  <c r="U34" i="46"/>
  <c r="T34" i="46"/>
  <c r="S34" i="46"/>
  <c r="R34" i="46"/>
  <c r="Q34" i="46"/>
  <c r="P34" i="46"/>
  <c r="O34" i="46"/>
  <c r="N34" i="46"/>
  <c r="L34" i="46"/>
  <c r="K34" i="46"/>
  <c r="J34" i="46"/>
  <c r="I34" i="46"/>
  <c r="H34" i="46"/>
  <c r="G34" i="46"/>
  <c r="F34" i="46"/>
  <c r="E34" i="46"/>
  <c r="D34" i="46"/>
  <c r="C34" i="46"/>
  <c r="A34" i="46"/>
  <c r="V33" i="46"/>
  <c r="U33" i="46"/>
  <c r="T33" i="46"/>
  <c r="S33" i="46"/>
  <c r="R33" i="46"/>
  <c r="Q33" i="46"/>
  <c r="P33" i="46"/>
  <c r="O33" i="46"/>
  <c r="N33" i="46"/>
  <c r="L33" i="46"/>
  <c r="K33" i="46"/>
  <c r="J33" i="46"/>
  <c r="I33" i="46"/>
  <c r="H33" i="46"/>
  <c r="G33" i="46"/>
  <c r="F33" i="46"/>
  <c r="E33" i="46"/>
  <c r="D33" i="46"/>
  <c r="T32" i="46"/>
  <c r="S32" i="46"/>
  <c r="V31" i="46"/>
  <c r="U31" i="46"/>
  <c r="T31" i="46"/>
  <c r="S31" i="46"/>
  <c r="R31" i="46"/>
  <c r="Q31" i="46"/>
  <c r="P31" i="46"/>
  <c r="O31" i="46"/>
  <c r="N31" i="46"/>
  <c r="M31" i="46"/>
  <c r="J20" i="46"/>
  <c r="I20" i="46"/>
  <c r="H20" i="46"/>
  <c r="G20" i="46"/>
  <c r="J19" i="46"/>
  <c r="I19" i="46"/>
  <c r="H19" i="46"/>
  <c r="G19" i="46"/>
  <c r="J18" i="46"/>
  <c r="I18" i="46"/>
  <c r="H18" i="46"/>
  <c r="G18" i="46"/>
  <c r="J17" i="46"/>
  <c r="I17" i="46"/>
  <c r="H17" i="46"/>
  <c r="G17" i="46"/>
  <c r="J16" i="46"/>
  <c r="I16" i="46"/>
  <c r="H16" i="46"/>
  <c r="G16" i="46"/>
  <c r="J15" i="46"/>
  <c r="I15" i="46"/>
  <c r="H15" i="46"/>
  <c r="G15" i="46"/>
  <c r="J14" i="46"/>
  <c r="I14" i="46"/>
  <c r="H14" i="46"/>
  <c r="G14" i="46"/>
  <c r="J13" i="46"/>
  <c r="I13" i="46"/>
  <c r="H13" i="46"/>
  <c r="G13" i="46"/>
  <c r="J12" i="46"/>
  <c r="I12" i="46"/>
  <c r="H12" i="46"/>
  <c r="G12" i="46"/>
  <c r="J11" i="46"/>
  <c r="H11" i="46"/>
  <c r="G11" i="46"/>
  <c r="E7" i="46"/>
  <c r="B7" i="46"/>
  <c r="I11" i="46" s="1"/>
  <c r="C33" i="46" s="1"/>
  <c r="N137" i="53"/>
  <c r="M137" i="53"/>
  <c r="L137" i="53"/>
  <c r="K137" i="53"/>
  <c r="J137" i="53"/>
  <c r="O136" i="53"/>
  <c r="N136" i="53"/>
  <c r="M136" i="53"/>
  <c r="L136" i="53"/>
  <c r="K136" i="53"/>
  <c r="J136" i="53"/>
  <c r="O135" i="53"/>
  <c r="N135" i="53"/>
  <c r="M135" i="53"/>
  <c r="L135" i="53"/>
  <c r="K135" i="53"/>
  <c r="J135" i="53"/>
  <c r="I135" i="53"/>
  <c r="H135" i="53"/>
  <c r="O134" i="53"/>
  <c r="N134" i="53"/>
  <c r="M134" i="53"/>
  <c r="L134" i="53"/>
  <c r="K134" i="53"/>
  <c r="J134" i="53"/>
  <c r="I134" i="53"/>
  <c r="H134" i="53"/>
  <c r="O133" i="53"/>
  <c r="N133" i="53"/>
  <c r="M133" i="53"/>
  <c r="L133" i="53"/>
  <c r="K133" i="53"/>
  <c r="J133" i="53"/>
  <c r="O132" i="53"/>
  <c r="N132" i="53"/>
  <c r="M132" i="53"/>
  <c r="L132" i="53"/>
  <c r="K132" i="53"/>
  <c r="J132" i="53"/>
  <c r="I132" i="53"/>
  <c r="H132" i="53"/>
  <c r="O131" i="53"/>
  <c r="N131" i="53"/>
  <c r="M131" i="53"/>
  <c r="L131" i="53"/>
  <c r="K131" i="53"/>
  <c r="J131" i="53"/>
  <c r="O130" i="53"/>
  <c r="N130" i="53"/>
  <c r="M130" i="53"/>
  <c r="L130" i="53"/>
  <c r="K130" i="53"/>
  <c r="J130" i="53"/>
  <c r="I130" i="53"/>
  <c r="H130" i="53"/>
  <c r="O129" i="53"/>
  <c r="N129" i="53"/>
  <c r="M129" i="53"/>
  <c r="L129" i="53"/>
  <c r="K129" i="53"/>
  <c r="J129" i="53"/>
  <c r="I129" i="53"/>
  <c r="H129" i="53"/>
  <c r="O128" i="53"/>
  <c r="N128" i="53"/>
  <c r="M128" i="53"/>
  <c r="L128" i="53"/>
  <c r="K128" i="53"/>
  <c r="J128" i="53"/>
  <c r="O127" i="53"/>
  <c r="N127" i="53"/>
  <c r="M127" i="53"/>
  <c r="L127" i="53"/>
  <c r="K127" i="53"/>
  <c r="J127" i="53"/>
  <c r="I127" i="53"/>
  <c r="H127" i="53"/>
  <c r="O126" i="53"/>
  <c r="N126" i="53"/>
  <c r="M126" i="53"/>
  <c r="L126" i="53"/>
  <c r="K126" i="53"/>
  <c r="J126" i="53"/>
  <c r="I126" i="53"/>
  <c r="H126" i="53"/>
  <c r="O125" i="53"/>
  <c r="N125" i="53"/>
  <c r="M125" i="53"/>
  <c r="L125" i="53"/>
  <c r="K125" i="53"/>
  <c r="J125" i="53"/>
  <c r="O124" i="53"/>
  <c r="N124" i="53"/>
  <c r="M124" i="53"/>
  <c r="L124" i="53"/>
  <c r="K124" i="53"/>
  <c r="J124" i="53"/>
  <c r="I124" i="53"/>
  <c r="H124" i="53"/>
  <c r="O123" i="53"/>
  <c r="N123" i="53"/>
  <c r="M123" i="53"/>
  <c r="L123" i="53"/>
  <c r="K123" i="53"/>
  <c r="J123" i="53"/>
  <c r="O122" i="53"/>
  <c r="N122" i="53"/>
  <c r="M122" i="53"/>
  <c r="L122" i="53"/>
  <c r="K122" i="53"/>
  <c r="J122" i="53"/>
  <c r="I122" i="53"/>
  <c r="H122" i="53"/>
  <c r="O121" i="53"/>
  <c r="N121" i="53"/>
  <c r="M121" i="53"/>
  <c r="L121" i="53"/>
  <c r="K121" i="53"/>
  <c r="J121" i="53"/>
  <c r="I121" i="53"/>
  <c r="H121" i="53"/>
  <c r="O120" i="53"/>
  <c r="N120" i="53"/>
  <c r="M120" i="53"/>
  <c r="L120" i="53"/>
  <c r="K120" i="53"/>
  <c r="J120" i="53"/>
  <c r="I120" i="53"/>
  <c r="H120" i="53"/>
  <c r="V103" i="53"/>
  <c r="U103" i="53"/>
  <c r="T103" i="53"/>
  <c r="S103" i="53"/>
  <c r="R103" i="53"/>
  <c r="Q103" i="53"/>
  <c r="P103" i="53"/>
  <c r="O103" i="53"/>
  <c r="N103" i="53"/>
  <c r="A103" i="53"/>
  <c r="V102" i="53"/>
  <c r="U102" i="53"/>
  <c r="T102" i="53"/>
  <c r="S102" i="53"/>
  <c r="R102" i="53"/>
  <c r="Q102" i="53"/>
  <c r="P102" i="53"/>
  <c r="O102" i="53"/>
  <c r="N102" i="53"/>
  <c r="A102" i="53"/>
  <c r="V101" i="53"/>
  <c r="U101" i="53"/>
  <c r="T101" i="53"/>
  <c r="S101" i="53"/>
  <c r="R101" i="53"/>
  <c r="Q101" i="53"/>
  <c r="P101" i="53"/>
  <c r="O101" i="53"/>
  <c r="N101" i="53"/>
  <c r="A101" i="53"/>
  <c r="V100" i="53"/>
  <c r="U100" i="53"/>
  <c r="T100" i="53"/>
  <c r="S100" i="53"/>
  <c r="R100" i="53"/>
  <c r="Q100" i="53"/>
  <c r="P100" i="53"/>
  <c r="O100" i="53"/>
  <c r="N100" i="53"/>
  <c r="A100" i="53"/>
  <c r="V99" i="53"/>
  <c r="U99" i="53"/>
  <c r="T99" i="53"/>
  <c r="S99" i="53"/>
  <c r="R99" i="53"/>
  <c r="Q99" i="53"/>
  <c r="P99" i="53"/>
  <c r="O99" i="53"/>
  <c r="N99" i="53"/>
  <c r="A99" i="53"/>
  <c r="V98" i="53"/>
  <c r="U98" i="53"/>
  <c r="T98" i="53"/>
  <c r="S98" i="53"/>
  <c r="R98" i="53"/>
  <c r="Q98" i="53"/>
  <c r="P98" i="53"/>
  <c r="O98" i="53"/>
  <c r="N98" i="53"/>
  <c r="A98" i="53"/>
  <c r="V97" i="53"/>
  <c r="U97" i="53"/>
  <c r="T97" i="53"/>
  <c r="S97" i="53"/>
  <c r="R97" i="53"/>
  <c r="Q97" i="53"/>
  <c r="P97" i="53"/>
  <c r="O97" i="53"/>
  <c r="N97" i="53"/>
  <c r="A97" i="53"/>
  <c r="V96" i="53"/>
  <c r="U96" i="53"/>
  <c r="T96" i="53"/>
  <c r="S96" i="53"/>
  <c r="R96" i="53"/>
  <c r="Q96" i="53"/>
  <c r="P96" i="53"/>
  <c r="O96" i="53"/>
  <c r="N96" i="53"/>
  <c r="A96" i="53"/>
  <c r="V95" i="53"/>
  <c r="U95" i="53"/>
  <c r="T95" i="53"/>
  <c r="S95" i="53"/>
  <c r="R95" i="53"/>
  <c r="Q95" i="53"/>
  <c r="P95" i="53"/>
  <c r="O95" i="53"/>
  <c r="N95" i="53"/>
  <c r="A95" i="53"/>
  <c r="V94" i="53"/>
  <c r="U94" i="53"/>
  <c r="T94" i="53"/>
  <c r="S94" i="53"/>
  <c r="R94" i="53"/>
  <c r="Q94" i="53"/>
  <c r="P94" i="53"/>
  <c r="O94" i="53"/>
  <c r="N94" i="53"/>
  <c r="A94" i="53"/>
  <c r="V93" i="53"/>
  <c r="U93" i="53"/>
  <c r="T93" i="53"/>
  <c r="S93" i="53"/>
  <c r="R93" i="53"/>
  <c r="Q93" i="53"/>
  <c r="P93" i="53"/>
  <c r="O93" i="53"/>
  <c r="N93" i="53"/>
  <c r="A93" i="53"/>
  <c r="V92" i="53"/>
  <c r="U92" i="53"/>
  <c r="T92" i="53"/>
  <c r="S92" i="53"/>
  <c r="R92" i="53"/>
  <c r="Q92" i="53"/>
  <c r="P92" i="53"/>
  <c r="O92" i="53"/>
  <c r="N92" i="53"/>
  <c r="A92" i="53"/>
  <c r="V91" i="53"/>
  <c r="U91" i="53"/>
  <c r="T91" i="53"/>
  <c r="S91" i="53"/>
  <c r="R91" i="53"/>
  <c r="Q91" i="53"/>
  <c r="P91" i="53"/>
  <c r="O91" i="53"/>
  <c r="N91" i="53"/>
  <c r="A91" i="53"/>
  <c r="V90" i="53"/>
  <c r="U90" i="53"/>
  <c r="T90" i="53"/>
  <c r="S90" i="53"/>
  <c r="R90" i="53"/>
  <c r="Q90" i="53"/>
  <c r="P90" i="53"/>
  <c r="O90" i="53"/>
  <c r="N90" i="53"/>
  <c r="A90" i="53"/>
  <c r="V89" i="53"/>
  <c r="U89" i="53"/>
  <c r="T89" i="53"/>
  <c r="S89" i="53"/>
  <c r="R89" i="53"/>
  <c r="Q89" i="53"/>
  <c r="P89" i="53"/>
  <c r="O89" i="53"/>
  <c r="N89" i="53"/>
  <c r="A89" i="53"/>
  <c r="V88" i="53"/>
  <c r="U88" i="53"/>
  <c r="T88" i="53"/>
  <c r="S88" i="53"/>
  <c r="R88" i="53"/>
  <c r="Q88" i="53"/>
  <c r="P88" i="53"/>
  <c r="O88" i="53"/>
  <c r="N88" i="53"/>
  <c r="A88" i="53"/>
  <c r="V87" i="53"/>
  <c r="U87" i="53"/>
  <c r="T87" i="53"/>
  <c r="S87" i="53"/>
  <c r="R87" i="53"/>
  <c r="Q87" i="53"/>
  <c r="P87" i="53"/>
  <c r="O87" i="53"/>
  <c r="N87" i="53"/>
  <c r="A87" i="53"/>
  <c r="V86" i="53"/>
  <c r="U86" i="53"/>
  <c r="T86" i="53"/>
  <c r="S86" i="53"/>
  <c r="R86" i="53"/>
  <c r="Q86" i="53"/>
  <c r="P86" i="53"/>
  <c r="O86" i="53"/>
  <c r="N86" i="53"/>
  <c r="A86" i="53"/>
  <c r="V85" i="53"/>
  <c r="U85" i="53"/>
  <c r="T85" i="53"/>
  <c r="S85" i="53"/>
  <c r="R85" i="53"/>
  <c r="Q85" i="53"/>
  <c r="P85" i="53"/>
  <c r="O85" i="53"/>
  <c r="N85" i="53"/>
  <c r="A85" i="53"/>
  <c r="V84" i="53"/>
  <c r="U84" i="53"/>
  <c r="T84" i="53"/>
  <c r="S84" i="53"/>
  <c r="R84" i="53"/>
  <c r="Q84" i="53"/>
  <c r="P84" i="53"/>
  <c r="O84" i="53"/>
  <c r="N84" i="53"/>
  <c r="A84" i="53"/>
  <c r="V83" i="53"/>
  <c r="U83" i="53"/>
  <c r="T83" i="53"/>
  <c r="S83" i="53"/>
  <c r="R83" i="53"/>
  <c r="Q83" i="53"/>
  <c r="P83" i="53"/>
  <c r="O83" i="53"/>
  <c r="N83" i="53"/>
  <c r="A83" i="53"/>
  <c r="V82" i="53"/>
  <c r="U82" i="53"/>
  <c r="T82" i="53"/>
  <c r="S82" i="53"/>
  <c r="R82" i="53"/>
  <c r="Q82" i="53"/>
  <c r="P82" i="53"/>
  <c r="O82" i="53"/>
  <c r="N82" i="53"/>
  <c r="L82" i="53"/>
  <c r="K82" i="53"/>
  <c r="J82" i="53"/>
  <c r="I82" i="53"/>
  <c r="H82" i="53"/>
  <c r="G82" i="53"/>
  <c r="F82" i="53"/>
  <c r="A82" i="53"/>
  <c r="V81" i="53"/>
  <c r="U81" i="53"/>
  <c r="T81" i="53"/>
  <c r="S81" i="53"/>
  <c r="R81" i="53"/>
  <c r="Q81" i="53"/>
  <c r="P81" i="53"/>
  <c r="O81" i="53"/>
  <c r="N81" i="53"/>
  <c r="A81" i="53"/>
  <c r="V80" i="53"/>
  <c r="U80" i="53"/>
  <c r="T80" i="53"/>
  <c r="S80" i="53"/>
  <c r="R80" i="53"/>
  <c r="Q80" i="53"/>
  <c r="P80" i="53"/>
  <c r="O80" i="53"/>
  <c r="N80" i="53"/>
  <c r="A80" i="53"/>
  <c r="V79" i="53"/>
  <c r="U79" i="53"/>
  <c r="T79" i="53"/>
  <c r="S79" i="53"/>
  <c r="R79" i="53"/>
  <c r="Q79" i="53"/>
  <c r="P79" i="53"/>
  <c r="O79" i="53"/>
  <c r="N79" i="53"/>
  <c r="A79" i="53"/>
  <c r="V78" i="53"/>
  <c r="U78" i="53"/>
  <c r="T78" i="53"/>
  <c r="S78" i="53"/>
  <c r="R78" i="53"/>
  <c r="Q78" i="53"/>
  <c r="P78" i="53"/>
  <c r="O78" i="53"/>
  <c r="N78" i="53"/>
  <c r="A78" i="53"/>
  <c r="V77" i="53"/>
  <c r="U77" i="53"/>
  <c r="T77" i="53"/>
  <c r="S77" i="53"/>
  <c r="R77" i="53"/>
  <c r="Q77" i="53"/>
  <c r="P77" i="53"/>
  <c r="O77" i="53"/>
  <c r="N77" i="53"/>
  <c r="A77" i="53"/>
  <c r="V76" i="53"/>
  <c r="U76" i="53"/>
  <c r="T76" i="53"/>
  <c r="S76" i="53"/>
  <c r="R76" i="53"/>
  <c r="Q76" i="53"/>
  <c r="P76" i="53"/>
  <c r="O76" i="53"/>
  <c r="N76" i="53"/>
  <c r="A76" i="53"/>
  <c r="V75" i="53"/>
  <c r="U75" i="53"/>
  <c r="T75" i="53"/>
  <c r="S75" i="53"/>
  <c r="R75" i="53"/>
  <c r="Q75" i="53"/>
  <c r="P75" i="53"/>
  <c r="O75" i="53"/>
  <c r="N75" i="53"/>
  <c r="A75" i="53"/>
  <c r="V74" i="53"/>
  <c r="U74" i="53"/>
  <c r="T74" i="53"/>
  <c r="S74" i="53"/>
  <c r="R74" i="53"/>
  <c r="Q74" i="53"/>
  <c r="P74" i="53"/>
  <c r="O74" i="53"/>
  <c r="N74" i="53"/>
  <c r="A74" i="53"/>
  <c r="V73" i="53"/>
  <c r="U73" i="53"/>
  <c r="T73" i="53"/>
  <c r="S73" i="53"/>
  <c r="R73" i="53"/>
  <c r="Q73" i="53"/>
  <c r="P73" i="53"/>
  <c r="O73" i="53"/>
  <c r="N73" i="53"/>
  <c r="A73" i="53"/>
  <c r="V72" i="53"/>
  <c r="U72" i="53"/>
  <c r="T72" i="53"/>
  <c r="S72" i="53"/>
  <c r="R72" i="53"/>
  <c r="Q72" i="53"/>
  <c r="P72" i="53"/>
  <c r="O72" i="53"/>
  <c r="N72" i="53"/>
  <c r="A72" i="53"/>
  <c r="V71" i="53"/>
  <c r="U71" i="53"/>
  <c r="T71" i="53"/>
  <c r="S71" i="53"/>
  <c r="R71" i="53"/>
  <c r="Q71" i="53"/>
  <c r="P71" i="53"/>
  <c r="O71" i="53"/>
  <c r="N71" i="53"/>
  <c r="L71" i="53"/>
  <c r="K71" i="53"/>
  <c r="J71" i="53"/>
  <c r="I71" i="53"/>
  <c r="H71" i="53"/>
  <c r="G71" i="53"/>
  <c r="F71" i="53"/>
  <c r="E71" i="53"/>
  <c r="D71" i="53"/>
  <c r="C71" i="53"/>
  <c r="A71" i="53"/>
  <c r="V70" i="53"/>
  <c r="U70" i="53"/>
  <c r="T70" i="53"/>
  <c r="S70" i="53"/>
  <c r="R70" i="53"/>
  <c r="Q70" i="53"/>
  <c r="P70" i="53"/>
  <c r="O70" i="53"/>
  <c r="N70" i="53"/>
  <c r="A70" i="53"/>
  <c r="L69" i="53"/>
  <c r="K69" i="53"/>
  <c r="J69" i="53"/>
  <c r="I69" i="53"/>
  <c r="H69" i="53"/>
  <c r="G69" i="53"/>
  <c r="F69" i="53"/>
  <c r="E69" i="53"/>
  <c r="D69" i="53"/>
  <c r="C69" i="53"/>
  <c r="A69" i="53"/>
  <c r="V68" i="53"/>
  <c r="U68" i="53"/>
  <c r="T68" i="53"/>
  <c r="S68" i="53"/>
  <c r="R68" i="53"/>
  <c r="Q68" i="53"/>
  <c r="P68" i="53"/>
  <c r="O68" i="53"/>
  <c r="N68" i="53"/>
  <c r="C68" i="53"/>
  <c r="A68" i="53"/>
  <c r="V67" i="53"/>
  <c r="U67" i="53"/>
  <c r="T67" i="53"/>
  <c r="S67" i="53"/>
  <c r="R67" i="53"/>
  <c r="Q67" i="53"/>
  <c r="P67" i="53"/>
  <c r="O67" i="53"/>
  <c r="N67" i="53"/>
  <c r="A67" i="53"/>
  <c r="V66" i="53"/>
  <c r="U66" i="53"/>
  <c r="T66" i="53"/>
  <c r="S66" i="53"/>
  <c r="R66" i="53"/>
  <c r="Q66" i="53"/>
  <c r="P66" i="53"/>
  <c r="O66" i="53"/>
  <c r="N66" i="53"/>
  <c r="A66" i="53"/>
  <c r="C65" i="53"/>
  <c r="A65" i="53"/>
  <c r="V64" i="53"/>
  <c r="U64" i="53"/>
  <c r="T64" i="53"/>
  <c r="S64" i="53"/>
  <c r="R64" i="53"/>
  <c r="Q64" i="53"/>
  <c r="P64" i="53"/>
  <c r="O64" i="53"/>
  <c r="N64" i="53"/>
  <c r="C64" i="53"/>
  <c r="A64" i="53"/>
  <c r="V63" i="53"/>
  <c r="U63" i="53"/>
  <c r="T63" i="53"/>
  <c r="S63" i="53"/>
  <c r="R63" i="53"/>
  <c r="Q63" i="53"/>
  <c r="P63" i="53"/>
  <c r="O63" i="53"/>
  <c r="N63" i="53"/>
  <c r="A63" i="53"/>
  <c r="V62" i="53"/>
  <c r="U62" i="53"/>
  <c r="T62" i="53"/>
  <c r="S62" i="53"/>
  <c r="R62" i="53"/>
  <c r="Q62" i="53"/>
  <c r="P62" i="53"/>
  <c r="O62" i="53"/>
  <c r="N62" i="53"/>
  <c r="A62" i="53"/>
  <c r="V61" i="53"/>
  <c r="U61" i="53"/>
  <c r="T61" i="53"/>
  <c r="S61" i="53"/>
  <c r="R61" i="53"/>
  <c r="Q61" i="53"/>
  <c r="P61" i="53"/>
  <c r="O61" i="53"/>
  <c r="N61" i="53"/>
  <c r="A61" i="53"/>
  <c r="V60" i="53"/>
  <c r="U60" i="53"/>
  <c r="T60" i="53"/>
  <c r="S60" i="53"/>
  <c r="R60" i="53"/>
  <c r="Q60" i="53"/>
  <c r="P60" i="53"/>
  <c r="O60" i="53"/>
  <c r="N60" i="53"/>
  <c r="A60" i="53"/>
  <c r="V59" i="53"/>
  <c r="U59" i="53"/>
  <c r="T59" i="53"/>
  <c r="S59" i="53"/>
  <c r="R59" i="53"/>
  <c r="Q59" i="53"/>
  <c r="P59" i="53"/>
  <c r="O59" i="53"/>
  <c r="N59" i="53"/>
  <c r="A59" i="53"/>
  <c r="V58" i="53"/>
  <c r="U58" i="53"/>
  <c r="T58" i="53"/>
  <c r="S58" i="53"/>
  <c r="R58" i="53"/>
  <c r="Q58" i="53"/>
  <c r="P58" i="53"/>
  <c r="O58" i="53"/>
  <c r="N58" i="53"/>
  <c r="C58" i="53"/>
  <c r="A58" i="53"/>
  <c r="V57" i="53"/>
  <c r="U57" i="53"/>
  <c r="T57" i="53"/>
  <c r="S57" i="53"/>
  <c r="R57" i="53"/>
  <c r="Q57" i="53"/>
  <c r="P57" i="53"/>
  <c r="O57" i="53"/>
  <c r="N57" i="53"/>
  <c r="C57" i="53"/>
  <c r="A57" i="53"/>
  <c r="V56" i="53"/>
  <c r="U56" i="53"/>
  <c r="T56" i="53"/>
  <c r="S56" i="53"/>
  <c r="R56" i="53"/>
  <c r="Q56" i="53"/>
  <c r="P56" i="53"/>
  <c r="O56" i="53"/>
  <c r="N56" i="53"/>
  <c r="A56" i="53"/>
  <c r="V55" i="53"/>
  <c r="U55" i="53"/>
  <c r="T55" i="53"/>
  <c r="S55" i="53"/>
  <c r="R55" i="53"/>
  <c r="Q55" i="53"/>
  <c r="P55" i="53"/>
  <c r="O55" i="53"/>
  <c r="N55" i="53"/>
  <c r="A55" i="53"/>
  <c r="V54" i="53"/>
  <c r="U54" i="53"/>
  <c r="T54" i="53"/>
  <c r="S54" i="53"/>
  <c r="R54" i="53"/>
  <c r="Q54" i="53"/>
  <c r="P54" i="53"/>
  <c r="O54" i="53"/>
  <c r="N54" i="53"/>
  <c r="C54" i="53"/>
  <c r="A54" i="53"/>
  <c r="V53" i="53"/>
  <c r="U53" i="53"/>
  <c r="T53" i="53"/>
  <c r="S53" i="53"/>
  <c r="R53" i="53"/>
  <c r="Q53" i="53"/>
  <c r="P53" i="53"/>
  <c r="O53" i="53"/>
  <c r="N53" i="53"/>
  <c r="L53" i="53"/>
  <c r="K53" i="53"/>
  <c r="J53" i="53"/>
  <c r="I53" i="53"/>
  <c r="H53" i="53"/>
  <c r="G53" i="53"/>
  <c r="F53" i="53"/>
  <c r="E53" i="53"/>
  <c r="D53" i="53"/>
  <c r="C53" i="53"/>
  <c r="A53" i="53"/>
  <c r="V52" i="53"/>
  <c r="U52" i="53"/>
  <c r="T52" i="53"/>
  <c r="S52" i="53"/>
  <c r="R52" i="53"/>
  <c r="Q52" i="53"/>
  <c r="P52" i="53"/>
  <c r="O52" i="53"/>
  <c r="N52" i="53"/>
  <c r="L52" i="53"/>
  <c r="K52" i="53"/>
  <c r="J52" i="53"/>
  <c r="I52" i="53"/>
  <c r="H52" i="53"/>
  <c r="G52" i="53"/>
  <c r="F52" i="53"/>
  <c r="E52" i="53"/>
  <c r="D52" i="53"/>
  <c r="C52" i="53"/>
  <c r="A52" i="53"/>
  <c r="V51" i="53"/>
  <c r="U51" i="53"/>
  <c r="T51" i="53"/>
  <c r="S51" i="53"/>
  <c r="R51" i="53"/>
  <c r="Q51" i="53"/>
  <c r="P51" i="53"/>
  <c r="O51" i="53"/>
  <c r="N51" i="53"/>
  <c r="A51" i="53"/>
  <c r="V50" i="53"/>
  <c r="U50" i="53"/>
  <c r="T50" i="53"/>
  <c r="S50" i="53"/>
  <c r="R50" i="53"/>
  <c r="Q50" i="53"/>
  <c r="P50" i="53"/>
  <c r="O50" i="53"/>
  <c r="N50" i="53"/>
  <c r="A50" i="53"/>
  <c r="V49" i="53"/>
  <c r="U49" i="53"/>
  <c r="T49" i="53"/>
  <c r="S49" i="53"/>
  <c r="R49" i="53"/>
  <c r="Q49" i="53"/>
  <c r="P49" i="53"/>
  <c r="O49" i="53"/>
  <c r="N49" i="53"/>
  <c r="A49" i="53"/>
  <c r="V48" i="53"/>
  <c r="U48" i="53"/>
  <c r="T48" i="53"/>
  <c r="S48" i="53"/>
  <c r="R48" i="53"/>
  <c r="Q48" i="53"/>
  <c r="P48" i="53"/>
  <c r="O48" i="53"/>
  <c r="N48" i="53"/>
  <c r="A48" i="53"/>
  <c r="V47" i="53"/>
  <c r="U47" i="53"/>
  <c r="T47" i="53"/>
  <c r="S47" i="53"/>
  <c r="R47" i="53"/>
  <c r="Q47" i="53"/>
  <c r="P47" i="53"/>
  <c r="O47" i="53"/>
  <c r="N47" i="53"/>
  <c r="A47" i="53"/>
  <c r="V46" i="53"/>
  <c r="U46" i="53"/>
  <c r="T46" i="53"/>
  <c r="S46" i="53"/>
  <c r="R46" i="53"/>
  <c r="Q46" i="53"/>
  <c r="P46" i="53"/>
  <c r="O46" i="53"/>
  <c r="N46" i="53"/>
  <c r="A46" i="53"/>
  <c r="V45" i="53"/>
  <c r="U45" i="53"/>
  <c r="T45" i="53"/>
  <c r="S45" i="53"/>
  <c r="R45" i="53"/>
  <c r="Q45" i="53"/>
  <c r="P45" i="53"/>
  <c r="O45" i="53"/>
  <c r="N45" i="53"/>
  <c r="A45" i="53"/>
  <c r="V44" i="53"/>
  <c r="U44" i="53"/>
  <c r="T44" i="53"/>
  <c r="S44" i="53"/>
  <c r="R44" i="53"/>
  <c r="Q44" i="53"/>
  <c r="P44" i="53"/>
  <c r="O44" i="53"/>
  <c r="N44" i="53"/>
  <c r="A44" i="53"/>
  <c r="V43" i="53"/>
  <c r="U43" i="53"/>
  <c r="T43" i="53"/>
  <c r="S43" i="53"/>
  <c r="R43" i="53"/>
  <c r="Q43" i="53"/>
  <c r="P43" i="53"/>
  <c r="O43" i="53"/>
  <c r="N43" i="53"/>
  <c r="L43" i="53"/>
  <c r="K43" i="53"/>
  <c r="J43" i="53"/>
  <c r="I43" i="53"/>
  <c r="H43" i="53"/>
  <c r="G43" i="53"/>
  <c r="F43" i="53"/>
  <c r="E43" i="53"/>
  <c r="D43" i="53"/>
  <c r="C43" i="53"/>
  <c r="A43" i="53"/>
  <c r="V42" i="53"/>
  <c r="U42" i="53"/>
  <c r="T42" i="53"/>
  <c r="S42" i="53"/>
  <c r="R42" i="53"/>
  <c r="Q42" i="53"/>
  <c r="P42" i="53"/>
  <c r="O42" i="53"/>
  <c r="N42" i="53"/>
  <c r="L42" i="53"/>
  <c r="K42" i="53"/>
  <c r="J42" i="53"/>
  <c r="I42" i="53"/>
  <c r="H42" i="53"/>
  <c r="G42" i="53"/>
  <c r="F42" i="53"/>
  <c r="E42" i="53"/>
  <c r="D42" i="53"/>
  <c r="C42" i="53"/>
  <c r="A42" i="53"/>
  <c r="V41" i="53"/>
  <c r="U41" i="53"/>
  <c r="T41" i="53"/>
  <c r="S41" i="53"/>
  <c r="R41" i="53"/>
  <c r="Q41" i="53"/>
  <c r="P41" i="53"/>
  <c r="O41" i="53"/>
  <c r="N41" i="53"/>
  <c r="L41" i="53"/>
  <c r="K41" i="53"/>
  <c r="J41" i="53"/>
  <c r="I41" i="53"/>
  <c r="H41" i="53"/>
  <c r="G41" i="53"/>
  <c r="F41" i="53"/>
  <c r="E41" i="53"/>
  <c r="D41" i="53"/>
  <c r="C41" i="53"/>
  <c r="A41" i="53"/>
  <c r="V40" i="53"/>
  <c r="U40" i="53"/>
  <c r="T40" i="53"/>
  <c r="S40" i="53"/>
  <c r="R40" i="53"/>
  <c r="Q40" i="53"/>
  <c r="P40" i="53"/>
  <c r="O40" i="53"/>
  <c r="N40" i="53"/>
  <c r="A40" i="53"/>
  <c r="V39" i="53"/>
  <c r="U39" i="53"/>
  <c r="T39" i="53"/>
  <c r="S39" i="53"/>
  <c r="R39" i="53"/>
  <c r="Q39" i="53"/>
  <c r="P39" i="53"/>
  <c r="O39" i="53"/>
  <c r="N39" i="53"/>
  <c r="L39" i="53"/>
  <c r="K39" i="53"/>
  <c r="J39" i="53"/>
  <c r="I39" i="53"/>
  <c r="H39" i="53"/>
  <c r="G39" i="53"/>
  <c r="F39" i="53"/>
  <c r="E39" i="53"/>
  <c r="D39" i="53"/>
  <c r="C39" i="53"/>
  <c r="A39" i="53"/>
  <c r="V38" i="53"/>
  <c r="U38" i="53"/>
  <c r="T38" i="53"/>
  <c r="S38" i="53"/>
  <c r="R38" i="53"/>
  <c r="Q38" i="53"/>
  <c r="P38" i="53"/>
  <c r="O38" i="53"/>
  <c r="N38" i="53"/>
  <c r="A38" i="53"/>
  <c r="V37" i="53"/>
  <c r="U37" i="53"/>
  <c r="T37" i="53"/>
  <c r="S37" i="53"/>
  <c r="R37" i="53"/>
  <c r="Q37" i="53"/>
  <c r="P37" i="53"/>
  <c r="O37" i="53"/>
  <c r="N37" i="53"/>
  <c r="L37" i="53"/>
  <c r="K37" i="53"/>
  <c r="J37" i="53"/>
  <c r="I37" i="53"/>
  <c r="H37" i="53"/>
  <c r="G37" i="53"/>
  <c r="F37" i="53"/>
  <c r="E37" i="53"/>
  <c r="D37" i="53"/>
  <c r="C37" i="53"/>
  <c r="A37" i="53"/>
  <c r="V36" i="53"/>
  <c r="U36" i="53"/>
  <c r="T36" i="53"/>
  <c r="S36" i="53"/>
  <c r="R36" i="53"/>
  <c r="Q36" i="53"/>
  <c r="P36" i="53"/>
  <c r="O36" i="53"/>
  <c r="N36" i="53"/>
  <c r="C36" i="53"/>
  <c r="A36" i="53"/>
  <c r="V35" i="53"/>
  <c r="U35" i="53"/>
  <c r="T35" i="53"/>
  <c r="S35" i="53"/>
  <c r="R35" i="53"/>
  <c r="Q35" i="53"/>
  <c r="P35" i="53"/>
  <c r="O35" i="53"/>
  <c r="N35" i="53"/>
  <c r="A35" i="53"/>
  <c r="V34" i="53"/>
  <c r="U34" i="53"/>
  <c r="T34" i="53"/>
  <c r="S34" i="53"/>
  <c r="R34" i="53"/>
  <c r="Q34" i="53"/>
  <c r="P34" i="53"/>
  <c r="O34" i="53"/>
  <c r="N34" i="53"/>
  <c r="L34" i="53"/>
  <c r="K34" i="53"/>
  <c r="J34" i="53"/>
  <c r="I34" i="53"/>
  <c r="H34" i="53"/>
  <c r="G34" i="53"/>
  <c r="F34" i="53"/>
  <c r="E34" i="53"/>
  <c r="D34" i="53"/>
  <c r="C34" i="53"/>
  <c r="A34" i="53"/>
  <c r="V33" i="53"/>
  <c r="U33" i="53"/>
  <c r="T33" i="53"/>
  <c r="S33" i="53"/>
  <c r="R33" i="53"/>
  <c r="Q33" i="53"/>
  <c r="P33" i="53"/>
  <c r="O33" i="53"/>
  <c r="N33" i="53"/>
  <c r="L33" i="53"/>
  <c r="K33" i="53"/>
  <c r="J33" i="53"/>
  <c r="I33" i="53"/>
  <c r="H33" i="53"/>
  <c r="G33" i="53"/>
  <c r="F33" i="53"/>
  <c r="E33" i="53"/>
  <c r="D33" i="53"/>
  <c r="T32" i="53"/>
  <c r="S32" i="53"/>
  <c r="V31" i="53"/>
  <c r="U31" i="53"/>
  <c r="T31" i="53"/>
  <c r="S31" i="53"/>
  <c r="R31" i="53"/>
  <c r="Q31" i="53"/>
  <c r="P31" i="53"/>
  <c r="O31" i="53"/>
  <c r="N31" i="53"/>
  <c r="M31" i="53"/>
  <c r="J20" i="53"/>
  <c r="I20" i="53"/>
  <c r="H20" i="53"/>
  <c r="G20" i="53"/>
  <c r="J19" i="53"/>
  <c r="I19" i="53"/>
  <c r="H19" i="53"/>
  <c r="G19" i="53"/>
  <c r="J18" i="53"/>
  <c r="I18" i="53"/>
  <c r="H18" i="53"/>
  <c r="G18" i="53"/>
  <c r="J17" i="53"/>
  <c r="I17" i="53"/>
  <c r="H17" i="53"/>
  <c r="G17" i="53"/>
  <c r="J16" i="53"/>
  <c r="I16" i="53"/>
  <c r="H16" i="53"/>
  <c r="G16" i="53"/>
  <c r="J15" i="53"/>
  <c r="I15" i="53"/>
  <c r="H15" i="53"/>
  <c r="G15" i="53"/>
  <c r="J14" i="53"/>
  <c r="I14" i="53"/>
  <c r="H14" i="53"/>
  <c r="G14" i="53"/>
  <c r="J13" i="53"/>
  <c r="I13" i="53"/>
  <c r="H13" i="53"/>
  <c r="G13" i="53"/>
  <c r="J12" i="53"/>
  <c r="I12" i="53"/>
  <c r="H12" i="53"/>
  <c r="G12" i="53"/>
  <c r="J11" i="53"/>
  <c r="H11" i="53"/>
  <c r="G11" i="53"/>
  <c r="B7" i="53"/>
  <c r="I11" i="53" s="1"/>
  <c r="C33" i="53" s="1"/>
  <c r="M33" i="53" s="1"/>
  <c r="V103" i="103"/>
  <c r="U103" i="103"/>
  <c r="T103" i="103"/>
  <c r="S103" i="103"/>
  <c r="R103" i="103"/>
  <c r="Q103" i="103"/>
  <c r="P103" i="103"/>
  <c r="O103" i="103"/>
  <c r="N103" i="103"/>
  <c r="A103" i="103"/>
  <c r="V102" i="103"/>
  <c r="U102" i="103"/>
  <c r="T102" i="103"/>
  <c r="S102" i="103"/>
  <c r="R102" i="103"/>
  <c r="Q102" i="103"/>
  <c r="P102" i="103"/>
  <c r="O102" i="103"/>
  <c r="N102" i="103"/>
  <c r="A102" i="103"/>
  <c r="V101" i="103"/>
  <c r="U101" i="103"/>
  <c r="T101" i="103"/>
  <c r="S101" i="103"/>
  <c r="R101" i="103"/>
  <c r="Q101" i="103"/>
  <c r="P101" i="103"/>
  <c r="O101" i="103"/>
  <c r="N101" i="103"/>
  <c r="A101" i="103"/>
  <c r="V100" i="103"/>
  <c r="U100" i="103"/>
  <c r="T100" i="103"/>
  <c r="S100" i="103"/>
  <c r="R100" i="103"/>
  <c r="Q100" i="103"/>
  <c r="P100" i="103"/>
  <c r="O100" i="103"/>
  <c r="N100" i="103"/>
  <c r="A100" i="103"/>
  <c r="V99" i="103"/>
  <c r="U99" i="103"/>
  <c r="T99" i="103"/>
  <c r="S99" i="103"/>
  <c r="R99" i="103"/>
  <c r="Q99" i="103"/>
  <c r="P99" i="103"/>
  <c r="O99" i="103"/>
  <c r="N99" i="103"/>
  <c r="A99" i="103"/>
  <c r="V98" i="103"/>
  <c r="U98" i="103"/>
  <c r="T98" i="103"/>
  <c r="S98" i="103"/>
  <c r="R98" i="103"/>
  <c r="Q98" i="103"/>
  <c r="P98" i="103"/>
  <c r="O98" i="103"/>
  <c r="N98" i="103"/>
  <c r="A98" i="103"/>
  <c r="V97" i="103"/>
  <c r="U97" i="103"/>
  <c r="T97" i="103"/>
  <c r="S97" i="103"/>
  <c r="R97" i="103"/>
  <c r="Q97" i="103"/>
  <c r="P97" i="103"/>
  <c r="O97" i="103"/>
  <c r="N97" i="103"/>
  <c r="A97" i="103"/>
  <c r="V96" i="103"/>
  <c r="U96" i="103"/>
  <c r="T96" i="103"/>
  <c r="S96" i="103"/>
  <c r="R96" i="103"/>
  <c r="Q96" i="103"/>
  <c r="P96" i="103"/>
  <c r="O96" i="103"/>
  <c r="N96" i="103"/>
  <c r="A96" i="103"/>
  <c r="V95" i="103"/>
  <c r="U95" i="103"/>
  <c r="T95" i="103"/>
  <c r="S95" i="103"/>
  <c r="R95" i="103"/>
  <c r="Q95" i="103"/>
  <c r="P95" i="103"/>
  <c r="O95" i="103"/>
  <c r="N95" i="103"/>
  <c r="A95" i="103"/>
  <c r="V94" i="103"/>
  <c r="U94" i="103"/>
  <c r="T94" i="103"/>
  <c r="S94" i="103"/>
  <c r="R94" i="103"/>
  <c r="Q94" i="103"/>
  <c r="P94" i="103"/>
  <c r="O94" i="103"/>
  <c r="N94" i="103"/>
  <c r="A94" i="103"/>
  <c r="V93" i="103"/>
  <c r="U93" i="103"/>
  <c r="T93" i="103"/>
  <c r="S93" i="103"/>
  <c r="R93" i="103"/>
  <c r="Q93" i="103"/>
  <c r="P93" i="103"/>
  <c r="O93" i="103"/>
  <c r="N93" i="103"/>
  <c r="A93" i="103"/>
  <c r="V92" i="103"/>
  <c r="U92" i="103"/>
  <c r="T92" i="103"/>
  <c r="S92" i="103"/>
  <c r="R92" i="103"/>
  <c r="Q92" i="103"/>
  <c r="P92" i="103"/>
  <c r="O92" i="103"/>
  <c r="N92" i="103"/>
  <c r="A92" i="103"/>
  <c r="V91" i="103"/>
  <c r="U91" i="103"/>
  <c r="T91" i="103"/>
  <c r="S91" i="103"/>
  <c r="R91" i="103"/>
  <c r="Q91" i="103"/>
  <c r="P91" i="103"/>
  <c r="O91" i="103"/>
  <c r="N91" i="103"/>
  <c r="A91" i="103"/>
  <c r="V90" i="103"/>
  <c r="U90" i="103"/>
  <c r="T90" i="103"/>
  <c r="S90" i="103"/>
  <c r="R90" i="103"/>
  <c r="Q90" i="103"/>
  <c r="P90" i="103"/>
  <c r="O90" i="103"/>
  <c r="N90" i="103"/>
  <c r="A90" i="103"/>
  <c r="V89" i="103"/>
  <c r="U89" i="103"/>
  <c r="T89" i="103"/>
  <c r="S89" i="103"/>
  <c r="R89" i="103"/>
  <c r="Q89" i="103"/>
  <c r="P89" i="103"/>
  <c r="O89" i="103"/>
  <c r="N89" i="103"/>
  <c r="A89" i="103"/>
  <c r="V88" i="103"/>
  <c r="U88" i="103"/>
  <c r="T88" i="103"/>
  <c r="S88" i="103"/>
  <c r="R88" i="103"/>
  <c r="Q88" i="103"/>
  <c r="P88" i="103"/>
  <c r="O88" i="103"/>
  <c r="N88" i="103"/>
  <c r="A88" i="103"/>
  <c r="V87" i="103"/>
  <c r="U87" i="103"/>
  <c r="T87" i="103"/>
  <c r="S87" i="103"/>
  <c r="R87" i="103"/>
  <c r="Q87" i="103"/>
  <c r="P87" i="103"/>
  <c r="O87" i="103"/>
  <c r="N87" i="103"/>
  <c r="A87" i="103"/>
  <c r="V86" i="103"/>
  <c r="U86" i="103"/>
  <c r="T86" i="103"/>
  <c r="S86" i="103"/>
  <c r="R86" i="103"/>
  <c r="Q86" i="103"/>
  <c r="P86" i="103"/>
  <c r="O86" i="103"/>
  <c r="N86" i="103"/>
  <c r="A86" i="103"/>
  <c r="V85" i="103"/>
  <c r="U85" i="103"/>
  <c r="T85" i="103"/>
  <c r="S85" i="103"/>
  <c r="R85" i="103"/>
  <c r="Q85" i="103"/>
  <c r="P85" i="103"/>
  <c r="O85" i="103"/>
  <c r="N85" i="103"/>
  <c r="A85" i="103"/>
  <c r="V84" i="103"/>
  <c r="U84" i="103"/>
  <c r="T84" i="103"/>
  <c r="S84" i="103"/>
  <c r="R84" i="103"/>
  <c r="Q84" i="103"/>
  <c r="P84" i="103"/>
  <c r="O84" i="103"/>
  <c r="N84" i="103"/>
  <c r="A84" i="103"/>
  <c r="V83" i="103"/>
  <c r="U83" i="103"/>
  <c r="T83" i="103"/>
  <c r="S83" i="103"/>
  <c r="R83" i="103"/>
  <c r="Q83" i="103"/>
  <c r="P83" i="103"/>
  <c r="O83" i="103"/>
  <c r="N83" i="103"/>
  <c r="A83" i="103"/>
  <c r="V82" i="103"/>
  <c r="U82" i="103"/>
  <c r="T82" i="103"/>
  <c r="S82" i="103"/>
  <c r="R82" i="103"/>
  <c r="Q82" i="103"/>
  <c r="P82" i="103"/>
  <c r="O82" i="103"/>
  <c r="N82" i="103"/>
  <c r="L82" i="103"/>
  <c r="K82" i="103"/>
  <c r="J82" i="103"/>
  <c r="I82" i="103"/>
  <c r="H82" i="103"/>
  <c r="G82" i="103"/>
  <c r="F82" i="103"/>
  <c r="A82" i="103"/>
  <c r="V81" i="103"/>
  <c r="U81" i="103"/>
  <c r="T81" i="103"/>
  <c r="S81" i="103"/>
  <c r="R81" i="103"/>
  <c r="Q81" i="103"/>
  <c r="P81" i="103"/>
  <c r="O81" i="103"/>
  <c r="N81" i="103"/>
  <c r="A81" i="103"/>
  <c r="V80" i="103"/>
  <c r="U80" i="103"/>
  <c r="T80" i="103"/>
  <c r="S80" i="103"/>
  <c r="R80" i="103"/>
  <c r="Q80" i="103"/>
  <c r="P80" i="103"/>
  <c r="O80" i="103"/>
  <c r="N80" i="103"/>
  <c r="A80" i="103"/>
  <c r="V79" i="103"/>
  <c r="U79" i="103"/>
  <c r="T79" i="103"/>
  <c r="S79" i="103"/>
  <c r="R79" i="103"/>
  <c r="Q79" i="103"/>
  <c r="P79" i="103"/>
  <c r="O79" i="103"/>
  <c r="N79" i="103"/>
  <c r="A79" i="103"/>
  <c r="V78" i="103"/>
  <c r="U78" i="103"/>
  <c r="T78" i="103"/>
  <c r="S78" i="103"/>
  <c r="R78" i="103"/>
  <c r="Q78" i="103"/>
  <c r="P78" i="103"/>
  <c r="O78" i="103"/>
  <c r="N78" i="103"/>
  <c r="A78" i="103"/>
  <c r="V77" i="103"/>
  <c r="U77" i="103"/>
  <c r="T77" i="103"/>
  <c r="S77" i="103"/>
  <c r="R77" i="103"/>
  <c r="Q77" i="103"/>
  <c r="P77" i="103"/>
  <c r="O77" i="103"/>
  <c r="N77" i="103"/>
  <c r="A77" i="103"/>
  <c r="V76" i="103"/>
  <c r="U76" i="103"/>
  <c r="T76" i="103"/>
  <c r="S76" i="103"/>
  <c r="R76" i="103"/>
  <c r="Q76" i="103"/>
  <c r="P76" i="103"/>
  <c r="O76" i="103"/>
  <c r="N76" i="103"/>
  <c r="A76" i="103"/>
  <c r="V75" i="103"/>
  <c r="U75" i="103"/>
  <c r="T75" i="103"/>
  <c r="S75" i="103"/>
  <c r="R75" i="103"/>
  <c r="Q75" i="103"/>
  <c r="P75" i="103"/>
  <c r="O75" i="103"/>
  <c r="N75" i="103"/>
  <c r="A75" i="103"/>
  <c r="V74" i="103"/>
  <c r="U74" i="103"/>
  <c r="T74" i="103"/>
  <c r="S74" i="103"/>
  <c r="R74" i="103"/>
  <c r="Q74" i="103"/>
  <c r="P74" i="103"/>
  <c r="O74" i="103"/>
  <c r="N74" i="103"/>
  <c r="A74" i="103"/>
  <c r="V73" i="103"/>
  <c r="U73" i="103"/>
  <c r="T73" i="103"/>
  <c r="S73" i="103"/>
  <c r="R73" i="103"/>
  <c r="Q73" i="103"/>
  <c r="P73" i="103"/>
  <c r="O73" i="103"/>
  <c r="N73" i="103"/>
  <c r="A73" i="103"/>
  <c r="V72" i="103"/>
  <c r="U72" i="103"/>
  <c r="T72" i="103"/>
  <c r="S72" i="103"/>
  <c r="R72" i="103"/>
  <c r="Q72" i="103"/>
  <c r="P72" i="103"/>
  <c r="O72" i="103"/>
  <c r="N72" i="103"/>
  <c r="A72" i="103"/>
  <c r="V71" i="103"/>
  <c r="U71" i="103"/>
  <c r="T71" i="103"/>
  <c r="S71" i="103"/>
  <c r="R71" i="103"/>
  <c r="Q71" i="103"/>
  <c r="P71" i="103"/>
  <c r="O71" i="103"/>
  <c r="N71" i="103"/>
  <c r="L71" i="103"/>
  <c r="K71" i="103"/>
  <c r="J71" i="103"/>
  <c r="I71" i="103"/>
  <c r="H71" i="103"/>
  <c r="G71" i="103"/>
  <c r="F71" i="103"/>
  <c r="E71" i="103"/>
  <c r="D71" i="103"/>
  <c r="C71" i="103"/>
  <c r="A71" i="103"/>
  <c r="V70" i="103"/>
  <c r="U70" i="103"/>
  <c r="T70" i="103"/>
  <c r="S70" i="103"/>
  <c r="R70" i="103"/>
  <c r="Q70" i="103"/>
  <c r="P70" i="103"/>
  <c r="O70" i="103"/>
  <c r="N70" i="103"/>
  <c r="A70" i="103"/>
  <c r="L69" i="103"/>
  <c r="K69" i="103"/>
  <c r="J69" i="103"/>
  <c r="I69" i="103"/>
  <c r="H69" i="103"/>
  <c r="G69" i="103"/>
  <c r="F69" i="103"/>
  <c r="E69" i="103"/>
  <c r="D69" i="103"/>
  <c r="C69" i="103"/>
  <c r="A69" i="103"/>
  <c r="V68" i="103"/>
  <c r="U68" i="103"/>
  <c r="T68" i="103"/>
  <c r="S68" i="103"/>
  <c r="R68" i="103"/>
  <c r="Q68" i="103"/>
  <c r="P68" i="103"/>
  <c r="O68" i="103"/>
  <c r="N68" i="103"/>
  <c r="C68" i="103"/>
  <c r="A68" i="103"/>
  <c r="V67" i="103"/>
  <c r="U67" i="103"/>
  <c r="T67" i="103"/>
  <c r="S67" i="103"/>
  <c r="R67" i="103"/>
  <c r="Q67" i="103"/>
  <c r="P67" i="103"/>
  <c r="O67" i="103"/>
  <c r="N67" i="103"/>
  <c r="A67" i="103"/>
  <c r="V66" i="103"/>
  <c r="U66" i="103"/>
  <c r="T66" i="103"/>
  <c r="S66" i="103"/>
  <c r="R66" i="103"/>
  <c r="Q66" i="103"/>
  <c r="P66" i="103"/>
  <c r="O66" i="103"/>
  <c r="N66" i="103"/>
  <c r="A66" i="103"/>
  <c r="C65" i="103"/>
  <c r="A65" i="103"/>
  <c r="V64" i="103"/>
  <c r="U64" i="103"/>
  <c r="T64" i="103"/>
  <c r="S64" i="103"/>
  <c r="R64" i="103"/>
  <c r="Q64" i="103"/>
  <c r="P64" i="103"/>
  <c r="O64" i="103"/>
  <c r="N64" i="103"/>
  <c r="C64" i="103"/>
  <c r="A64" i="103"/>
  <c r="V63" i="103"/>
  <c r="U63" i="103"/>
  <c r="T63" i="103"/>
  <c r="S63" i="103"/>
  <c r="R63" i="103"/>
  <c r="Q63" i="103"/>
  <c r="P63" i="103"/>
  <c r="O63" i="103"/>
  <c r="N63" i="103"/>
  <c r="A63" i="103"/>
  <c r="V62" i="103"/>
  <c r="U62" i="103"/>
  <c r="T62" i="103"/>
  <c r="S62" i="103"/>
  <c r="R62" i="103"/>
  <c r="Q62" i="103"/>
  <c r="P62" i="103"/>
  <c r="O62" i="103"/>
  <c r="N62" i="103"/>
  <c r="A62" i="103"/>
  <c r="V61" i="103"/>
  <c r="U61" i="103"/>
  <c r="T61" i="103"/>
  <c r="S61" i="103"/>
  <c r="R61" i="103"/>
  <c r="Q61" i="103"/>
  <c r="P61" i="103"/>
  <c r="O61" i="103"/>
  <c r="N61" i="103"/>
  <c r="A61" i="103"/>
  <c r="V60" i="103"/>
  <c r="U60" i="103"/>
  <c r="T60" i="103"/>
  <c r="S60" i="103"/>
  <c r="R60" i="103"/>
  <c r="Q60" i="103"/>
  <c r="P60" i="103"/>
  <c r="O60" i="103"/>
  <c r="N60" i="103"/>
  <c r="A60" i="103"/>
  <c r="V59" i="103"/>
  <c r="U59" i="103"/>
  <c r="T59" i="103"/>
  <c r="S59" i="103"/>
  <c r="R59" i="103"/>
  <c r="Q59" i="103"/>
  <c r="P59" i="103"/>
  <c r="O59" i="103"/>
  <c r="N59" i="103"/>
  <c r="A59" i="103"/>
  <c r="V58" i="103"/>
  <c r="U58" i="103"/>
  <c r="T58" i="103"/>
  <c r="S58" i="103"/>
  <c r="R58" i="103"/>
  <c r="Q58" i="103"/>
  <c r="P58" i="103"/>
  <c r="O58" i="103"/>
  <c r="N58" i="103"/>
  <c r="C58" i="103"/>
  <c r="A58" i="103"/>
  <c r="V57" i="103"/>
  <c r="U57" i="103"/>
  <c r="T57" i="103"/>
  <c r="S57" i="103"/>
  <c r="R57" i="103"/>
  <c r="Q57" i="103"/>
  <c r="P57" i="103"/>
  <c r="O57" i="103"/>
  <c r="N57" i="103"/>
  <c r="C57" i="103"/>
  <c r="A57" i="103"/>
  <c r="V56" i="103"/>
  <c r="U56" i="103"/>
  <c r="T56" i="103"/>
  <c r="S56" i="103"/>
  <c r="R56" i="103"/>
  <c r="Q56" i="103"/>
  <c r="P56" i="103"/>
  <c r="O56" i="103"/>
  <c r="N56" i="103"/>
  <c r="A56" i="103"/>
  <c r="V55" i="103"/>
  <c r="U55" i="103"/>
  <c r="T55" i="103"/>
  <c r="S55" i="103"/>
  <c r="R55" i="103"/>
  <c r="Q55" i="103"/>
  <c r="P55" i="103"/>
  <c r="O55" i="103"/>
  <c r="N55" i="103"/>
  <c r="A55" i="103"/>
  <c r="V54" i="103"/>
  <c r="U54" i="103"/>
  <c r="T54" i="103"/>
  <c r="S54" i="103"/>
  <c r="R54" i="103"/>
  <c r="Q54" i="103"/>
  <c r="P54" i="103"/>
  <c r="O54" i="103"/>
  <c r="N54" i="103"/>
  <c r="C54" i="103"/>
  <c r="A54" i="103"/>
  <c r="V53" i="103"/>
  <c r="U53" i="103"/>
  <c r="T53" i="103"/>
  <c r="S53" i="103"/>
  <c r="R53" i="103"/>
  <c r="Q53" i="103"/>
  <c r="P53" i="103"/>
  <c r="O53" i="103"/>
  <c r="N53" i="103"/>
  <c r="L53" i="103"/>
  <c r="K53" i="103"/>
  <c r="J53" i="103"/>
  <c r="I53" i="103"/>
  <c r="H53" i="103"/>
  <c r="G53" i="103"/>
  <c r="F53" i="103"/>
  <c r="E53" i="103"/>
  <c r="D53" i="103"/>
  <c r="C53" i="103"/>
  <c r="A53" i="103"/>
  <c r="V52" i="103"/>
  <c r="U52" i="103"/>
  <c r="T52" i="103"/>
  <c r="S52" i="103"/>
  <c r="R52" i="103"/>
  <c r="Q52" i="103"/>
  <c r="P52" i="103"/>
  <c r="O52" i="103"/>
  <c r="N52" i="103"/>
  <c r="L52" i="103"/>
  <c r="K52" i="103"/>
  <c r="J52" i="103"/>
  <c r="I52" i="103"/>
  <c r="H52" i="103"/>
  <c r="G52" i="103"/>
  <c r="F52" i="103"/>
  <c r="E52" i="103"/>
  <c r="D52" i="103"/>
  <c r="C52" i="103"/>
  <c r="A52" i="103"/>
  <c r="V51" i="103"/>
  <c r="U51" i="103"/>
  <c r="T51" i="103"/>
  <c r="S51" i="103"/>
  <c r="R51" i="103"/>
  <c r="Q51" i="103"/>
  <c r="P51" i="103"/>
  <c r="O51" i="103"/>
  <c r="N51" i="103"/>
  <c r="A51" i="103"/>
  <c r="V50" i="103"/>
  <c r="U50" i="103"/>
  <c r="T50" i="103"/>
  <c r="S50" i="103"/>
  <c r="R50" i="103"/>
  <c r="Q50" i="103"/>
  <c r="P50" i="103"/>
  <c r="O50" i="103"/>
  <c r="N50" i="103"/>
  <c r="A50" i="103"/>
  <c r="V49" i="103"/>
  <c r="U49" i="103"/>
  <c r="T49" i="103"/>
  <c r="S49" i="103"/>
  <c r="R49" i="103"/>
  <c r="Q49" i="103"/>
  <c r="P49" i="103"/>
  <c r="O49" i="103"/>
  <c r="N49" i="103"/>
  <c r="A49" i="103"/>
  <c r="V48" i="103"/>
  <c r="U48" i="103"/>
  <c r="T48" i="103"/>
  <c r="S48" i="103"/>
  <c r="R48" i="103"/>
  <c r="Q48" i="103"/>
  <c r="P48" i="103"/>
  <c r="O48" i="103"/>
  <c r="N48" i="103"/>
  <c r="A48" i="103"/>
  <c r="V47" i="103"/>
  <c r="U47" i="103"/>
  <c r="T47" i="103"/>
  <c r="S47" i="103"/>
  <c r="R47" i="103"/>
  <c r="Q47" i="103"/>
  <c r="P47" i="103"/>
  <c r="O47" i="103"/>
  <c r="N47" i="103"/>
  <c r="A47" i="103"/>
  <c r="V46" i="103"/>
  <c r="U46" i="103"/>
  <c r="T46" i="103"/>
  <c r="S46" i="103"/>
  <c r="R46" i="103"/>
  <c r="Q46" i="103"/>
  <c r="P46" i="103"/>
  <c r="O46" i="103"/>
  <c r="N46" i="103"/>
  <c r="A46" i="103"/>
  <c r="V45" i="103"/>
  <c r="U45" i="103"/>
  <c r="T45" i="103"/>
  <c r="S45" i="103"/>
  <c r="R45" i="103"/>
  <c r="Q45" i="103"/>
  <c r="P45" i="103"/>
  <c r="O45" i="103"/>
  <c r="N45" i="103"/>
  <c r="A45" i="103"/>
  <c r="V44" i="103"/>
  <c r="U44" i="103"/>
  <c r="T44" i="103"/>
  <c r="S44" i="103"/>
  <c r="R44" i="103"/>
  <c r="Q44" i="103"/>
  <c r="P44" i="103"/>
  <c r="O44" i="103"/>
  <c r="N44" i="103"/>
  <c r="A44" i="103"/>
  <c r="V43" i="103"/>
  <c r="U43" i="103"/>
  <c r="T43" i="103"/>
  <c r="S43" i="103"/>
  <c r="R43" i="103"/>
  <c r="Q43" i="103"/>
  <c r="P43" i="103"/>
  <c r="O43" i="103"/>
  <c r="N43" i="103"/>
  <c r="L43" i="103"/>
  <c r="K43" i="103"/>
  <c r="J43" i="103"/>
  <c r="I43" i="103"/>
  <c r="H43" i="103"/>
  <c r="G43" i="103"/>
  <c r="F43" i="103"/>
  <c r="E43" i="103"/>
  <c r="D43" i="103"/>
  <c r="C43" i="103"/>
  <c r="A43" i="103"/>
  <c r="V42" i="103"/>
  <c r="U42" i="103"/>
  <c r="T42" i="103"/>
  <c r="S42" i="103"/>
  <c r="R42" i="103"/>
  <c r="Q42" i="103"/>
  <c r="P42" i="103"/>
  <c r="O42" i="103"/>
  <c r="N42" i="103"/>
  <c r="L42" i="103"/>
  <c r="K42" i="103"/>
  <c r="J42" i="103"/>
  <c r="I42" i="103"/>
  <c r="H42" i="103"/>
  <c r="G42" i="103"/>
  <c r="F42" i="103"/>
  <c r="E42" i="103"/>
  <c r="D42" i="103"/>
  <c r="C42" i="103"/>
  <c r="A42" i="103"/>
  <c r="V41" i="103"/>
  <c r="U41" i="103"/>
  <c r="T41" i="103"/>
  <c r="S41" i="103"/>
  <c r="R41" i="103"/>
  <c r="Q41" i="103"/>
  <c r="P41" i="103"/>
  <c r="O41" i="103"/>
  <c r="N41" i="103"/>
  <c r="L41" i="103"/>
  <c r="K41" i="103"/>
  <c r="J41" i="103"/>
  <c r="I41" i="103"/>
  <c r="H41" i="103"/>
  <c r="G41" i="103"/>
  <c r="F41" i="103"/>
  <c r="E41" i="103"/>
  <c r="D41" i="103"/>
  <c r="C41" i="103"/>
  <c r="A41" i="103"/>
  <c r="V40" i="103"/>
  <c r="U40" i="103"/>
  <c r="T40" i="103"/>
  <c r="S40" i="103"/>
  <c r="R40" i="103"/>
  <c r="Q40" i="103"/>
  <c r="P40" i="103"/>
  <c r="O40" i="103"/>
  <c r="N40" i="103"/>
  <c r="A40" i="103"/>
  <c r="V39" i="103"/>
  <c r="U39" i="103"/>
  <c r="T39" i="103"/>
  <c r="S39" i="103"/>
  <c r="R39" i="103"/>
  <c r="Q39" i="103"/>
  <c r="P39" i="103"/>
  <c r="O39" i="103"/>
  <c r="N39" i="103"/>
  <c r="L39" i="103"/>
  <c r="K39" i="103"/>
  <c r="J39" i="103"/>
  <c r="I39" i="103"/>
  <c r="H39" i="103"/>
  <c r="G39" i="103"/>
  <c r="F39" i="103"/>
  <c r="E39" i="103"/>
  <c r="D39" i="103"/>
  <c r="A39" i="103"/>
  <c r="V38" i="103"/>
  <c r="U38" i="103"/>
  <c r="T38" i="103"/>
  <c r="S38" i="103"/>
  <c r="R38" i="103"/>
  <c r="Q38" i="103"/>
  <c r="P38" i="103"/>
  <c r="O38" i="103"/>
  <c r="N38" i="103"/>
  <c r="A38" i="103"/>
  <c r="V37" i="103"/>
  <c r="U37" i="103"/>
  <c r="T37" i="103"/>
  <c r="S37" i="103"/>
  <c r="R37" i="103"/>
  <c r="Q37" i="103"/>
  <c r="P37" i="103"/>
  <c r="O37" i="103"/>
  <c r="N37" i="103"/>
  <c r="L37" i="103"/>
  <c r="K37" i="103"/>
  <c r="J37" i="103"/>
  <c r="I37" i="103"/>
  <c r="H37" i="103"/>
  <c r="G37" i="103"/>
  <c r="F37" i="103"/>
  <c r="E37" i="103"/>
  <c r="D37" i="103"/>
  <c r="C37" i="103"/>
  <c r="A37" i="103"/>
  <c r="V36" i="103"/>
  <c r="U36" i="103"/>
  <c r="T36" i="103"/>
  <c r="S36" i="103"/>
  <c r="R36" i="103"/>
  <c r="Q36" i="103"/>
  <c r="P36" i="103"/>
  <c r="O36" i="103"/>
  <c r="N36" i="103"/>
  <c r="C36" i="103"/>
  <c r="A36" i="103"/>
  <c r="V35" i="103"/>
  <c r="U35" i="103"/>
  <c r="T35" i="103"/>
  <c r="S35" i="103"/>
  <c r="R35" i="103"/>
  <c r="Q35" i="103"/>
  <c r="P35" i="103"/>
  <c r="O35" i="103"/>
  <c r="N35" i="103"/>
  <c r="A35" i="103"/>
  <c r="V34" i="103"/>
  <c r="U34" i="103"/>
  <c r="T34" i="103"/>
  <c r="S34" i="103"/>
  <c r="R34" i="103"/>
  <c r="Q34" i="103"/>
  <c r="P34" i="103"/>
  <c r="O34" i="103"/>
  <c r="N34" i="103"/>
  <c r="L34" i="103"/>
  <c r="K34" i="103"/>
  <c r="J34" i="103"/>
  <c r="I34" i="103"/>
  <c r="H34" i="103"/>
  <c r="G34" i="103"/>
  <c r="F34" i="103"/>
  <c r="E34" i="103"/>
  <c r="D34" i="103"/>
  <c r="C34" i="103"/>
  <c r="A34" i="103"/>
  <c r="V33" i="103"/>
  <c r="U33" i="103"/>
  <c r="T33" i="103"/>
  <c r="S33" i="103"/>
  <c r="R33" i="103"/>
  <c r="Q33" i="103"/>
  <c r="P33" i="103"/>
  <c r="O33" i="103"/>
  <c r="N33" i="103"/>
  <c r="L33" i="103"/>
  <c r="K33" i="103"/>
  <c r="J33" i="103"/>
  <c r="I33" i="103"/>
  <c r="H33" i="103"/>
  <c r="G33" i="103"/>
  <c r="F33" i="103"/>
  <c r="E33" i="103"/>
  <c r="D33" i="103"/>
  <c r="T32" i="103"/>
  <c r="S32" i="103"/>
  <c r="V31" i="103"/>
  <c r="U31" i="103"/>
  <c r="T31" i="103"/>
  <c r="S31" i="103"/>
  <c r="R31" i="103"/>
  <c r="Q31" i="103"/>
  <c r="P31" i="103"/>
  <c r="O31" i="103"/>
  <c r="N31" i="103"/>
  <c r="M31" i="103"/>
  <c r="J20" i="103"/>
  <c r="I20" i="103"/>
  <c r="H20" i="103"/>
  <c r="G20" i="103"/>
  <c r="J19" i="103"/>
  <c r="I19" i="103"/>
  <c r="H19" i="103"/>
  <c r="G19" i="103"/>
  <c r="J18" i="103"/>
  <c r="I18" i="103"/>
  <c r="H18" i="103"/>
  <c r="G18" i="103"/>
  <c r="J17" i="103"/>
  <c r="I17" i="103"/>
  <c r="H17" i="103"/>
  <c r="G17" i="103"/>
  <c r="J16" i="103"/>
  <c r="I16" i="103"/>
  <c r="H16" i="103"/>
  <c r="G16" i="103"/>
  <c r="J15" i="103"/>
  <c r="I15" i="103"/>
  <c r="H15" i="103"/>
  <c r="G15" i="103"/>
  <c r="J14" i="103"/>
  <c r="I14" i="103"/>
  <c r="H14" i="103"/>
  <c r="G14" i="103"/>
  <c r="J13" i="103"/>
  <c r="I13" i="103"/>
  <c r="H13" i="103"/>
  <c r="G13" i="103"/>
  <c r="J12" i="103"/>
  <c r="I12" i="103"/>
  <c r="H12" i="103"/>
  <c r="G12" i="103"/>
  <c r="J11" i="103"/>
  <c r="H11" i="103"/>
  <c r="G11" i="103"/>
  <c r="E7" i="103"/>
  <c r="B7" i="103"/>
  <c r="I11" i="103" s="1"/>
  <c r="C33" i="103" s="1"/>
  <c r="C35" i="103" s="1"/>
  <c r="E125" i="82"/>
  <c r="D125" i="82"/>
  <c r="C125" i="82"/>
  <c r="F124" i="82"/>
  <c r="D124" i="82"/>
  <c r="F123" i="82"/>
  <c r="D123" i="82"/>
  <c r="F122" i="82"/>
  <c r="D122" i="82"/>
  <c r="F121" i="82"/>
  <c r="D121" i="82"/>
  <c r="F120" i="82"/>
  <c r="D120" i="82"/>
  <c r="F119" i="82"/>
  <c r="D119" i="82"/>
  <c r="V103" i="82"/>
  <c r="U103" i="82"/>
  <c r="T103" i="82"/>
  <c r="S103" i="82"/>
  <c r="R103" i="82"/>
  <c r="Q103" i="82"/>
  <c r="P103" i="82"/>
  <c r="O103" i="82"/>
  <c r="N103" i="82"/>
  <c r="A103" i="82"/>
  <c r="V102" i="82"/>
  <c r="U102" i="82"/>
  <c r="T102" i="82"/>
  <c r="S102" i="82"/>
  <c r="R102" i="82"/>
  <c r="Q102" i="82"/>
  <c r="P102" i="82"/>
  <c r="O102" i="82"/>
  <c r="N102" i="82"/>
  <c r="A102" i="82"/>
  <c r="V101" i="82"/>
  <c r="U101" i="82"/>
  <c r="T101" i="82"/>
  <c r="S101" i="82"/>
  <c r="R101" i="82"/>
  <c r="Q101" i="82"/>
  <c r="P101" i="82"/>
  <c r="O101" i="82"/>
  <c r="N101" i="82"/>
  <c r="A101" i="82"/>
  <c r="V100" i="82"/>
  <c r="U100" i="82"/>
  <c r="T100" i="82"/>
  <c r="S100" i="82"/>
  <c r="R100" i="82"/>
  <c r="Q100" i="82"/>
  <c r="P100" i="82"/>
  <c r="O100" i="82"/>
  <c r="N100" i="82"/>
  <c r="A100" i="82"/>
  <c r="V99" i="82"/>
  <c r="U99" i="82"/>
  <c r="T99" i="82"/>
  <c r="S99" i="82"/>
  <c r="R99" i="82"/>
  <c r="Q99" i="82"/>
  <c r="P99" i="82"/>
  <c r="O99" i="82"/>
  <c r="N99" i="82"/>
  <c r="A99" i="82"/>
  <c r="V98" i="82"/>
  <c r="U98" i="82"/>
  <c r="T98" i="82"/>
  <c r="S98" i="82"/>
  <c r="R98" i="82"/>
  <c r="Q98" i="82"/>
  <c r="P98" i="82"/>
  <c r="O98" i="82"/>
  <c r="N98" i="82"/>
  <c r="A98" i="82"/>
  <c r="V97" i="82"/>
  <c r="U97" i="82"/>
  <c r="T97" i="82"/>
  <c r="S97" i="82"/>
  <c r="R97" i="82"/>
  <c r="Q97" i="82"/>
  <c r="P97" i="82"/>
  <c r="O97" i="82"/>
  <c r="N97" i="82"/>
  <c r="A97" i="82"/>
  <c r="V96" i="82"/>
  <c r="U96" i="82"/>
  <c r="T96" i="82"/>
  <c r="S96" i="82"/>
  <c r="R96" i="82"/>
  <c r="Q96" i="82"/>
  <c r="P96" i="82"/>
  <c r="O96" i="82"/>
  <c r="N96" i="82"/>
  <c r="A96" i="82"/>
  <c r="V95" i="82"/>
  <c r="U95" i="82"/>
  <c r="T95" i="82"/>
  <c r="S95" i="82"/>
  <c r="R95" i="82"/>
  <c r="Q95" i="82"/>
  <c r="P95" i="82"/>
  <c r="O95" i="82"/>
  <c r="N95" i="82"/>
  <c r="A95" i="82"/>
  <c r="V94" i="82"/>
  <c r="U94" i="82"/>
  <c r="T94" i="82"/>
  <c r="S94" i="82"/>
  <c r="R94" i="82"/>
  <c r="Q94" i="82"/>
  <c r="P94" i="82"/>
  <c r="O94" i="82"/>
  <c r="N94" i="82"/>
  <c r="A94" i="82"/>
  <c r="V93" i="82"/>
  <c r="U93" i="82"/>
  <c r="T93" i="82"/>
  <c r="S93" i="82"/>
  <c r="R93" i="82"/>
  <c r="Q93" i="82"/>
  <c r="P93" i="82"/>
  <c r="O93" i="82"/>
  <c r="N93" i="82"/>
  <c r="A93" i="82"/>
  <c r="V92" i="82"/>
  <c r="U92" i="82"/>
  <c r="T92" i="82"/>
  <c r="S92" i="82"/>
  <c r="R92" i="82"/>
  <c r="Q92" i="82"/>
  <c r="P92" i="82"/>
  <c r="O92" i="82"/>
  <c r="N92" i="82"/>
  <c r="A92" i="82"/>
  <c r="V91" i="82"/>
  <c r="U91" i="82"/>
  <c r="T91" i="82"/>
  <c r="S91" i="82"/>
  <c r="R91" i="82"/>
  <c r="Q91" i="82"/>
  <c r="P91" i="82"/>
  <c r="O91" i="82"/>
  <c r="N91" i="82"/>
  <c r="A91" i="82"/>
  <c r="V90" i="82"/>
  <c r="U90" i="82"/>
  <c r="T90" i="82"/>
  <c r="S90" i="82"/>
  <c r="R90" i="82"/>
  <c r="Q90" i="82"/>
  <c r="P90" i="82"/>
  <c r="O90" i="82"/>
  <c r="N90" i="82"/>
  <c r="A90" i="82"/>
  <c r="V89" i="82"/>
  <c r="U89" i="82"/>
  <c r="T89" i="82"/>
  <c r="S89" i="82"/>
  <c r="R89" i="82"/>
  <c r="Q89" i="82"/>
  <c r="P89" i="82"/>
  <c r="O89" i="82"/>
  <c r="N89" i="82"/>
  <c r="A89" i="82"/>
  <c r="V88" i="82"/>
  <c r="U88" i="82"/>
  <c r="T88" i="82"/>
  <c r="S88" i="82"/>
  <c r="R88" i="82"/>
  <c r="Q88" i="82"/>
  <c r="P88" i="82"/>
  <c r="O88" i="82"/>
  <c r="N88" i="82"/>
  <c r="A88" i="82"/>
  <c r="V87" i="82"/>
  <c r="U87" i="82"/>
  <c r="T87" i="82"/>
  <c r="S87" i="82"/>
  <c r="R87" i="82"/>
  <c r="Q87" i="82"/>
  <c r="P87" i="82"/>
  <c r="O87" i="82"/>
  <c r="N87" i="82"/>
  <c r="A87" i="82"/>
  <c r="V86" i="82"/>
  <c r="U86" i="82"/>
  <c r="T86" i="82"/>
  <c r="S86" i="82"/>
  <c r="R86" i="82"/>
  <c r="Q86" i="82"/>
  <c r="P86" i="82"/>
  <c r="O86" i="82"/>
  <c r="N86" i="82"/>
  <c r="A86" i="82"/>
  <c r="V85" i="82"/>
  <c r="U85" i="82"/>
  <c r="T85" i="82"/>
  <c r="S85" i="82"/>
  <c r="R85" i="82"/>
  <c r="Q85" i="82"/>
  <c r="P85" i="82"/>
  <c r="O85" i="82"/>
  <c r="N85" i="82"/>
  <c r="A85" i="82"/>
  <c r="V84" i="82"/>
  <c r="U84" i="82"/>
  <c r="T84" i="82"/>
  <c r="S84" i="82"/>
  <c r="R84" i="82"/>
  <c r="Q84" i="82"/>
  <c r="P84" i="82"/>
  <c r="O84" i="82"/>
  <c r="N84" i="82"/>
  <c r="A84" i="82"/>
  <c r="V83" i="82"/>
  <c r="U83" i="82"/>
  <c r="T83" i="82"/>
  <c r="S83" i="82"/>
  <c r="R83" i="82"/>
  <c r="Q83" i="82"/>
  <c r="P83" i="82"/>
  <c r="O83" i="82"/>
  <c r="N83" i="82"/>
  <c r="A83" i="82"/>
  <c r="V82" i="82"/>
  <c r="U82" i="82"/>
  <c r="T82" i="82"/>
  <c r="S82" i="82"/>
  <c r="R82" i="82"/>
  <c r="Q82" i="82"/>
  <c r="P82" i="82"/>
  <c r="O82" i="82"/>
  <c r="N82" i="82"/>
  <c r="L82" i="82"/>
  <c r="K82" i="82"/>
  <c r="J82" i="82"/>
  <c r="I82" i="82"/>
  <c r="H82" i="82"/>
  <c r="G82" i="82"/>
  <c r="F82" i="82"/>
  <c r="A82" i="82"/>
  <c r="V81" i="82"/>
  <c r="U81" i="82"/>
  <c r="T81" i="82"/>
  <c r="S81" i="82"/>
  <c r="R81" i="82"/>
  <c r="Q81" i="82"/>
  <c r="P81" i="82"/>
  <c r="O81" i="82"/>
  <c r="N81" i="82"/>
  <c r="A81" i="82"/>
  <c r="V80" i="82"/>
  <c r="U80" i="82"/>
  <c r="T80" i="82"/>
  <c r="S80" i="82"/>
  <c r="R80" i="82"/>
  <c r="Q80" i="82"/>
  <c r="P80" i="82"/>
  <c r="O80" i="82"/>
  <c r="N80" i="82"/>
  <c r="A80" i="82"/>
  <c r="V79" i="82"/>
  <c r="U79" i="82"/>
  <c r="T79" i="82"/>
  <c r="S79" i="82"/>
  <c r="R79" i="82"/>
  <c r="Q79" i="82"/>
  <c r="P79" i="82"/>
  <c r="O79" i="82"/>
  <c r="N79" i="82"/>
  <c r="A79" i="82"/>
  <c r="V78" i="82"/>
  <c r="U78" i="82"/>
  <c r="T78" i="82"/>
  <c r="S78" i="82"/>
  <c r="R78" i="82"/>
  <c r="Q78" i="82"/>
  <c r="P78" i="82"/>
  <c r="O78" i="82"/>
  <c r="N78" i="82"/>
  <c r="A78" i="82"/>
  <c r="V77" i="82"/>
  <c r="U77" i="82"/>
  <c r="T77" i="82"/>
  <c r="S77" i="82"/>
  <c r="R77" i="82"/>
  <c r="Q77" i="82"/>
  <c r="P77" i="82"/>
  <c r="O77" i="82"/>
  <c r="N77" i="82"/>
  <c r="A77" i="82"/>
  <c r="V76" i="82"/>
  <c r="U76" i="82"/>
  <c r="T76" i="82"/>
  <c r="S76" i="82"/>
  <c r="R76" i="82"/>
  <c r="Q76" i="82"/>
  <c r="P76" i="82"/>
  <c r="O76" i="82"/>
  <c r="N76" i="82"/>
  <c r="A76" i="82"/>
  <c r="V75" i="82"/>
  <c r="U75" i="82"/>
  <c r="T75" i="82"/>
  <c r="S75" i="82"/>
  <c r="R75" i="82"/>
  <c r="Q75" i="82"/>
  <c r="P75" i="82"/>
  <c r="O75" i="82"/>
  <c r="N75" i="82"/>
  <c r="A75" i="82"/>
  <c r="V74" i="82"/>
  <c r="U74" i="82"/>
  <c r="T74" i="82"/>
  <c r="S74" i="82"/>
  <c r="R74" i="82"/>
  <c r="Q74" i="82"/>
  <c r="P74" i="82"/>
  <c r="O74" i="82"/>
  <c r="N74" i="82"/>
  <c r="A74" i="82"/>
  <c r="V73" i="82"/>
  <c r="U73" i="82"/>
  <c r="T73" i="82"/>
  <c r="S73" i="82"/>
  <c r="R73" i="82"/>
  <c r="Q73" i="82"/>
  <c r="P73" i="82"/>
  <c r="O73" i="82"/>
  <c r="N73" i="82"/>
  <c r="A73" i="82"/>
  <c r="V72" i="82"/>
  <c r="U72" i="82"/>
  <c r="T72" i="82"/>
  <c r="S72" i="82"/>
  <c r="R72" i="82"/>
  <c r="Q72" i="82"/>
  <c r="P72" i="82"/>
  <c r="O72" i="82"/>
  <c r="N72" i="82"/>
  <c r="A72" i="82"/>
  <c r="V71" i="82"/>
  <c r="U71" i="82"/>
  <c r="T71" i="82"/>
  <c r="S71" i="82"/>
  <c r="R71" i="82"/>
  <c r="Q71" i="82"/>
  <c r="P71" i="82"/>
  <c r="O71" i="82"/>
  <c r="N71" i="82"/>
  <c r="L71" i="82"/>
  <c r="K71" i="82"/>
  <c r="J71" i="82"/>
  <c r="I71" i="82"/>
  <c r="H71" i="82"/>
  <c r="G71" i="82"/>
  <c r="F71" i="82"/>
  <c r="E71" i="82"/>
  <c r="D71" i="82"/>
  <c r="C71" i="82"/>
  <c r="A71" i="82"/>
  <c r="V70" i="82"/>
  <c r="U70" i="82"/>
  <c r="T70" i="82"/>
  <c r="S70" i="82"/>
  <c r="R70" i="82"/>
  <c r="Q70" i="82"/>
  <c r="P70" i="82"/>
  <c r="O70" i="82"/>
  <c r="N70" i="82"/>
  <c r="A70" i="82"/>
  <c r="L69" i="82"/>
  <c r="K69" i="82"/>
  <c r="J69" i="82"/>
  <c r="I69" i="82"/>
  <c r="H69" i="82"/>
  <c r="G69" i="82"/>
  <c r="F69" i="82"/>
  <c r="E69" i="82"/>
  <c r="D69" i="82"/>
  <c r="C69" i="82"/>
  <c r="A69" i="82"/>
  <c r="V68" i="82"/>
  <c r="U68" i="82"/>
  <c r="T68" i="82"/>
  <c r="S68" i="82"/>
  <c r="R68" i="82"/>
  <c r="Q68" i="82"/>
  <c r="P68" i="82"/>
  <c r="O68" i="82"/>
  <c r="N68" i="82"/>
  <c r="C68" i="82"/>
  <c r="A68" i="82"/>
  <c r="V67" i="82"/>
  <c r="U67" i="82"/>
  <c r="T67" i="82"/>
  <c r="S67" i="82"/>
  <c r="R67" i="82"/>
  <c r="Q67" i="82"/>
  <c r="P67" i="82"/>
  <c r="O67" i="82"/>
  <c r="N67" i="82"/>
  <c r="A67" i="82"/>
  <c r="V66" i="82"/>
  <c r="U66" i="82"/>
  <c r="T66" i="82"/>
  <c r="S66" i="82"/>
  <c r="R66" i="82"/>
  <c r="Q66" i="82"/>
  <c r="P66" i="82"/>
  <c r="O66" i="82"/>
  <c r="N66" i="82"/>
  <c r="A66" i="82"/>
  <c r="C65" i="82"/>
  <c r="A65" i="82"/>
  <c r="V64" i="82"/>
  <c r="U64" i="82"/>
  <c r="T64" i="82"/>
  <c r="S64" i="82"/>
  <c r="R64" i="82"/>
  <c r="Q64" i="82"/>
  <c r="P64" i="82"/>
  <c r="O64" i="82"/>
  <c r="N64" i="82"/>
  <c r="C64" i="82"/>
  <c r="A64" i="82"/>
  <c r="V63" i="82"/>
  <c r="U63" i="82"/>
  <c r="T63" i="82"/>
  <c r="S63" i="82"/>
  <c r="R63" i="82"/>
  <c r="Q63" i="82"/>
  <c r="P63" i="82"/>
  <c r="O63" i="82"/>
  <c r="N63" i="82"/>
  <c r="A63" i="82"/>
  <c r="V62" i="82"/>
  <c r="U62" i="82"/>
  <c r="T62" i="82"/>
  <c r="S62" i="82"/>
  <c r="R62" i="82"/>
  <c r="Q62" i="82"/>
  <c r="P62" i="82"/>
  <c r="O62" i="82"/>
  <c r="N62" i="82"/>
  <c r="A62" i="82"/>
  <c r="V61" i="82"/>
  <c r="U61" i="82"/>
  <c r="T61" i="82"/>
  <c r="S61" i="82"/>
  <c r="R61" i="82"/>
  <c r="Q61" i="82"/>
  <c r="P61" i="82"/>
  <c r="O61" i="82"/>
  <c r="N61" i="82"/>
  <c r="A61" i="82"/>
  <c r="V60" i="82"/>
  <c r="U60" i="82"/>
  <c r="T60" i="82"/>
  <c r="S60" i="82"/>
  <c r="R60" i="82"/>
  <c r="Q60" i="82"/>
  <c r="P60" i="82"/>
  <c r="O60" i="82"/>
  <c r="N60" i="82"/>
  <c r="A60" i="82"/>
  <c r="V59" i="82"/>
  <c r="U59" i="82"/>
  <c r="T59" i="82"/>
  <c r="S59" i="82"/>
  <c r="R59" i="82"/>
  <c r="Q59" i="82"/>
  <c r="P59" i="82"/>
  <c r="O59" i="82"/>
  <c r="N59" i="82"/>
  <c r="A59" i="82"/>
  <c r="V58" i="82"/>
  <c r="U58" i="82"/>
  <c r="T58" i="82"/>
  <c r="S58" i="82"/>
  <c r="R58" i="82"/>
  <c r="Q58" i="82"/>
  <c r="P58" i="82"/>
  <c r="O58" i="82"/>
  <c r="N58" i="82"/>
  <c r="C58" i="82"/>
  <c r="A58" i="82"/>
  <c r="V57" i="82"/>
  <c r="U57" i="82"/>
  <c r="T57" i="82"/>
  <c r="S57" i="82"/>
  <c r="R57" i="82"/>
  <c r="Q57" i="82"/>
  <c r="P57" i="82"/>
  <c r="O57" i="82"/>
  <c r="N57" i="82"/>
  <c r="C57" i="82"/>
  <c r="A57" i="82"/>
  <c r="V56" i="82"/>
  <c r="U56" i="82"/>
  <c r="T56" i="82"/>
  <c r="S56" i="82"/>
  <c r="R56" i="82"/>
  <c r="Q56" i="82"/>
  <c r="P56" i="82"/>
  <c r="O56" i="82"/>
  <c r="N56" i="82"/>
  <c r="A56" i="82"/>
  <c r="V55" i="82"/>
  <c r="U55" i="82"/>
  <c r="T55" i="82"/>
  <c r="S55" i="82"/>
  <c r="R55" i="82"/>
  <c r="Q55" i="82"/>
  <c r="P55" i="82"/>
  <c r="O55" i="82"/>
  <c r="N55" i="82"/>
  <c r="A55" i="82"/>
  <c r="V54" i="82"/>
  <c r="U54" i="82"/>
  <c r="T54" i="82"/>
  <c r="S54" i="82"/>
  <c r="R54" i="82"/>
  <c r="Q54" i="82"/>
  <c r="P54" i="82"/>
  <c r="O54" i="82"/>
  <c r="N54" i="82"/>
  <c r="C54" i="82"/>
  <c r="A54" i="82"/>
  <c r="V53" i="82"/>
  <c r="U53" i="82"/>
  <c r="T53" i="82"/>
  <c r="S53" i="82"/>
  <c r="R53" i="82"/>
  <c r="Q53" i="82"/>
  <c r="P53" i="82"/>
  <c r="O53" i="82"/>
  <c r="N53" i="82"/>
  <c r="L53" i="82"/>
  <c r="K53" i="82"/>
  <c r="J53" i="82"/>
  <c r="I53" i="82"/>
  <c r="H53" i="82"/>
  <c r="G53" i="82"/>
  <c r="F53" i="82"/>
  <c r="E53" i="82"/>
  <c r="D53" i="82"/>
  <c r="C53" i="82"/>
  <c r="A53" i="82"/>
  <c r="V52" i="82"/>
  <c r="U52" i="82"/>
  <c r="T52" i="82"/>
  <c r="S52" i="82"/>
  <c r="R52" i="82"/>
  <c r="Q52" i="82"/>
  <c r="P52" i="82"/>
  <c r="O52" i="82"/>
  <c r="N52" i="82"/>
  <c r="L52" i="82"/>
  <c r="K52" i="82"/>
  <c r="J52" i="82"/>
  <c r="I52" i="82"/>
  <c r="H52" i="82"/>
  <c r="G52" i="82"/>
  <c r="F52" i="82"/>
  <c r="E52" i="82"/>
  <c r="D52" i="82"/>
  <c r="C52" i="82"/>
  <c r="A52" i="82"/>
  <c r="V51" i="82"/>
  <c r="U51" i="82"/>
  <c r="T51" i="82"/>
  <c r="S51" i="82"/>
  <c r="R51" i="82"/>
  <c r="Q51" i="82"/>
  <c r="P51" i="82"/>
  <c r="O51" i="82"/>
  <c r="N51" i="82"/>
  <c r="A51" i="82"/>
  <c r="V50" i="82"/>
  <c r="U50" i="82"/>
  <c r="T50" i="82"/>
  <c r="S50" i="82"/>
  <c r="R50" i="82"/>
  <c r="Q50" i="82"/>
  <c r="P50" i="82"/>
  <c r="O50" i="82"/>
  <c r="N50" i="82"/>
  <c r="A50" i="82"/>
  <c r="V49" i="82"/>
  <c r="U49" i="82"/>
  <c r="T49" i="82"/>
  <c r="S49" i="82"/>
  <c r="R49" i="82"/>
  <c r="Q49" i="82"/>
  <c r="P49" i="82"/>
  <c r="O49" i="82"/>
  <c r="N49" i="82"/>
  <c r="A49" i="82"/>
  <c r="V48" i="82"/>
  <c r="U48" i="82"/>
  <c r="T48" i="82"/>
  <c r="S48" i="82"/>
  <c r="R48" i="82"/>
  <c r="Q48" i="82"/>
  <c r="P48" i="82"/>
  <c r="O48" i="82"/>
  <c r="N48" i="82"/>
  <c r="A48" i="82"/>
  <c r="V47" i="82"/>
  <c r="U47" i="82"/>
  <c r="T47" i="82"/>
  <c r="S47" i="82"/>
  <c r="R47" i="82"/>
  <c r="Q47" i="82"/>
  <c r="P47" i="82"/>
  <c r="O47" i="82"/>
  <c r="N47" i="82"/>
  <c r="A47" i="82"/>
  <c r="V46" i="82"/>
  <c r="U46" i="82"/>
  <c r="T46" i="82"/>
  <c r="S46" i="82"/>
  <c r="R46" i="82"/>
  <c r="Q46" i="82"/>
  <c r="P46" i="82"/>
  <c r="O46" i="82"/>
  <c r="N46" i="82"/>
  <c r="A46" i="82"/>
  <c r="V45" i="82"/>
  <c r="U45" i="82"/>
  <c r="T45" i="82"/>
  <c r="S45" i="82"/>
  <c r="R45" i="82"/>
  <c r="Q45" i="82"/>
  <c r="P45" i="82"/>
  <c r="O45" i="82"/>
  <c r="N45" i="82"/>
  <c r="A45" i="82"/>
  <c r="V44" i="82"/>
  <c r="U44" i="82"/>
  <c r="T44" i="82"/>
  <c r="S44" i="82"/>
  <c r="R44" i="82"/>
  <c r="Q44" i="82"/>
  <c r="P44" i="82"/>
  <c r="O44" i="82"/>
  <c r="N44" i="82"/>
  <c r="A44" i="82"/>
  <c r="V43" i="82"/>
  <c r="U43" i="82"/>
  <c r="T43" i="82"/>
  <c r="S43" i="82"/>
  <c r="R43" i="82"/>
  <c r="Q43" i="82"/>
  <c r="P43" i="82"/>
  <c r="O43" i="82"/>
  <c r="N43" i="82"/>
  <c r="L43" i="82"/>
  <c r="K43" i="82"/>
  <c r="J43" i="82"/>
  <c r="I43" i="82"/>
  <c r="H43" i="82"/>
  <c r="G43" i="82"/>
  <c r="F43" i="82"/>
  <c r="E43" i="82"/>
  <c r="D43" i="82"/>
  <c r="C43" i="82"/>
  <c r="A43" i="82"/>
  <c r="V42" i="82"/>
  <c r="U42" i="82"/>
  <c r="T42" i="82"/>
  <c r="S42" i="82"/>
  <c r="R42" i="82"/>
  <c r="Q42" i="82"/>
  <c r="P42" i="82"/>
  <c r="O42" i="82"/>
  <c r="N42" i="82"/>
  <c r="L42" i="82"/>
  <c r="K42" i="82"/>
  <c r="J42" i="82"/>
  <c r="I42" i="82"/>
  <c r="H42" i="82"/>
  <c r="G42" i="82"/>
  <c r="F42" i="82"/>
  <c r="E42" i="82"/>
  <c r="D42" i="82"/>
  <c r="C42" i="82"/>
  <c r="A42" i="82"/>
  <c r="V41" i="82"/>
  <c r="U41" i="82"/>
  <c r="T41" i="82"/>
  <c r="S41" i="82"/>
  <c r="R41" i="82"/>
  <c r="Q41" i="82"/>
  <c r="P41" i="82"/>
  <c r="O41" i="82"/>
  <c r="N41" i="82"/>
  <c r="L41" i="82"/>
  <c r="K41" i="82"/>
  <c r="J41" i="82"/>
  <c r="I41" i="82"/>
  <c r="H41" i="82"/>
  <c r="G41" i="82"/>
  <c r="F41" i="82"/>
  <c r="E41" i="82"/>
  <c r="D41" i="82"/>
  <c r="C41" i="82"/>
  <c r="A41" i="82"/>
  <c r="V40" i="82"/>
  <c r="U40" i="82"/>
  <c r="T40" i="82"/>
  <c r="S40" i="82"/>
  <c r="R40" i="82"/>
  <c r="Q40" i="82"/>
  <c r="P40" i="82"/>
  <c r="O40" i="82"/>
  <c r="N40" i="82"/>
  <c r="A40" i="82"/>
  <c r="V39" i="82"/>
  <c r="U39" i="82"/>
  <c r="T39" i="82"/>
  <c r="S39" i="82"/>
  <c r="R39" i="82"/>
  <c r="Q39" i="82"/>
  <c r="P39" i="82"/>
  <c r="O39" i="82"/>
  <c r="N39" i="82"/>
  <c r="L39" i="82"/>
  <c r="K39" i="82"/>
  <c r="J39" i="82"/>
  <c r="I39" i="82"/>
  <c r="H39" i="82"/>
  <c r="G39" i="82"/>
  <c r="F39" i="82"/>
  <c r="E39" i="82"/>
  <c r="D39" i="82"/>
  <c r="A39" i="82"/>
  <c r="V38" i="82"/>
  <c r="U38" i="82"/>
  <c r="T38" i="82"/>
  <c r="S38" i="82"/>
  <c r="R38" i="82"/>
  <c r="Q38" i="82"/>
  <c r="P38" i="82"/>
  <c r="O38" i="82"/>
  <c r="N38" i="82"/>
  <c r="A38" i="82"/>
  <c r="V37" i="82"/>
  <c r="U37" i="82"/>
  <c r="T37" i="82"/>
  <c r="S37" i="82"/>
  <c r="R37" i="82"/>
  <c r="Q37" i="82"/>
  <c r="P37" i="82"/>
  <c r="O37" i="82"/>
  <c r="N37" i="82"/>
  <c r="L37" i="82"/>
  <c r="K37" i="82"/>
  <c r="J37" i="82"/>
  <c r="I37" i="82"/>
  <c r="H37" i="82"/>
  <c r="G37" i="82"/>
  <c r="F37" i="82"/>
  <c r="E37" i="82"/>
  <c r="D37" i="82"/>
  <c r="C37" i="82"/>
  <c r="A37" i="82"/>
  <c r="V36" i="82"/>
  <c r="U36" i="82"/>
  <c r="T36" i="82"/>
  <c r="S36" i="82"/>
  <c r="R36" i="82"/>
  <c r="Q36" i="82"/>
  <c r="P36" i="82"/>
  <c r="O36" i="82"/>
  <c r="N36" i="82"/>
  <c r="C36" i="82"/>
  <c r="A36" i="82"/>
  <c r="V35" i="82"/>
  <c r="U35" i="82"/>
  <c r="T35" i="82"/>
  <c r="S35" i="82"/>
  <c r="R35" i="82"/>
  <c r="Q35" i="82"/>
  <c r="P35" i="82"/>
  <c r="O35" i="82"/>
  <c r="N35" i="82"/>
  <c r="A35" i="82"/>
  <c r="V34" i="82"/>
  <c r="U34" i="82"/>
  <c r="T34" i="82"/>
  <c r="S34" i="82"/>
  <c r="R34" i="82"/>
  <c r="Q34" i="82"/>
  <c r="P34" i="82"/>
  <c r="O34" i="82"/>
  <c r="N34" i="82"/>
  <c r="L34" i="82"/>
  <c r="K34" i="82"/>
  <c r="J34" i="82"/>
  <c r="I34" i="82"/>
  <c r="H34" i="82"/>
  <c r="G34" i="82"/>
  <c r="F34" i="82"/>
  <c r="E34" i="82"/>
  <c r="D34" i="82"/>
  <c r="C34" i="82"/>
  <c r="A34" i="82"/>
  <c r="V33" i="82"/>
  <c r="U33" i="82"/>
  <c r="T33" i="82"/>
  <c r="S33" i="82"/>
  <c r="R33" i="82"/>
  <c r="Q33" i="82"/>
  <c r="P33" i="82"/>
  <c r="O33" i="82"/>
  <c r="N33" i="82"/>
  <c r="L33" i="82"/>
  <c r="K33" i="82"/>
  <c r="J33" i="82"/>
  <c r="I33" i="82"/>
  <c r="H33" i="82"/>
  <c r="G33" i="82"/>
  <c r="F33" i="82"/>
  <c r="E33" i="82"/>
  <c r="D33" i="82"/>
  <c r="T32" i="82"/>
  <c r="S32" i="82"/>
  <c r="V31" i="82"/>
  <c r="U31" i="82"/>
  <c r="T31" i="82"/>
  <c r="S31" i="82"/>
  <c r="R31" i="82"/>
  <c r="Q31" i="82"/>
  <c r="P31" i="82"/>
  <c r="O31" i="82"/>
  <c r="N31" i="82"/>
  <c r="M31" i="82"/>
  <c r="J20" i="82"/>
  <c r="I20" i="82"/>
  <c r="H20" i="82"/>
  <c r="G20" i="82"/>
  <c r="J19" i="82"/>
  <c r="I19" i="82"/>
  <c r="H19" i="82"/>
  <c r="G19" i="82"/>
  <c r="J18" i="82"/>
  <c r="I18" i="82"/>
  <c r="H18" i="82"/>
  <c r="G18" i="82"/>
  <c r="J17" i="82"/>
  <c r="I17" i="82"/>
  <c r="H17" i="82"/>
  <c r="G17" i="82"/>
  <c r="J16" i="82"/>
  <c r="I16" i="82"/>
  <c r="H16" i="82"/>
  <c r="G16" i="82"/>
  <c r="J15" i="82"/>
  <c r="I15" i="82"/>
  <c r="H15" i="82"/>
  <c r="G15" i="82"/>
  <c r="J14" i="82"/>
  <c r="I14" i="82"/>
  <c r="H14" i="82"/>
  <c r="G14" i="82"/>
  <c r="J13" i="82"/>
  <c r="I13" i="82"/>
  <c r="H13" i="82"/>
  <c r="G13" i="82"/>
  <c r="J12" i="82"/>
  <c r="I12" i="82"/>
  <c r="H12" i="82"/>
  <c r="G12" i="82"/>
  <c r="J11" i="82"/>
  <c r="H11" i="82"/>
  <c r="G11" i="82"/>
  <c r="E7" i="82"/>
  <c r="B7" i="82"/>
  <c r="I11" i="82" s="1"/>
  <c r="C33" i="82" s="1"/>
  <c r="V103" i="102"/>
  <c r="U103" i="102"/>
  <c r="T103" i="102"/>
  <c r="S103" i="102"/>
  <c r="R103" i="102"/>
  <c r="Q103" i="102"/>
  <c r="P103" i="102"/>
  <c r="O103" i="102"/>
  <c r="A103" i="102"/>
  <c r="V102" i="102"/>
  <c r="U102" i="102"/>
  <c r="T102" i="102"/>
  <c r="S102" i="102"/>
  <c r="R102" i="102"/>
  <c r="Q102" i="102"/>
  <c r="P102" i="102"/>
  <c r="O102" i="102"/>
  <c r="A102" i="102"/>
  <c r="V101" i="102"/>
  <c r="U101" i="102"/>
  <c r="T101" i="102"/>
  <c r="S101" i="102"/>
  <c r="R101" i="102"/>
  <c r="Q101" i="102"/>
  <c r="P101" i="102"/>
  <c r="O101" i="102"/>
  <c r="A101" i="102"/>
  <c r="V100" i="102"/>
  <c r="U100" i="102"/>
  <c r="T100" i="102"/>
  <c r="S100" i="102"/>
  <c r="R100" i="102"/>
  <c r="Q100" i="102"/>
  <c r="P100" i="102"/>
  <c r="O100" i="102"/>
  <c r="A100" i="102"/>
  <c r="V99" i="102"/>
  <c r="U99" i="102"/>
  <c r="T99" i="102"/>
  <c r="S99" i="102"/>
  <c r="R99" i="102"/>
  <c r="Q99" i="102"/>
  <c r="P99" i="102"/>
  <c r="O99" i="102"/>
  <c r="A99" i="102"/>
  <c r="V98" i="102"/>
  <c r="U98" i="102"/>
  <c r="T98" i="102"/>
  <c r="S98" i="102"/>
  <c r="R98" i="102"/>
  <c r="Q98" i="102"/>
  <c r="P98" i="102"/>
  <c r="O98" i="102"/>
  <c r="A98" i="102"/>
  <c r="V97" i="102"/>
  <c r="U97" i="102"/>
  <c r="T97" i="102"/>
  <c r="S97" i="102"/>
  <c r="R97" i="102"/>
  <c r="Q97" i="102"/>
  <c r="P97" i="102"/>
  <c r="O97" i="102"/>
  <c r="A97" i="102"/>
  <c r="V96" i="102"/>
  <c r="U96" i="102"/>
  <c r="T96" i="102"/>
  <c r="S96" i="102"/>
  <c r="R96" i="102"/>
  <c r="Q96" i="102"/>
  <c r="P96" i="102"/>
  <c r="O96" i="102"/>
  <c r="A96" i="102"/>
  <c r="V95" i="102"/>
  <c r="U95" i="102"/>
  <c r="T95" i="102"/>
  <c r="S95" i="102"/>
  <c r="R95" i="102"/>
  <c r="Q95" i="102"/>
  <c r="P95" i="102"/>
  <c r="O95" i="102"/>
  <c r="A95" i="102"/>
  <c r="V94" i="102"/>
  <c r="U94" i="102"/>
  <c r="T94" i="102"/>
  <c r="S94" i="102"/>
  <c r="R94" i="102"/>
  <c r="Q94" i="102"/>
  <c r="P94" i="102"/>
  <c r="O94" i="102"/>
  <c r="A94" i="102"/>
  <c r="V93" i="102"/>
  <c r="U93" i="102"/>
  <c r="T93" i="102"/>
  <c r="S93" i="102"/>
  <c r="R93" i="102"/>
  <c r="Q93" i="102"/>
  <c r="P93" i="102"/>
  <c r="O93" i="102"/>
  <c r="A93" i="102"/>
  <c r="V92" i="102"/>
  <c r="U92" i="102"/>
  <c r="T92" i="102"/>
  <c r="S92" i="102"/>
  <c r="R92" i="102"/>
  <c r="Q92" i="102"/>
  <c r="P92" i="102"/>
  <c r="O92" i="102"/>
  <c r="A92" i="102"/>
  <c r="V91" i="102"/>
  <c r="U91" i="102"/>
  <c r="T91" i="102"/>
  <c r="S91" i="102"/>
  <c r="R91" i="102"/>
  <c r="Q91" i="102"/>
  <c r="P91" i="102"/>
  <c r="O91" i="102"/>
  <c r="A91" i="102"/>
  <c r="V90" i="102"/>
  <c r="U90" i="102"/>
  <c r="T90" i="102"/>
  <c r="S90" i="102"/>
  <c r="R90" i="102"/>
  <c r="Q90" i="102"/>
  <c r="P90" i="102"/>
  <c r="O90" i="102"/>
  <c r="A90" i="102"/>
  <c r="V89" i="102"/>
  <c r="U89" i="102"/>
  <c r="T89" i="102"/>
  <c r="S89" i="102"/>
  <c r="R89" i="102"/>
  <c r="Q89" i="102"/>
  <c r="P89" i="102"/>
  <c r="O89" i="102"/>
  <c r="A89" i="102"/>
  <c r="V88" i="102"/>
  <c r="U88" i="102"/>
  <c r="T88" i="102"/>
  <c r="S88" i="102"/>
  <c r="R88" i="102"/>
  <c r="Q88" i="102"/>
  <c r="P88" i="102"/>
  <c r="O88" i="102"/>
  <c r="A88" i="102"/>
  <c r="V87" i="102"/>
  <c r="U87" i="102"/>
  <c r="T87" i="102"/>
  <c r="S87" i="102"/>
  <c r="R87" i="102"/>
  <c r="Q87" i="102"/>
  <c r="P87" i="102"/>
  <c r="O87" i="102"/>
  <c r="A87" i="102"/>
  <c r="V86" i="102"/>
  <c r="U86" i="102"/>
  <c r="T86" i="102"/>
  <c r="S86" i="102"/>
  <c r="R86" i="102"/>
  <c r="Q86" i="102"/>
  <c r="P86" i="102"/>
  <c r="O86" i="102"/>
  <c r="A86" i="102"/>
  <c r="V85" i="102"/>
  <c r="U85" i="102"/>
  <c r="T85" i="102"/>
  <c r="S85" i="102"/>
  <c r="R85" i="102"/>
  <c r="Q85" i="102"/>
  <c r="P85" i="102"/>
  <c r="O85" i="102"/>
  <c r="A85" i="102"/>
  <c r="V84" i="102"/>
  <c r="U84" i="102"/>
  <c r="T84" i="102"/>
  <c r="S84" i="102"/>
  <c r="R84" i="102"/>
  <c r="Q84" i="102"/>
  <c r="P84" i="102"/>
  <c r="O84" i="102"/>
  <c r="A84" i="102"/>
  <c r="V83" i="102"/>
  <c r="U83" i="102"/>
  <c r="T83" i="102"/>
  <c r="S83" i="102"/>
  <c r="R83" i="102"/>
  <c r="Q83" i="102"/>
  <c r="P83" i="102"/>
  <c r="O83" i="102"/>
  <c r="A83" i="102"/>
  <c r="V82" i="102"/>
  <c r="U82" i="102"/>
  <c r="T82" i="102"/>
  <c r="S82" i="102"/>
  <c r="R82" i="102"/>
  <c r="Q82" i="102"/>
  <c r="P82" i="102"/>
  <c r="O82" i="102"/>
  <c r="L82" i="102"/>
  <c r="K82" i="102"/>
  <c r="J82" i="102"/>
  <c r="I82" i="102"/>
  <c r="H82" i="102"/>
  <c r="G82" i="102"/>
  <c r="F82" i="102"/>
  <c r="A82" i="102"/>
  <c r="V81" i="102"/>
  <c r="U81" i="102"/>
  <c r="T81" i="102"/>
  <c r="S81" i="102"/>
  <c r="R81" i="102"/>
  <c r="Q81" i="102"/>
  <c r="P81" i="102"/>
  <c r="O81" i="102"/>
  <c r="A81" i="102"/>
  <c r="V80" i="102"/>
  <c r="U80" i="102"/>
  <c r="T80" i="102"/>
  <c r="S80" i="102"/>
  <c r="R80" i="102"/>
  <c r="Q80" i="102"/>
  <c r="P80" i="102"/>
  <c r="O80" i="102"/>
  <c r="A80" i="102"/>
  <c r="V79" i="102"/>
  <c r="U79" i="102"/>
  <c r="T79" i="102"/>
  <c r="S79" i="102"/>
  <c r="R79" i="102"/>
  <c r="Q79" i="102"/>
  <c r="P79" i="102"/>
  <c r="O79" i="102"/>
  <c r="A79" i="102"/>
  <c r="V78" i="102"/>
  <c r="U78" i="102"/>
  <c r="T78" i="102"/>
  <c r="S78" i="102"/>
  <c r="R78" i="102"/>
  <c r="Q78" i="102"/>
  <c r="P78" i="102"/>
  <c r="O78" i="102"/>
  <c r="A78" i="102"/>
  <c r="V77" i="102"/>
  <c r="U77" i="102"/>
  <c r="T77" i="102"/>
  <c r="S77" i="102"/>
  <c r="R77" i="102"/>
  <c r="Q77" i="102"/>
  <c r="P77" i="102"/>
  <c r="O77" i="102"/>
  <c r="A77" i="102"/>
  <c r="V76" i="102"/>
  <c r="U76" i="102"/>
  <c r="T76" i="102"/>
  <c r="S76" i="102"/>
  <c r="R76" i="102"/>
  <c r="Q76" i="102"/>
  <c r="P76" i="102"/>
  <c r="O76" i="102"/>
  <c r="A76" i="102"/>
  <c r="V75" i="102"/>
  <c r="U75" i="102"/>
  <c r="T75" i="102"/>
  <c r="S75" i="102"/>
  <c r="R75" i="102"/>
  <c r="Q75" i="102"/>
  <c r="P75" i="102"/>
  <c r="O75" i="102"/>
  <c r="A75" i="102"/>
  <c r="V74" i="102"/>
  <c r="U74" i="102"/>
  <c r="T74" i="102"/>
  <c r="S74" i="102"/>
  <c r="R74" i="102"/>
  <c r="Q74" i="102"/>
  <c r="P74" i="102"/>
  <c r="O74" i="102"/>
  <c r="A74" i="102"/>
  <c r="V73" i="102"/>
  <c r="U73" i="102"/>
  <c r="T73" i="102"/>
  <c r="S73" i="102"/>
  <c r="R73" i="102"/>
  <c r="Q73" i="102"/>
  <c r="P73" i="102"/>
  <c r="O73" i="102"/>
  <c r="A73" i="102"/>
  <c r="V72" i="102"/>
  <c r="U72" i="102"/>
  <c r="T72" i="102"/>
  <c r="S72" i="102"/>
  <c r="R72" i="102"/>
  <c r="Q72" i="102"/>
  <c r="P72" i="102"/>
  <c r="O72" i="102"/>
  <c r="A72" i="102"/>
  <c r="V71" i="102"/>
  <c r="U71" i="102"/>
  <c r="T71" i="102"/>
  <c r="S71" i="102"/>
  <c r="R71" i="102"/>
  <c r="Q71" i="102"/>
  <c r="P71" i="102"/>
  <c r="O71" i="102"/>
  <c r="L71" i="102"/>
  <c r="K71" i="102"/>
  <c r="J71" i="102"/>
  <c r="I71" i="102"/>
  <c r="H71" i="102"/>
  <c r="G71" i="102"/>
  <c r="F71" i="102"/>
  <c r="E71" i="102"/>
  <c r="D71" i="102"/>
  <c r="C71" i="102"/>
  <c r="A71" i="102"/>
  <c r="V70" i="102"/>
  <c r="U70" i="102"/>
  <c r="T70" i="102"/>
  <c r="S70" i="102"/>
  <c r="R70" i="102"/>
  <c r="Q70" i="102"/>
  <c r="P70" i="102"/>
  <c r="O70" i="102"/>
  <c r="A70" i="102"/>
  <c r="L69" i="102"/>
  <c r="K69" i="102"/>
  <c r="J69" i="102"/>
  <c r="I69" i="102"/>
  <c r="H69" i="102"/>
  <c r="G69" i="102"/>
  <c r="F69" i="102"/>
  <c r="E69" i="102"/>
  <c r="D69" i="102"/>
  <c r="C69" i="102"/>
  <c r="A69" i="102"/>
  <c r="V68" i="102"/>
  <c r="U68" i="102"/>
  <c r="T68" i="102"/>
  <c r="S68" i="102"/>
  <c r="R68" i="102"/>
  <c r="Q68" i="102"/>
  <c r="P68" i="102"/>
  <c r="O68" i="102"/>
  <c r="C68" i="102"/>
  <c r="A68" i="102"/>
  <c r="V67" i="102"/>
  <c r="U67" i="102"/>
  <c r="T67" i="102"/>
  <c r="S67" i="102"/>
  <c r="R67" i="102"/>
  <c r="Q67" i="102"/>
  <c r="P67" i="102"/>
  <c r="O67" i="102"/>
  <c r="A67" i="102"/>
  <c r="V66" i="102"/>
  <c r="U66" i="102"/>
  <c r="T66" i="102"/>
  <c r="S66" i="102"/>
  <c r="R66" i="102"/>
  <c r="Q66" i="102"/>
  <c r="P66" i="102"/>
  <c r="O66" i="102"/>
  <c r="A66" i="102"/>
  <c r="C65" i="102"/>
  <c r="A65" i="102"/>
  <c r="V64" i="102"/>
  <c r="U64" i="102"/>
  <c r="T64" i="102"/>
  <c r="S64" i="102"/>
  <c r="R64" i="102"/>
  <c r="Q64" i="102"/>
  <c r="P64" i="102"/>
  <c r="O64" i="102"/>
  <c r="C64" i="102"/>
  <c r="A64" i="102"/>
  <c r="V63" i="102"/>
  <c r="U63" i="102"/>
  <c r="T63" i="102"/>
  <c r="S63" i="102"/>
  <c r="R63" i="102"/>
  <c r="Q63" i="102"/>
  <c r="P63" i="102"/>
  <c r="O63" i="102"/>
  <c r="A63" i="102"/>
  <c r="V62" i="102"/>
  <c r="U62" i="102"/>
  <c r="T62" i="102"/>
  <c r="S62" i="102"/>
  <c r="R62" i="102"/>
  <c r="Q62" i="102"/>
  <c r="P62" i="102"/>
  <c r="O62" i="102"/>
  <c r="A62" i="102"/>
  <c r="V61" i="102"/>
  <c r="U61" i="102"/>
  <c r="T61" i="102"/>
  <c r="S61" i="102"/>
  <c r="R61" i="102"/>
  <c r="Q61" i="102"/>
  <c r="P61" i="102"/>
  <c r="O61" i="102"/>
  <c r="A61" i="102"/>
  <c r="V60" i="102"/>
  <c r="U60" i="102"/>
  <c r="T60" i="102"/>
  <c r="S60" i="102"/>
  <c r="R60" i="102"/>
  <c r="Q60" i="102"/>
  <c r="P60" i="102"/>
  <c r="O60" i="102"/>
  <c r="A60" i="102"/>
  <c r="V59" i="102"/>
  <c r="U59" i="102"/>
  <c r="T59" i="102"/>
  <c r="S59" i="102"/>
  <c r="R59" i="102"/>
  <c r="Q59" i="102"/>
  <c r="P59" i="102"/>
  <c r="O59" i="102"/>
  <c r="A59" i="102"/>
  <c r="V58" i="102"/>
  <c r="U58" i="102"/>
  <c r="T58" i="102"/>
  <c r="S58" i="102"/>
  <c r="R58" i="102"/>
  <c r="Q58" i="102"/>
  <c r="P58" i="102"/>
  <c r="O58" i="102"/>
  <c r="D58" i="102"/>
  <c r="C58" i="102"/>
  <c r="A58" i="102"/>
  <c r="V57" i="102"/>
  <c r="U57" i="102"/>
  <c r="T57" i="102"/>
  <c r="S57" i="102"/>
  <c r="R57" i="102"/>
  <c r="Q57" i="102"/>
  <c r="P57" i="102"/>
  <c r="O57" i="102"/>
  <c r="D57" i="102"/>
  <c r="C57" i="102"/>
  <c r="A57" i="102"/>
  <c r="V56" i="102"/>
  <c r="U56" i="102"/>
  <c r="T56" i="102"/>
  <c r="S56" i="102"/>
  <c r="R56" i="102"/>
  <c r="Q56" i="102"/>
  <c r="P56" i="102"/>
  <c r="O56" i="102"/>
  <c r="A56" i="102"/>
  <c r="V55" i="102"/>
  <c r="U55" i="102"/>
  <c r="T55" i="102"/>
  <c r="S55" i="102"/>
  <c r="R55" i="102"/>
  <c r="Q55" i="102"/>
  <c r="P55" i="102"/>
  <c r="O55" i="102"/>
  <c r="A55" i="102"/>
  <c r="V54" i="102"/>
  <c r="U54" i="102"/>
  <c r="T54" i="102"/>
  <c r="S54" i="102"/>
  <c r="R54" i="102"/>
  <c r="Q54" i="102"/>
  <c r="P54" i="102"/>
  <c r="O54" i="102"/>
  <c r="D54" i="102"/>
  <c r="C54" i="102"/>
  <c r="A54" i="102"/>
  <c r="V53" i="102"/>
  <c r="U53" i="102"/>
  <c r="T53" i="102"/>
  <c r="S53" i="102"/>
  <c r="R53" i="102"/>
  <c r="Q53" i="102"/>
  <c r="P53" i="102"/>
  <c r="O53" i="102"/>
  <c r="L53" i="102"/>
  <c r="K53" i="102"/>
  <c r="J53" i="102"/>
  <c r="I53" i="102"/>
  <c r="H53" i="102"/>
  <c r="G53" i="102"/>
  <c r="F53" i="102"/>
  <c r="E53" i="102"/>
  <c r="D53" i="102"/>
  <c r="C53" i="102"/>
  <c r="A53" i="102"/>
  <c r="V52" i="102"/>
  <c r="U52" i="102"/>
  <c r="T52" i="102"/>
  <c r="S52" i="102"/>
  <c r="R52" i="102"/>
  <c r="Q52" i="102"/>
  <c r="P52" i="102"/>
  <c r="O52" i="102"/>
  <c r="L52" i="102"/>
  <c r="K52" i="102"/>
  <c r="J52" i="102"/>
  <c r="I52" i="102"/>
  <c r="H52" i="102"/>
  <c r="G52" i="102"/>
  <c r="F52" i="102"/>
  <c r="E52" i="102"/>
  <c r="D52" i="102"/>
  <c r="C52" i="102"/>
  <c r="A52" i="102"/>
  <c r="V51" i="102"/>
  <c r="U51" i="102"/>
  <c r="T51" i="102"/>
  <c r="S51" i="102"/>
  <c r="R51" i="102"/>
  <c r="Q51" i="102"/>
  <c r="P51" i="102"/>
  <c r="O51" i="102"/>
  <c r="A51" i="102"/>
  <c r="V50" i="102"/>
  <c r="U50" i="102"/>
  <c r="T50" i="102"/>
  <c r="S50" i="102"/>
  <c r="R50" i="102"/>
  <c r="Q50" i="102"/>
  <c r="P50" i="102"/>
  <c r="O50" i="102"/>
  <c r="A50" i="102"/>
  <c r="V49" i="102"/>
  <c r="U49" i="102"/>
  <c r="T49" i="102"/>
  <c r="S49" i="102"/>
  <c r="R49" i="102"/>
  <c r="Q49" i="102"/>
  <c r="P49" i="102"/>
  <c r="O49" i="102"/>
  <c r="A49" i="102"/>
  <c r="V48" i="102"/>
  <c r="U48" i="102"/>
  <c r="T48" i="102"/>
  <c r="S48" i="102"/>
  <c r="R48" i="102"/>
  <c r="Q48" i="102"/>
  <c r="P48" i="102"/>
  <c r="O48" i="102"/>
  <c r="A48" i="102"/>
  <c r="V47" i="102"/>
  <c r="U47" i="102"/>
  <c r="T47" i="102"/>
  <c r="S47" i="102"/>
  <c r="R47" i="102"/>
  <c r="Q47" i="102"/>
  <c r="P47" i="102"/>
  <c r="O47" i="102"/>
  <c r="A47" i="102"/>
  <c r="V46" i="102"/>
  <c r="U46" i="102"/>
  <c r="T46" i="102"/>
  <c r="S46" i="102"/>
  <c r="R46" i="102"/>
  <c r="Q46" i="102"/>
  <c r="P46" i="102"/>
  <c r="O46" i="102"/>
  <c r="A46" i="102"/>
  <c r="V45" i="102"/>
  <c r="U45" i="102"/>
  <c r="T45" i="102"/>
  <c r="S45" i="102"/>
  <c r="R45" i="102"/>
  <c r="Q45" i="102"/>
  <c r="P45" i="102"/>
  <c r="O45" i="102"/>
  <c r="A45" i="102"/>
  <c r="V44" i="102"/>
  <c r="U44" i="102"/>
  <c r="T44" i="102"/>
  <c r="S44" i="102"/>
  <c r="R44" i="102"/>
  <c r="Q44" i="102"/>
  <c r="P44" i="102"/>
  <c r="O44" i="102"/>
  <c r="A44" i="102"/>
  <c r="V43" i="102"/>
  <c r="U43" i="102"/>
  <c r="T43" i="102"/>
  <c r="S43" i="102"/>
  <c r="R43" i="102"/>
  <c r="Q43" i="102"/>
  <c r="P43" i="102"/>
  <c r="O43" i="102"/>
  <c r="L43" i="102"/>
  <c r="K43" i="102"/>
  <c r="J43" i="102"/>
  <c r="I43" i="102"/>
  <c r="H43" i="102"/>
  <c r="G43" i="102"/>
  <c r="F43" i="102"/>
  <c r="E43" i="102"/>
  <c r="D43" i="102"/>
  <c r="C43" i="102"/>
  <c r="A43" i="102"/>
  <c r="V42" i="102"/>
  <c r="U42" i="102"/>
  <c r="T42" i="102"/>
  <c r="S42" i="102"/>
  <c r="R42" i="102"/>
  <c r="Q42" i="102"/>
  <c r="P42" i="102"/>
  <c r="O42" i="102"/>
  <c r="L42" i="102"/>
  <c r="K42" i="102"/>
  <c r="J42" i="102"/>
  <c r="I42" i="102"/>
  <c r="H42" i="102"/>
  <c r="G42" i="102"/>
  <c r="F42" i="102"/>
  <c r="E42" i="102"/>
  <c r="D42" i="102"/>
  <c r="C42" i="102"/>
  <c r="A42" i="102"/>
  <c r="V41" i="102"/>
  <c r="U41" i="102"/>
  <c r="T41" i="102"/>
  <c r="S41" i="102"/>
  <c r="R41" i="102"/>
  <c r="Q41" i="102"/>
  <c r="P41" i="102"/>
  <c r="O41" i="102"/>
  <c r="L41" i="102"/>
  <c r="K41" i="102"/>
  <c r="J41" i="102"/>
  <c r="I41" i="102"/>
  <c r="H41" i="102"/>
  <c r="G41" i="102"/>
  <c r="F41" i="102"/>
  <c r="E41" i="102"/>
  <c r="D41" i="102"/>
  <c r="C41" i="102"/>
  <c r="A41" i="102"/>
  <c r="V40" i="102"/>
  <c r="U40" i="102"/>
  <c r="T40" i="102"/>
  <c r="S40" i="102"/>
  <c r="R40" i="102"/>
  <c r="Q40" i="102"/>
  <c r="P40" i="102"/>
  <c r="O40" i="102"/>
  <c r="A40" i="102"/>
  <c r="V39" i="102"/>
  <c r="U39" i="102"/>
  <c r="T39" i="102"/>
  <c r="S39" i="102"/>
  <c r="R39" i="102"/>
  <c r="Q39" i="102"/>
  <c r="P39" i="102"/>
  <c r="O39" i="102"/>
  <c r="L39" i="102"/>
  <c r="K39" i="102"/>
  <c r="J39" i="102"/>
  <c r="I39" i="102"/>
  <c r="H39" i="102"/>
  <c r="G39" i="102"/>
  <c r="F39" i="102"/>
  <c r="E39" i="102"/>
  <c r="D39" i="102"/>
  <c r="A39" i="102"/>
  <c r="V38" i="102"/>
  <c r="U38" i="102"/>
  <c r="T38" i="102"/>
  <c r="S38" i="102"/>
  <c r="R38" i="102"/>
  <c r="Q38" i="102"/>
  <c r="P38" i="102"/>
  <c r="O38" i="102"/>
  <c r="A38" i="102"/>
  <c r="V37" i="102"/>
  <c r="U37" i="102"/>
  <c r="T37" i="102"/>
  <c r="S37" i="102"/>
  <c r="R37" i="102"/>
  <c r="Q37" i="102"/>
  <c r="P37" i="102"/>
  <c r="O37" i="102"/>
  <c r="L37" i="102"/>
  <c r="K37" i="102"/>
  <c r="J37" i="102"/>
  <c r="I37" i="102"/>
  <c r="H37" i="102"/>
  <c r="G37" i="102"/>
  <c r="F37" i="102"/>
  <c r="E37" i="102"/>
  <c r="D37" i="102"/>
  <c r="C37" i="102"/>
  <c r="A37" i="102"/>
  <c r="V36" i="102"/>
  <c r="U36" i="102"/>
  <c r="T36" i="102"/>
  <c r="S36" i="102"/>
  <c r="R36" i="102"/>
  <c r="Q36" i="102"/>
  <c r="P36" i="102"/>
  <c r="O36" i="102"/>
  <c r="D36" i="102"/>
  <c r="C36" i="102"/>
  <c r="A36" i="102"/>
  <c r="V35" i="102"/>
  <c r="U35" i="102"/>
  <c r="T35" i="102"/>
  <c r="S35" i="102"/>
  <c r="R35" i="102"/>
  <c r="Q35" i="102"/>
  <c r="P35" i="102"/>
  <c r="O35" i="102"/>
  <c r="A35" i="102"/>
  <c r="V34" i="102"/>
  <c r="U34" i="102"/>
  <c r="T34" i="102"/>
  <c r="S34" i="102"/>
  <c r="R34" i="102"/>
  <c r="Q34" i="102"/>
  <c r="P34" i="102"/>
  <c r="O34" i="102"/>
  <c r="L34" i="102"/>
  <c r="K34" i="102"/>
  <c r="J34" i="102"/>
  <c r="I34" i="102"/>
  <c r="H34" i="102"/>
  <c r="G34" i="102"/>
  <c r="F34" i="102"/>
  <c r="E34" i="102"/>
  <c r="D34" i="102"/>
  <c r="C34" i="102"/>
  <c r="A34" i="102"/>
  <c r="V33" i="102"/>
  <c r="U33" i="102"/>
  <c r="T33" i="102"/>
  <c r="S33" i="102"/>
  <c r="R33" i="102"/>
  <c r="Q33" i="102"/>
  <c r="P33" i="102"/>
  <c r="O33" i="102"/>
  <c r="L33" i="102"/>
  <c r="K33" i="102"/>
  <c r="J33" i="102"/>
  <c r="I33" i="102"/>
  <c r="H33" i="102"/>
  <c r="G33" i="102"/>
  <c r="F33" i="102"/>
  <c r="E33" i="102"/>
  <c r="T32" i="102"/>
  <c r="S32" i="102"/>
  <c r="V31" i="102"/>
  <c r="U31" i="102"/>
  <c r="T31" i="102"/>
  <c r="S31" i="102"/>
  <c r="R31" i="102"/>
  <c r="Q31" i="102"/>
  <c r="P31" i="102"/>
  <c r="O31" i="102"/>
  <c r="N31" i="102"/>
  <c r="M31" i="102"/>
  <c r="J20" i="102"/>
  <c r="I20" i="102"/>
  <c r="H20" i="102"/>
  <c r="G20" i="102"/>
  <c r="J19" i="102"/>
  <c r="I19" i="102"/>
  <c r="H19" i="102"/>
  <c r="G19" i="102"/>
  <c r="J18" i="102"/>
  <c r="I18" i="102"/>
  <c r="H18" i="102"/>
  <c r="G18" i="102"/>
  <c r="J17" i="102"/>
  <c r="I17" i="102"/>
  <c r="H17" i="102"/>
  <c r="G17" i="102"/>
  <c r="J16" i="102"/>
  <c r="I16" i="102"/>
  <c r="H16" i="102"/>
  <c r="G16" i="102"/>
  <c r="J15" i="102"/>
  <c r="I15" i="102"/>
  <c r="H15" i="102"/>
  <c r="G15" i="102"/>
  <c r="J14" i="102"/>
  <c r="I14" i="102"/>
  <c r="H14" i="102"/>
  <c r="G14" i="102"/>
  <c r="J13" i="102"/>
  <c r="I13" i="102"/>
  <c r="H13" i="102"/>
  <c r="G13" i="102"/>
  <c r="J12" i="102"/>
  <c r="H12" i="102"/>
  <c r="G12" i="102"/>
  <c r="J11" i="102"/>
  <c r="H11" i="102"/>
  <c r="G11" i="102"/>
  <c r="E7" i="102"/>
  <c r="B7" i="102"/>
  <c r="I11" i="102" s="1"/>
  <c r="C33" i="102" s="1"/>
  <c r="G134" i="45"/>
  <c r="F134" i="45"/>
  <c r="E134" i="45"/>
  <c r="D134" i="45"/>
  <c r="C134" i="45"/>
  <c r="H133" i="45"/>
  <c r="G133" i="45"/>
  <c r="E133" i="45"/>
  <c r="C133" i="45"/>
  <c r="H132" i="45"/>
  <c r="G132" i="45"/>
  <c r="E132" i="45"/>
  <c r="C132" i="45"/>
  <c r="H131" i="45"/>
  <c r="G131" i="45"/>
  <c r="E131" i="45"/>
  <c r="C131" i="45"/>
  <c r="H130" i="45"/>
  <c r="G130" i="45"/>
  <c r="E130" i="45"/>
  <c r="C130" i="45"/>
  <c r="H129" i="45"/>
  <c r="G129" i="45"/>
  <c r="E129" i="45"/>
  <c r="C129" i="45"/>
  <c r="H128" i="45"/>
  <c r="G128" i="45"/>
  <c r="E128" i="45"/>
  <c r="C128" i="45"/>
  <c r="H127" i="45"/>
  <c r="G127" i="45"/>
  <c r="E127" i="45"/>
  <c r="C127" i="45"/>
  <c r="V103" i="45"/>
  <c r="U103" i="45"/>
  <c r="T103" i="45"/>
  <c r="S103" i="45"/>
  <c r="R103" i="45"/>
  <c r="Q103" i="45"/>
  <c r="P103" i="45"/>
  <c r="O103" i="45"/>
  <c r="N103" i="45"/>
  <c r="A103" i="45"/>
  <c r="V102" i="45"/>
  <c r="U102" i="45"/>
  <c r="T102" i="45"/>
  <c r="S102" i="45"/>
  <c r="R102" i="45"/>
  <c r="Q102" i="45"/>
  <c r="P102" i="45"/>
  <c r="O102" i="45"/>
  <c r="N102" i="45"/>
  <c r="A102" i="45"/>
  <c r="V101" i="45"/>
  <c r="U101" i="45"/>
  <c r="T101" i="45"/>
  <c r="S101" i="45"/>
  <c r="R101" i="45"/>
  <c r="Q101" i="45"/>
  <c r="P101" i="45"/>
  <c r="O101" i="45"/>
  <c r="N101" i="45"/>
  <c r="A101" i="45"/>
  <c r="V100" i="45"/>
  <c r="U100" i="45"/>
  <c r="T100" i="45"/>
  <c r="S100" i="45"/>
  <c r="R100" i="45"/>
  <c r="Q100" i="45"/>
  <c r="P100" i="45"/>
  <c r="O100" i="45"/>
  <c r="N100" i="45"/>
  <c r="A100" i="45"/>
  <c r="V99" i="45"/>
  <c r="U99" i="45"/>
  <c r="T99" i="45"/>
  <c r="S99" i="45"/>
  <c r="R99" i="45"/>
  <c r="Q99" i="45"/>
  <c r="P99" i="45"/>
  <c r="O99" i="45"/>
  <c r="N99" i="45"/>
  <c r="A99" i="45"/>
  <c r="V98" i="45"/>
  <c r="U98" i="45"/>
  <c r="T98" i="45"/>
  <c r="S98" i="45"/>
  <c r="R98" i="45"/>
  <c r="Q98" i="45"/>
  <c r="P98" i="45"/>
  <c r="O98" i="45"/>
  <c r="N98" i="45"/>
  <c r="A98" i="45"/>
  <c r="V97" i="45"/>
  <c r="U97" i="45"/>
  <c r="T97" i="45"/>
  <c r="S97" i="45"/>
  <c r="R97" i="45"/>
  <c r="Q97" i="45"/>
  <c r="P97" i="45"/>
  <c r="O97" i="45"/>
  <c r="N97" i="45"/>
  <c r="A97" i="45"/>
  <c r="V96" i="45"/>
  <c r="U96" i="45"/>
  <c r="T96" i="45"/>
  <c r="S96" i="45"/>
  <c r="R96" i="45"/>
  <c r="Q96" i="45"/>
  <c r="P96" i="45"/>
  <c r="O96" i="45"/>
  <c r="N96" i="45"/>
  <c r="A96" i="45"/>
  <c r="V95" i="45"/>
  <c r="U95" i="45"/>
  <c r="T95" i="45"/>
  <c r="S95" i="45"/>
  <c r="R95" i="45"/>
  <c r="Q95" i="45"/>
  <c r="P95" i="45"/>
  <c r="O95" i="45"/>
  <c r="N95" i="45"/>
  <c r="A95" i="45"/>
  <c r="V94" i="45"/>
  <c r="U94" i="45"/>
  <c r="T94" i="45"/>
  <c r="S94" i="45"/>
  <c r="R94" i="45"/>
  <c r="Q94" i="45"/>
  <c r="P94" i="45"/>
  <c r="O94" i="45"/>
  <c r="N94" i="45"/>
  <c r="A94" i="45"/>
  <c r="V93" i="45"/>
  <c r="U93" i="45"/>
  <c r="T93" i="45"/>
  <c r="S93" i="45"/>
  <c r="R93" i="45"/>
  <c r="Q93" i="45"/>
  <c r="P93" i="45"/>
  <c r="O93" i="45"/>
  <c r="N93" i="45"/>
  <c r="A93" i="45"/>
  <c r="V92" i="45"/>
  <c r="U92" i="45"/>
  <c r="T92" i="45"/>
  <c r="S92" i="45"/>
  <c r="R92" i="45"/>
  <c r="Q92" i="45"/>
  <c r="P92" i="45"/>
  <c r="O92" i="45"/>
  <c r="N92" i="45"/>
  <c r="A92" i="45"/>
  <c r="V91" i="45"/>
  <c r="U91" i="45"/>
  <c r="T91" i="45"/>
  <c r="S91" i="45"/>
  <c r="R91" i="45"/>
  <c r="Q91" i="45"/>
  <c r="P91" i="45"/>
  <c r="O91" i="45"/>
  <c r="N91" i="45"/>
  <c r="A91" i="45"/>
  <c r="V90" i="45"/>
  <c r="U90" i="45"/>
  <c r="T90" i="45"/>
  <c r="S90" i="45"/>
  <c r="R90" i="45"/>
  <c r="Q90" i="45"/>
  <c r="P90" i="45"/>
  <c r="O90" i="45"/>
  <c r="N90" i="45"/>
  <c r="A90" i="45"/>
  <c r="V89" i="45"/>
  <c r="U89" i="45"/>
  <c r="T89" i="45"/>
  <c r="S89" i="45"/>
  <c r="R89" i="45"/>
  <c r="Q89" i="45"/>
  <c r="P89" i="45"/>
  <c r="O89" i="45"/>
  <c r="N89" i="45"/>
  <c r="A89" i="45"/>
  <c r="V88" i="45"/>
  <c r="U88" i="45"/>
  <c r="T88" i="45"/>
  <c r="S88" i="45"/>
  <c r="R88" i="45"/>
  <c r="Q88" i="45"/>
  <c r="P88" i="45"/>
  <c r="O88" i="45"/>
  <c r="N88" i="45"/>
  <c r="A88" i="45"/>
  <c r="V87" i="45"/>
  <c r="U87" i="45"/>
  <c r="T87" i="45"/>
  <c r="S87" i="45"/>
  <c r="R87" i="45"/>
  <c r="Q87" i="45"/>
  <c r="P87" i="45"/>
  <c r="O87" i="45"/>
  <c r="N87" i="45"/>
  <c r="A87" i="45"/>
  <c r="V86" i="45"/>
  <c r="U86" i="45"/>
  <c r="T86" i="45"/>
  <c r="S86" i="45"/>
  <c r="R86" i="45"/>
  <c r="Q86" i="45"/>
  <c r="P86" i="45"/>
  <c r="O86" i="45"/>
  <c r="N86" i="45"/>
  <c r="A86" i="45"/>
  <c r="V85" i="45"/>
  <c r="U85" i="45"/>
  <c r="T85" i="45"/>
  <c r="S85" i="45"/>
  <c r="R85" i="45"/>
  <c r="Q85" i="45"/>
  <c r="P85" i="45"/>
  <c r="O85" i="45"/>
  <c r="N85" i="45"/>
  <c r="A85" i="45"/>
  <c r="V84" i="45"/>
  <c r="U84" i="45"/>
  <c r="T84" i="45"/>
  <c r="S84" i="45"/>
  <c r="R84" i="45"/>
  <c r="Q84" i="45"/>
  <c r="P84" i="45"/>
  <c r="O84" i="45"/>
  <c r="N84" i="45"/>
  <c r="A84" i="45"/>
  <c r="V83" i="45"/>
  <c r="U83" i="45"/>
  <c r="T83" i="45"/>
  <c r="S83" i="45"/>
  <c r="R83" i="45"/>
  <c r="Q83" i="45"/>
  <c r="P83" i="45"/>
  <c r="O83" i="45"/>
  <c r="N83" i="45"/>
  <c r="A83" i="45"/>
  <c r="V82" i="45"/>
  <c r="U82" i="45"/>
  <c r="T82" i="45"/>
  <c r="S82" i="45"/>
  <c r="R82" i="45"/>
  <c r="Q82" i="45"/>
  <c r="P82" i="45"/>
  <c r="O82" i="45"/>
  <c r="N82" i="45"/>
  <c r="L82" i="45"/>
  <c r="K82" i="45"/>
  <c r="J82" i="45"/>
  <c r="I82" i="45"/>
  <c r="H82" i="45"/>
  <c r="G82" i="45"/>
  <c r="F82" i="45"/>
  <c r="A82" i="45"/>
  <c r="V81" i="45"/>
  <c r="U81" i="45"/>
  <c r="T81" i="45"/>
  <c r="S81" i="45"/>
  <c r="R81" i="45"/>
  <c r="Q81" i="45"/>
  <c r="P81" i="45"/>
  <c r="O81" i="45"/>
  <c r="N81" i="45"/>
  <c r="A81" i="45"/>
  <c r="V80" i="45"/>
  <c r="U80" i="45"/>
  <c r="T80" i="45"/>
  <c r="S80" i="45"/>
  <c r="R80" i="45"/>
  <c r="Q80" i="45"/>
  <c r="P80" i="45"/>
  <c r="O80" i="45"/>
  <c r="N80" i="45"/>
  <c r="A80" i="45"/>
  <c r="V79" i="45"/>
  <c r="U79" i="45"/>
  <c r="T79" i="45"/>
  <c r="S79" i="45"/>
  <c r="R79" i="45"/>
  <c r="Q79" i="45"/>
  <c r="P79" i="45"/>
  <c r="O79" i="45"/>
  <c r="N79" i="45"/>
  <c r="A79" i="45"/>
  <c r="V78" i="45"/>
  <c r="U78" i="45"/>
  <c r="T78" i="45"/>
  <c r="S78" i="45"/>
  <c r="R78" i="45"/>
  <c r="Q78" i="45"/>
  <c r="P78" i="45"/>
  <c r="O78" i="45"/>
  <c r="N78" i="45"/>
  <c r="A78" i="45"/>
  <c r="V77" i="45"/>
  <c r="U77" i="45"/>
  <c r="T77" i="45"/>
  <c r="S77" i="45"/>
  <c r="R77" i="45"/>
  <c r="Q77" i="45"/>
  <c r="P77" i="45"/>
  <c r="O77" i="45"/>
  <c r="N77" i="45"/>
  <c r="A77" i="45"/>
  <c r="V76" i="45"/>
  <c r="U76" i="45"/>
  <c r="T76" i="45"/>
  <c r="S76" i="45"/>
  <c r="R76" i="45"/>
  <c r="Q76" i="45"/>
  <c r="P76" i="45"/>
  <c r="O76" i="45"/>
  <c r="N76" i="45"/>
  <c r="A76" i="45"/>
  <c r="V75" i="45"/>
  <c r="U75" i="45"/>
  <c r="T75" i="45"/>
  <c r="S75" i="45"/>
  <c r="R75" i="45"/>
  <c r="Q75" i="45"/>
  <c r="P75" i="45"/>
  <c r="O75" i="45"/>
  <c r="N75" i="45"/>
  <c r="A75" i="45"/>
  <c r="V74" i="45"/>
  <c r="U74" i="45"/>
  <c r="T74" i="45"/>
  <c r="S74" i="45"/>
  <c r="R74" i="45"/>
  <c r="Q74" i="45"/>
  <c r="P74" i="45"/>
  <c r="O74" i="45"/>
  <c r="N74" i="45"/>
  <c r="A74" i="45"/>
  <c r="V73" i="45"/>
  <c r="U73" i="45"/>
  <c r="T73" i="45"/>
  <c r="S73" i="45"/>
  <c r="R73" i="45"/>
  <c r="Q73" i="45"/>
  <c r="P73" i="45"/>
  <c r="O73" i="45"/>
  <c r="N73" i="45"/>
  <c r="A73" i="45"/>
  <c r="V72" i="45"/>
  <c r="U72" i="45"/>
  <c r="T72" i="45"/>
  <c r="S72" i="45"/>
  <c r="R72" i="45"/>
  <c r="Q72" i="45"/>
  <c r="P72" i="45"/>
  <c r="O72" i="45"/>
  <c r="N72" i="45"/>
  <c r="A72" i="45"/>
  <c r="V71" i="45"/>
  <c r="U71" i="45"/>
  <c r="T71" i="45"/>
  <c r="S71" i="45"/>
  <c r="R71" i="45"/>
  <c r="Q71" i="45"/>
  <c r="P71" i="45"/>
  <c r="O71" i="45"/>
  <c r="N71" i="45"/>
  <c r="L71" i="45"/>
  <c r="K71" i="45"/>
  <c r="J71" i="45"/>
  <c r="I71" i="45"/>
  <c r="H71" i="45"/>
  <c r="G71" i="45"/>
  <c r="F71" i="45"/>
  <c r="E71" i="45"/>
  <c r="D71" i="45"/>
  <c r="C71" i="45"/>
  <c r="A71" i="45"/>
  <c r="V70" i="45"/>
  <c r="U70" i="45"/>
  <c r="T70" i="45"/>
  <c r="S70" i="45"/>
  <c r="R70" i="45"/>
  <c r="Q70" i="45"/>
  <c r="P70" i="45"/>
  <c r="O70" i="45"/>
  <c r="N70" i="45"/>
  <c r="A70" i="45"/>
  <c r="L69" i="45"/>
  <c r="K69" i="45"/>
  <c r="J69" i="45"/>
  <c r="I69" i="45"/>
  <c r="H69" i="45"/>
  <c r="G69" i="45"/>
  <c r="F69" i="45"/>
  <c r="E69" i="45"/>
  <c r="C69" i="45"/>
  <c r="A69" i="45"/>
  <c r="V68" i="45"/>
  <c r="U68" i="45"/>
  <c r="T68" i="45"/>
  <c r="S68" i="45"/>
  <c r="R68" i="45"/>
  <c r="Q68" i="45"/>
  <c r="P68" i="45"/>
  <c r="O68" i="45"/>
  <c r="N68" i="45"/>
  <c r="C68" i="45"/>
  <c r="A68" i="45"/>
  <c r="V67" i="45"/>
  <c r="U67" i="45"/>
  <c r="T67" i="45"/>
  <c r="S67" i="45"/>
  <c r="R67" i="45"/>
  <c r="Q67" i="45"/>
  <c r="P67" i="45"/>
  <c r="O67" i="45"/>
  <c r="N67" i="45"/>
  <c r="A67" i="45"/>
  <c r="V66" i="45"/>
  <c r="U66" i="45"/>
  <c r="T66" i="45"/>
  <c r="S66" i="45"/>
  <c r="R66" i="45"/>
  <c r="Q66" i="45"/>
  <c r="P66" i="45"/>
  <c r="O66" i="45"/>
  <c r="N66" i="45"/>
  <c r="A66" i="45"/>
  <c r="C65" i="45"/>
  <c r="A65" i="45"/>
  <c r="V64" i="45"/>
  <c r="U64" i="45"/>
  <c r="T64" i="45"/>
  <c r="S64" i="45"/>
  <c r="R64" i="45"/>
  <c r="Q64" i="45"/>
  <c r="P64" i="45"/>
  <c r="O64" i="45"/>
  <c r="N64" i="45"/>
  <c r="C64" i="45"/>
  <c r="A64" i="45"/>
  <c r="V63" i="45"/>
  <c r="U63" i="45"/>
  <c r="T63" i="45"/>
  <c r="S63" i="45"/>
  <c r="R63" i="45"/>
  <c r="Q63" i="45"/>
  <c r="P63" i="45"/>
  <c r="O63" i="45"/>
  <c r="N63" i="45"/>
  <c r="A63" i="45"/>
  <c r="V62" i="45"/>
  <c r="U62" i="45"/>
  <c r="T62" i="45"/>
  <c r="S62" i="45"/>
  <c r="R62" i="45"/>
  <c r="Q62" i="45"/>
  <c r="P62" i="45"/>
  <c r="O62" i="45"/>
  <c r="N62" i="45"/>
  <c r="A62" i="45"/>
  <c r="V61" i="45"/>
  <c r="U61" i="45"/>
  <c r="T61" i="45"/>
  <c r="S61" i="45"/>
  <c r="R61" i="45"/>
  <c r="Q61" i="45"/>
  <c r="P61" i="45"/>
  <c r="O61" i="45"/>
  <c r="N61" i="45"/>
  <c r="A61" i="45"/>
  <c r="V60" i="45"/>
  <c r="U60" i="45"/>
  <c r="T60" i="45"/>
  <c r="S60" i="45"/>
  <c r="R60" i="45"/>
  <c r="Q60" i="45"/>
  <c r="P60" i="45"/>
  <c r="O60" i="45"/>
  <c r="N60" i="45"/>
  <c r="A60" i="45"/>
  <c r="V59" i="45"/>
  <c r="U59" i="45"/>
  <c r="T59" i="45"/>
  <c r="S59" i="45"/>
  <c r="R59" i="45"/>
  <c r="Q59" i="45"/>
  <c r="P59" i="45"/>
  <c r="O59" i="45"/>
  <c r="N59" i="45"/>
  <c r="A59" i="45"/>
  <c r="V58" i="45"/>
  <c r="U58" i="45"/>
  <c r="T58" i="45"/>
  <c r="S58" i="45"/>
  <c r="R58" i="45"/>
  <c r="Q58" i="45"/>
  <c r="P58" i="45"/>
  <c r="O58" i="45"/>
  <c r="N58" i="45"/>
  <c r="C58" i="45"/>
  <c r="A58" i="45"/>
  <c r="V57" i="45"/>
  <c r="U57" i="45"/>
  <c r="T57" i="45"/>
  <c r="S57" i="45"/>
  <c r="R57" i="45"/>
  <c r="Q57" i="45"/>
  <c r="P57" i="45"/>
  <c r="O57" i="45"/>
  <c r="N57" i="45"/>
  <c r="C57" i="45"/>
  <c r="A57" i="45"/>
  <c r="V56" i="45"/>
  <c r="U56" i="45"/>
  <c r="T56" i="45"/>
  <c r="S56" i="45"/>
  <c r="R56" i="45"/>
  <c r="Q56" i="45"/>
  <c r="P56" i="45"/>
  <c r="O56" i="45"/>
  <c r="N56" i="45"/>
  <c r="A56" i="45"/>
  <c r="V55" i="45"/>
  <c r="U55" i="45"/>
  <c r="T55" i="45"/>
  <c r="S55" i="45"/>
  <c r="R55" i="45"/>
  <c r="Q55" i="45"/>
  <c r="P55" i="45"/>
  <c r="O55" i="45"/>
  <c r="N55" i="45"/>
  <c r="A55" i="45"/>
  <c r="V54" i="45"/>
  <c r="U54" i="45"/>
  <c r="T54" i="45"/>
  <c r="S54" i="45"/>
  <c r="R54" i="45"/>
  <c r="Q54" i="45"/>
  <c r="P54" i="45"/>
  <c r="O54" i="45"/>
  <c r="N54" i="45"/>
  <c r="C54" i="45"/>
  <c r="A54" i="45"/>
  <c r="V53" i="45"/>
  <c r="U53" i="45"/>
  <c r="T53" i="45"/>
  <c r="S53" i="45"/>
  <c r="R53" i="45"/>
  <c r="Q53" i="45"/>
  <c r="P53" i="45"/>
  <c r="O53" i="45"/>
  <c r="N53" i="45"/>
  <c r="L53" i="45"/>
  <c r="K53" i="45"/>
  <c r="J53" i="45"/>
  <c r="I53" i="45"/>
  <c r="H53" i="45"/>
  <c r="G53" i="45"/>
  <c r="F53" i="45"/>
  <c r="E53" i="45"/>
  <c r="D53" i="45"/>
  <c r="C53" i="45"/>
  <c r="A53" i="45"/>
  <c r="V52" i="45"/>
  <c r="U52" i="45"/>
  <c r="T52" i="45"/>
  <c r="S52" i="45"/>
  <c r="R52" i="45"/>
  <c r="Q52" i="45"/>
  <c r="P52" i="45"/>
  <c r="O52" i="45"/>
  <c r="N52" i="45"/>
  <c r="L52" i="45"/>
  <c r="K52" i="45"/>
  <c r="J52" i="45"/>
  <c r="I52" i="45"/>
  <c r="H52" i="45"/>
  <c r="G52" i="45"/>
  <c r="F52" i="45"/>
  <c r="E52" i="45"/>
  <c r="D52" i="45"/>
  <c r="C52" i="45"/>
  <c r="A52" i="45"/>
  <c r="V51" i="45"/>
  <c r="U51" i="45"/>
  <c r="T51" i="45"/>
  <c r="S51" i="45"/>
  <c r="R51" i="45"/>
  <c r="Q51" i="45"/>
  <c r="P51" i="45"/>
  <c r="O51" i="45"/>
  <c r="N51" i="45"/>
  <c r="A51" i="45"/>
  <c r="V50" i="45"/>
  <c r="U50" i="45"/>
  <c r="T50" i="45"/>
  <c r="S50" i="45"/>
  <c r="R50" i="45"/>
  <c r="Q50" i="45"/>
  <c r="P50" i="45"/>
  <c r="O50" i="45"/>
  <c r="N50" i="45"/>
  <c r="A50" i="45"/>
  <c r="V49" i="45"/>
  <c r="U49" i="45"/>
  <c r="T49" i="45"/>
  <c r="S49" i="45"/>
  <c r="R49" i="45"/>
  <c r="Q49" i="45"/>
  <c r="P49" i="45"/>
  <c r="O49" i="45"/>
  <c r="N49" i="45"/>
  <c r="A49" i="45"/>
  <c r="V48" i="45"/>
  <c r="U48" i="45"/>
  <c r="T48" i="45"/>
  <c r="S48" i="45"/>
  <c r="R48" i="45"/>
  <c r="Q48" i="45"/>
  <c r="P48" i="45"/>
  <c r="O48" i="45"/>
  <c r="N48" i="45"/>
  <c r="A48" i="45"/>
  <c r="V47" i="45"/>
  <c r="U47" i="45"/>
  <c r="T47" i="45"/>
  <c r="S47" i="45"/>
  <c r="R47" i="45"/>
  <c r="Q47" i="45"/>
  <c r="P47" i="45"/>
  <c r="O47" i="45"/>
  <c r="N47" i="45"/>
  <c r="A47" i="45"/>
  <c r="V46" i="45"/>
  <c r="U46" i="45"/>
  <c r="T46" i="45"/>
  <c r="S46" i="45"/>
  <c r="R46" i="45"/>
  <c r="Q46" i="45"/>
  <c r="P46" i="45"/>
  <c r="O46" i="45"/>
  <c r="N46" i="45"/>
  <c r="A46" i="45"/>
  <c r="V45" i="45"/>
  <c r="U45" i="45"/>
  <c r="T45" i="45"/>
  <c r="S45" i="45"/>
  <c r="R45" i="45"/>
  <c r="Q45" i="45"/>
  <c r="P45" i="45"/>
  <c r="O45" i="45"/>
  <c r="N45" i="45"/>
  <c r="A45" i="45"/>
  <c r="V44" i="45"/>
  <c r="U44" i="45"/>
  <c r="T44" i="45"/>
  <c r="S44" i="45"/>
  <c r="R44" i="45"/>
  <c r="Q44" i="45"/>
  <c r="P44" i="45"/>
  <c r="O44" i="45"/>
  <c r="N44" i="45"/>
  <c r="A44" i="45"/>
  <c r="V43" i="45"/>
  <c r="U43" i="45"/>
  <c r="T43" i="45"/>
  <c r="S43" i="45"/>
  <c r="R43" i="45"/>
  <c r="Q43" i="45"/>
  <c r="P43" i="45"/>
  <c r="O43" i="45"/>
  <c r="N43" i="45"/>
  <c r="L43" i="45"/>
  <c r="K43" i="45"/>
  <c r="J43" i="45"/>
  <c r="I43" i="45"/>
  <c r="H43" i="45"/>
  <c r="G43" i="45"/>
  <c r="F43" i="45"/>
  <c r="E43" i="45"/>
  <c r="D43" i="45"/>
  <c r="C43" i="45"/>
  <c r="A43" i="45"/>
  <c r="V42" i="45"/>
  <c r="U42" i="45"/>
  <c r="T42" i="45"/>
  <c r="S42" i="45"/>
  <c r="R42" i="45"/>
  <c r="Q42" i="45"/>
  <c r="P42" i="45"/>
  <c r="O42" i="45"/>
  <c r="N42" i="45"/>
  <c r="L42" i="45"/>
  <c r="K42" i="45"/>
  <c r="J42" i="45"/>
  <c r="I42" i="45"/>
  <c r="H42" i="45"/>
  <c r="G42" i="45"/>
  <c r="F42" i="45"/>
  <c r="E42" i="45"/>
  <c r="D42" i="45"/>
  <c r="C42" i="45"/>
  <c r="A42" i="45"/>
  <c r="V41" i="45"/>
  <c r="U41" i="45"/>
  <c r="T41" i="45"/>
  <c r="S41" i="45"/>
  <c r="R41" i="45"/>
  <c r="Q41" i="45"/>
  <c r="P41" i="45"/>
  <c r="O41" i="45"/>
  <c r="N41" i="45"/>
  <c r="L41" i="45"/>
  <c r="K41" i="45"/>
  <c r="J41" i="45"/>
  <c r="I41" i="45"/>
  <c r="H41" i="45"/>
  <c r="G41" i="45"/>
  <c r="F41" i="45"/>
  <c r="E41" i="45"/>
  <c r="D41" i="45"/>
  <c r="C41" i="45"/>
  <c r="A41" i="45"/>
  <c r="V40" i="45"/>
  <c r="U40" i="45"/>
  <c r="T40" i="45"/>
  <c r="S40" i="45"/>
  <c r="R40" i="45"/>
  <c r="Q40" i="45"/>
  <c r="P40" i="45"/>
  <c r="O40" i="45"/>
  <c r="N40" i="45"/>
  <c r="A40" i="45"/>
  <c r="V39" i="45"/>
  <c r="U39" i="45"/>
  <c r="T39" i="45"/>
  <c r="S39" i="45"/>
  <c r="R39" i="45"/>
  <c r="Q39" i="45"/>
  <c r="P39" i="45"/>
  <c r="O39" i="45"/>
  <c r="N39" i="45"/>
  <c r="L39" i="45"/>
  <c r="K39" i="45"/>
  <c r="J39" i="45"/>
  <c r="I39" i="45"/>
  <c r="H39" i="45"/>
  <c r="G39" i="45"/>
  <c r="F39" i="45"/>
  <c r="E39" i="45"/>
  <c r="D39" i="45"/>
  <c r="C39" i="45"/>
  <c r="A39" i="45"/>
  <c r="V38" i="45"/>
  <c r="U38" i="45"/>
  <c r="T38" i="45"/>
  <c r="S38" i="45"/>
  <c r="R38" i="45"/>
  <c r="Q38" i="45"/>
  <c r="P38" i="45"/>
  <c r="O38" i="45"/>
  <c r="N38" i="45"/>
  <c r="A38" i="45"/>
  <c r="V37" i="45"/>
  <c r="U37" i="45"/>
  <c r="T37" i="45"/>
  <c r="S37" i="45"/>
  <c r="R37" i="45"/>
  <c r="Q37" i="45"/>
  <c r="P37" i="45"/>
  <c r="O37" i="45"/>
  <c r="N37" i="45"/>
  <c r="L37" i="45"/>
  <c r="K37" i="45"/>
  <c r="J37" i="45"/>
  <c r="I37" i="45"/>
  <c r="H37" i="45"/>
  <c r="G37" i="45"/>
  <c r="F37" i="45"/>
  <c r="E37" i="45"/>
  <c r="D37" i="45"/>
  <c r="C37" i="45"/>
  <c r="A37" i="45"/>
  <c r="V36" i="45"/>
  <c r="U36" i="45"/>
  <c r="T36" i="45"/>
  <c r="S36" i="45"/>
  <c r="R36" i="45"/>
  <c r="Q36" i="45"/>
  <c r="P36" i="45"/>
  <c r="O36" i="45"/>
  <c r="N36" i="45"/>
  <c r="C36" i="45"/>
  <c r="A36" i="45"/>
  <c r="V35" i="45"/>
  <c r="U35" i="45"/>
  <c r="T35" i="45"/>
  <c r="S35" i="45"/>
  <c r="R35" i="45"/>
  <c r="Q35" i="45"/>
  <c r="P35" i="45"/>
  <c r="O35" i="45"/>
  <c r="N35" i="45"/>
  <c r="A35" i="45"/>
  <c r="V34" i="45"/>
  <c r="U34" i="45"/>
  <c r="T34" i="45"/>
  <c r="S34" i="45"/>
  <c r="R34" i="45"/>
  <c r="Q34" i="45"/>
  <c r="P34" i="45"/>
  <c r="O34" i="45"/>
  <c r="N34" i="45"/>
  <c r="L34" i="45"/>
  <c r="K34" i="45"/>
  <c r="J34" i="45"/>
  <c r="I34" i="45"/>
  <c r="H34" i="45"/>
  <c r="G34" i="45"/>
  <c r="F34" i="45"/>
  <c r="E34" i="45"/>
  <c r="D34" i="45"/>
  <c r="C34" i="45"/>
  <c r="A34" i="45"/>
  <c r="V33" i="45"/>
  <c r="U33" i="45"/>
  <c r="T33" i="45"/>
  <c r="S33" i="45"/>
  <c r="R33" i="45"/>
  <c r="Q33" i="45"/>
  <c r="P33" i="45"/>
  <c r="O33" i="45"/>
  <c r="N33" i="45"/>
  <c r="L33" i="45"/>
  <c r="K33" i="45"/>
  <c r="J33" i="45"/>
  <c r="I33" i="45"/>
  <c r="H33" i="45"/>
  <c r="G33" i="45"/>
  <c r="F33" i="45"/>
  <c r="E33" i="45"/>
  <c r="D33" i="45"/>
  <c r="T32" i="45"/>
  <c r="S32" i="45"/>
  <c r="V31" i="45"/>
  <c r="U31" i="45"/>
  <c r="T31" i="45"/>
  <c r="S31" i="45"/>
  <c r="R31" i="45"/>
  <c r="Q31" i="45"/>
  <c r="P31" i="45"/>
  <c r="O31" i="45"/>
  <c r="N31" i="45"/>
  <c r="M31" i="45"/>
  <c r="J20" i="45"/>
  <c r="I20" i="45"/>
  <c r="H20" i="45"/>
  <c r="G20" i="45"/>
  <c r="J19" i="45"/>
  <c r="I19" i="45"/>
  <c r="H19" i="45"/>
  <c r="G19" i="45"/>
  <c r="J18" i="45"/>
  <c r="I18" i="45"/>
  <c r="H18" i="45"/>
  <c r="G18" i="45"/>
  <c r="J17" i="45"/>
  <c r="I17" i="45"/>
  <c r="H17" i="45"/>
  <c r="G17" i="45"/>
  <c r="J16" i="45"/>
  <c r="I16" i="45"/>
  <c r="H16" i="45"/>
  <c r="G16" i="45"/>
  <c r="J15" i="45"/>
  <c r="I15" i="45"/>
  <c r="H15" i="45"/>
  <c r="G15" i="45"/>
  <c r="J14" i="45"/>
  <c r="I14" i="45"/>
  <c r="H14" i="45"/>
  <c r="G14" i="45"/>
  <c r="J13" i="45"/>
  <c r="I13" i="45"/>
  <c r="H13" i="45"/>
  <c r="G13" i="45"/>
  <c r="J12" i="45"/>
  <c r="I12" i="45"/>
  <c r="H12" i="45"/>
  <c r="G12" i="45"/>
  <c r="J11" i="45"/>
  <c r="H11" i="45"/>
  <c r="G11" i="45"/>
  <c r="E7" i="45"/>
  <c r="B7" i="45"/>
  <c r="I11" i="45" s="1"/>
  <c r="C33" i="45" s="1"/>
  <c r="M122" i="74"/>
  <c r="L122" i="74"/>
  <c r="K122" i="74"/>
  <c r="J122" i="74"/>
  <c r="I122" i="74"/>
  <c r="N121" i="74"/>
  <c r="M121" i="74"/>
  <c r="K121" i="74"/>
  <c r="J121" i="74"/>
  <c r="I121" i="74"/>
  <c r="C121" i="74"/>
  <c r="N120" i="74"/>
  <c r="M120" i="74"/>
  <c r="K120" i="74"/>
  <c r="J120" i="74"/>
  <c r="I120" i="74"/>
  <c r="C120" i="74"/>
  <c r="V103" i="74"/>
  <c r="U103" i="74"/>
  <c r="T103" i="74"/>
  <c r="S103" i="74"/>
  <c r="R103" i="74"/>
  <c r="Q103" i="74"/>
  <c r="P103" i="74"/>
  <c r="O103" i="74"/>
  <c r="N103" i="74"/>
  <c r="A103" i="74"/>
  <c r="V102" i="74"/>
  <c r="U102" i="74"/>
  <c r="T102" i="74"/>
  <c r="S102" i="74"/>
  <c r="R102" i="74"/>
  <c r="Q102" i="74"/>
  <c r="P102" i="74"/>
  <c r="O102" i="74"/>
  <c r="N102" i="74"/>
  <c r="A102" i="74"/>
  <c r="V101" i="74"/>
  <c r="U101" i="74"/>
  <c r="T101" i="74"/>
  <c r="S101" i="74"/>
  <c r="R101" i="74"/>
  <c r="Q101" i="74"/>
  <c r="P101" i="74"/>
  <c r="O101" i="74"/>
  <c r="N101" i="74"/>
  <c r="A101" i="74"/>
  <c r="V100" i="74"/>
  <c r="U100" i="74"/>
  <c r="T100" i="74"/>
  <c r="S100" i="74"/>
  <c r="R100" i="74"/>
  <c r="Q100" i="74"/>
  <c r="P100" i="74"/>
  <c r="O100" i="74"/>
  <c r="N100" i="74"/>
  <c r="A100" i="74"/>
  <c r="V99" i="74"/>
  <c r="U99" i="74"/>
  <c r="T99" i="74"/>
  <c r="S99" i="74"/>
  <c r="R99" i="74"/>
  <c r="Q99" i="74"/>
  <c r="P99" i="74"/>
  <c r="O99" i="74"/>
  <c r="N99" i="74"/>
  <c r="A99" i="74"/>
  <c r="V98" i="74"/>
  <c r="U98" i="74"/>
  <c r="T98" i="74"/>
  <c r="S98" i="74"/>
  <c r="R98" i="74"/>
  <c r="Q98" i="74"/>
  <c r="P98" i="74"/>
  <c r="O98" i="74"/>
  <c r="N98" i="74"/>
  <c r="A98" i="74"/>
  <c r="V97" i="74"/>
  <c r="U97" i="74"/>
  <c r="T97" i="74"/>
  <c r="S97" i="74"/>
  <c r="R97" i="74"/>
  <c r="Q97" i="74"/>
  <c r="P97" i="74"/>
  <c r="O97" i="74"/>
  <c r="N97" i="74"/>
  <c r="A97" i="74"/>
  <c r="V96" i="74"/>
  <c r="U96" i="74"/>
  <c r="T96" i="74"/>
  <c r="S96" i="74"/>
  <c r="R96" i="74"/>
  <c r="Q96" i="74"/>
  <c r="P96" i="74"/>
  <c r="O96" i="74"/>
  <c r="N96" i="74"/>
  <c r="A96" i="74"/>
  <c r="V95" i="74"/>
  <c r="U95" i="74"/>
  <c r="T95" i="74"/>
  <c r="S95" i="74"/>
  <c r="R95" i="74"/>
  <c r="Q95" i="74"/>
  <c r="P95" i="74"/>
  <c r="O95" i="74"/>
  <c r="N95" i="74"/>
  <c r="A95" i="74"/>
  <c r="V94" i="74"/>
  <c r="U94" i="74"/>
  <c r="T94" i="74"/>
  <c r="S94" i="74"/>
  <c r="R94" i="74"/>
  <c r="Q94" i="74"/>
  <c r="P94" i="74"/>
  <c r="O94" i="74"/>
  <c r="N94" i="74"/>
  <c r="A94" i="74"/>
  <c r="V93" i="74"/>
  <c r="U93" i="74"/>
  <c r="T93" i="74"/>
  <c r="S93" i="74"/>
  <c r="R93" i="74"/>
  <c r="Q93" i="74"/>
  <c r="P93" i="74"/>
  <c r="O93" i="74"/>
  <c r="N93" i="74"/>
  <c r="A93" i="74"/>
  <c r="V92" i="74"/>
  <c r="U92" i="74"/>
  <c r="T92" i="74"/>
  <c r="S92" i="74"/>
  <c r="R92" i="74"/>
  <c r="Q92" i="74"/>
  <c r="P92" i="74"/>
  <c r="O92" i="74"/>
  <c r="N92" i="74"/>
  <c r="A92" i="74"/>
  <c r="V91" i="74"/>
  <c r="U91" i="74"/>
  <c r="T91" i="74"/>
  <c r="S91" i="74"/>
  <c r="R91" i="74"/>
  <c r="Q91" i="74"/>
  <c r="P91" i="74"/>
  <c r="O91" i="74"/>
  <c r="N91" i="74"/>
  <c r="A91" i="74"/>
  <c r="V90" i="74"/>
  <c r="U90" i="74"/>
  <c r="T90" i="74"/>
  <c r="S90" i="74"/>
  <c r="R90" i="74"/>
  <c r="Q90" i="74"/>
  <c r="P90" i="74"/>
  <c r="O90" i="74"/>
  <c r="N90" i="74"/>
  <c r="A90" i="74"/>
  <c r="V89" i="74"/>
  <c r="U89" i="74"/>
  <c r="T89" i="74"/>
  <c r="S89" i="74"/>
  <c r="R89" i="74"/>
  <c r="Q89" i="74"/>
  <c r="P89" i="74"/>
  <c r="O89" i="74"/>
  <c r="N89" i="74"/>
  <c r="A89" i="74"/>
  <c r="V88" i="74"/>
  <c r="U88" i="74"/>
  <c r="T88" i="74"/>
  <c r="S88" i="74"/>
  <c r="R88" i="74"/>
  <c r="Q88" i="74"/>
  <c r="P88" i="74"/>
  <c r="O88" i="74"/>
  <c r="N88" i="74"/>
  <c r="A88" i="74"/>
  <c r="V87" i="74"/>
  <c r="U87" i="74"/>
  <c r="T87" i="74"/>
  <c r="S87" i="74"/>
  <c r="R87" i="74"/>
  <c r="Q87" i="74"/>
  <c r="P87" i="74"/>
  <c r="O87" i="74"/>
  <c r="N87" i="74"/>
  <c r="A87" i="74"/>
  <c r="V86" i="74"/>
  <c r="U86" i="74"/>
  <c r="T86" i="74"/>
  <c r="S86" i="74"/>
  <c r="R86" i="74"/>
  <c r="Q86" i="74"/>
  <c r="P86" i="74"/>
  <c r="O86" i="74"/>
  <c r="N86" i="74"/>
  <c r="A86" i="74"/>
  <c r="V85" i="74"/>
  <c r="U85" i="74"/>
  <c r="T85" i="74"/>
  <c r="S85" i="74"/>
  <c r="R85" i="74"/>
  <c r="Q85" i="74"/>
  <c r="P85" i="74"/>
  <c r="O85" i="74"/>
  <c r="N85" i="74"/>
  <c r="A85" i="74"/>
  <c r="V84" i="74"/>
  <c r="U84" i="74"/>
  <c r="T84" i="74"/>
  <c r="S84" i="74"/>
  <c r="R84" i="74"/>
  <c r="Q84" i="74"/>
  <c r="P84" i="74"/>
  <c r="O84" i="74"/>
  <c r="N84" i="74"/>
  <c r="A84" i="74"/>
  <c r="V83" i="74"/>
  <c r="U83" i="74"/>
  <c r="T83" i="74"/>
  <c r="S83" i="74"/>
  <c r="R83" i="74"/>
  <c r="Q83" i="74"/>
  <c r="P83" i="74"/>
  <c r="O83" i="74"/>
  <c r="N83" i="74"/>
  <c r="A83" i="74"/>
  <c r="V82" i="74"/>
  <c r="U82" i="74"/>
  <c r="T82" i="74"/>
  <c r="S82" i="74"/>
  <c r="R82" i="74"/>
  <c r="Q82" i="74"/>
  <c r="P82" i="74"/>
  <c r="O82" i="74"/>
  <c r="N82" i="74"/>
  <c r="L82" i="74"/>
  <c r="K82" i="74"/>
  <c r="J82" i="74"/>
  <c r="I82" i="74"/>
  <c r="H82" i="74"/>
  <c r="G82" i="74"/>
  <c r="F82" i="74"/>
  <c r="A82" i="74"/>
  <c r="V81" i="74"/>
  <c r="U81" i="74"/>
  <c r="T81" i="74"/>
  <c r="S81" i="74"/>
  <c r="R81" i="74"/>
  <c r="Q81" i="74"/>
  <c r="P81" i="74"/>
  <c r="O81" i="74"/>
  <c r="N81" i="74"/>
  <c r="A81" i="74"/>
  <c r="V80" i="74"/>
  <c r="U80" i="74"/>
  <c r="T80" i="74"/>
  <c r="S80" i="74"/>
  <c r="R80" i="74"/>
  <c r="Q80" i="74"/>
  <c r="P80" i="74"/>
  <c r="O80" i="74"/>
  <c r="N80" i="74"/>
  <c r="A80" i="74"/>
  <c r="V79" i="74"/>
  <c r="U79" i="74"/>
  <c r="T79" i="74"/>
  <c r="S79" i="74"/>
  <c r="R79" i="74"/>
  <c r="Q79" i="74"/>
  <c r="P79" i="74"/>
  <c r="O79" i="74"/>
  <c r="N79" i="74"/>
  <c r="A79" i="74"/>
  <c r="V78" i="74"/>
  <c r="U78" i="74"/>
  <c r="T78" i="74"/>
  <c r="S78" i="74"/>
  <c r="R78" i="74"/>
  <c r="Q78" i="74"/>
  <c r="P78" i="74"/>
  <c r="O78" i="74"/>
  <c r="N78" i="74"/>
  <c r="A78" i="74"/>
  <c r="V77" i="74"/>
  <c r="U77" i="74"/>
  <c r="T77" i="74"/>
  <c r="S77" i="74"/>
  <c r="R77" i="74"/>
  <c r="Q77" i="74"/>
  <c r="P77" i="74"/>
  <c r="O77" i="74"/>
  <c r="N77" i="74"/>
  <c r="A77" i="74"/>
  <c r="V76" i="74"/>
  <c r="U76" i="74"/>
  <c r="T76" i="74"/>
  <c r="S76" i="74"/>
  <c r="R76" i="74"/>
  <c r="Q76" i="74"/>
  <c r="P76" i="74"/>
  <c r="O76" i="74"/>
  <c r="N76" i="74"/>
  <c r="A76" i="74"/>
  <c r="V75" i="74"/>
  <c r="U75" i="74"/>
  <c r="T75" i="74"/>
  <c r="S75" i="74"/>
  <c r="R75" i="74"/>
  <c r="Q75" i="74"/>
  <c r="P75" i="74"/>
  <c r="O75" i="74"/>
  <c r="N75" i="74"/>
  <c r="A75" i="74"/>
  <c r="V74" i="74"/>
  <c r="U74" i="74"/>
  <c r="T74" i="74"/>
  <c r="S74" i="74"/>
  <c r="R74" i="74"/>
  <c r="Q74" i="74"/>
  <c r="P74" i="74"/>
  <c r="O74" i="74"/>
  <c r="N74" i="74"/>
  <c r="A74" i="74"/>
  <c r="V73" i="74"/>
  <c r="U73" i="74"/>
  <c r="T73" i="74"/>
  <c r="S73" i="74"/>
  <c r="R73" i="74"/>
  <c r="Q73" i="74"/>
  <c r="P73" i="74"/>
  <c r="O73" i="74"/>
  <c r="N73" i="74"/>
  <c r="A73" i="74"/>
  <c r="V72" i="74"/>
  <c r="U72" i="74"/>
  <c r="T72" i="74"/>
  <c r="S72" i="74"/>
  <c r="R72" i="74"/>
  <c r="Q72" i="74"/>
  <c r="P72" i="74"/>
  <c r="O72" i="74"/>
  <c r="N72" i="74"/>
  <c r="A72" i="74"/>
  <c r="V71" i="74"/>
  <c r="U71" i="74"/>
  <c r="T71" i="74"/>
  <c r="S71" i="74"/>
  <c r="R71" i="74"/>
  <c r="Q71" i="74"/>
  <c r="P71" i="74"/>
  <c r="O71" i="74"/>
  <c r="N71" i="74"/>
  <c r="L71" i="74"/>
  <c r="K71" i="74"/>
  <c r="J71" i="74"/>
  <c r="I71" i="74"/>
  <c r="H71" i="74"/>
  <c r="G71" i="74"/>
  <c r="F71" i="74"/>
  <c r="E71" i="74"/>
  <c r="D71" i="74"/>
  <c r="C71" i="74"/>
  <c r="A71" i="74"/>
  <c r="V70" i="74"/>
  <c r="U70" i="74"/>
  <c r="T70" i="74"/>
  <c r="S70" i="74"/>
  <c r="R70" i="74"/>
  <c r="Q70" i="74"/>
  <c r="P70" i="74"/>
  <c r="O70" i="74"/>
  <c r="N70" i="74"/>
  <c r="A70" i="74"/>
  <c r="L69" i="74"/>
  <c r="K69" i="74"/>
  <c r="J69" i="74"/>
  <c r="I69" i="74"/>
  <c r="H69" i="74"/>
  <c r="G69" i="74"/>
  <c r="F69" i="74"/>
  <c r="E69" i="74"/>
  <c r="C69" i="74"/>
  <c r="A69" i="74"/>
  <c r="V68" i="74"/>
  <c r="U68" i="74"/>
  <c r="T68" i="74"/>
  <c r="S68" i="74"/>
  <c r="R68" i="74"/>
  <c r="Q68" i="74"/>
  <c r="P68" i="74"/>
  <c r="O68" i="74"/>
  <c r="N68" i="74"/>
  <c r="C68" i="74"/>
  <c r="A68" i="74"/>
  <c r="V67" i="74"/>
  <c r="U67" i="74"/>
  <c r="T67" i="74"/>
  <c r="S67" i="74"/>
  <c r="R67" i="74"/>
  <c r="Q67" i="74"/>
  <c r="P67" i="74"/>
  <c r="O67" i="74"/>
  <c r="N67" i="74"/>
  <c r="A67" i="74"/>
  <c r="V66" i="74"/>
  <c r="U66" i="74"/>
  <c r="T66" i="74"/>
  <c r="S66" i="74"/>
  <c r="R66" i="74"/>
  <c r="Q66" i="74"/>
  <c r="P66" i="74"/>
  <c r="O66" i="74"/>
  <c r="N66" i="74"/>
  <c r="A66" i="74"/>
  <c r="C65" i="74"/>
  <c r="A65" i="74"/>
  <c r="V64" i="74"/>
  <c r="U64" i="74"/>
  <c r="T64" i="74"/>
  <c r="S64" i="74"/>
  <c r="R64" i="74"/>
  <c r="Q64" i="74"/>
  <c r="P64" i="74"/>
  <c r="O64" i="74"/>
  <c r="N64" i="74"/>
  <c r="C64" i="74"/>
  <c r="A64" i="74"/>
  <c r="V63" i="74"/>
  <c r="U63" i="74"/>
  <c r="T63" i="74"/>
  <c r="S63" i="74"/>
  <c r="R63" i="74"/>
  <c r="Q63" i="74"/>
  <c r="P63" i="74"/>
  <c r="O63" i="74"/>
  <c r="N63" i="74"/>
  <c r="A63" i="74"/>
  <c r="V62" i="74"/>
  <c r="U62" i="74"/>
  <c r="T62" i="74"/>
  <c r="S62" i="74"/>
  <c r="R62" i="74"/>
  <c r="Q62" i="74"/>
  <c r="P62" i="74"/>
  <c r="O62" i="74"/>
  <c r="N62" i="74"/>
  <c r="A62" i="74"/>
  <c r="V61" i="74"/>
  <c r="U61" i="74"/>
  <c r="T61" i="74"/>
  <c r="S61" i="74"/>
  <c r="R61" i="74"/>
  <c r="Q61" i="74"/>
  <c r="P61" i="74"/>
  <c r="O61" i="74"/>
  <c r="N61" i="74"/>
  <c r="A61" i="74"/>
  <c r="V60" i="74"/>
  <c r="U60" i="74"/>
  <c r="T60" i="74"/>
  <c r="S60" i="74"/>
  <c r="R60" i="74"/>
  <c r="Q60" i="74"/>
  <c r="P60" i="74"/>
  <c r="O60" i="74"/>
  <c r="N60" i="74"/>
  <c r="A60" i="74"/>
  <c r="V59" i="74"/>
  <c r="U59" i="74"/>
  <c r="T59" i="74"/>
  <c r="S59" i="74"/>
  <c r="R59" i="74"/>
  <c r="Q59" i="74"/>
  <c r="P59" i="74"/>
  <c r="O59" i="74"/>
  <c r="N59" i="74"/>
  <c r="A59" i="74"/>
  <c r="V58" i="74"/>
  <c r="U58" i="74"/>
  <c r="T58" i="74"/>
  <c r="S58" i="74"/>
  <c r="R58" i="74"/>
  <c r="Q58" i="74"/>
  <c r="P58" i="74"/>
  <c r="O58" i="74"/>
  <c r="N58" i="74"/>
  <c r="C58" i="74"/>
  <c r="A58" i="74"/>
  <c r="V57" i="74"/>
  <c r="U57" i="74"/>
  <c r="T57" i="74"/>
  <c r="S57" i="74"/>
  <c r="R57" i="74"/>
  <c r="Q57" i="74"/>
  <c r="P57" i="74"/>
  <c r="O57" i="74"/>
  <c r="N57" i="74"/>
  <c r="C57" i="74"/>
  <c r="A57" i="74"/>
  <c r="V56" i="74"/>
  <c r="U56" i="74"/>
  <c r="T56" i="74"/>
  <c r="S56" i="74"/>
  <c r="R56" i="74"/>
  <c r="Q56" i="74"/>
  <c r="P56" i="74"/>
  <c r="O56" i="74"/>
  <c r="N56" i="74"/>
  <c r="A56" i="74"/>
  <c r="V55" i="74"/>
  <c r="U55" i="74"/>
  <c r="T55" i="74"/>
  <c r="S55" i="74"/>
  <c r="R55" i="74"/>
  <c r="Q55" i="74"/>
  <c r="P55" i="74"/>
  <c r="O55" i="74"/>
  <c r="N55" i="74"/>
  <c r="A55" i="74"/>
  <c r="V54" i="74"/>
  <c r="U54" i="74"/>
  <c r="T54" i="74"/>
  <c r="S54" i="74"/>
  <c r="R54" i="74"/>
  <c r="Q54" i="74"/>
  <c r="P54" i="74"/>
  <c r="O54" i="74"/>
  <c r="N54" i="74"/>
  <c r="C54" i="74"/>
  <c r="A54" i="74"/>
  <c r="V53" i="74"/>
  <c r="U53" i="74"/>
  <c r="T53" i="74"/>
  <c r="S53" i="74"/>
  <c r="R53" i="74"/>
  <c r="Q53" i="74"/>
  <c r="P53" i="74"/>
  <c r="O53" i="74"/>
  <c r="N53" i="74"/>
  <c r="L53" i="74"/>
  <c r="K53" i="74"/>
  <c r="J53" i="74"/>
  <c r="I53" i="74"/>
  <c r="H53" i="74"/>
  <c r="G53" i="74"/>
  <c r="F53" i="74"/>
  <c r="E53" i="74"/>
  <c r="D53" i="74"/>
  <c r="C53" i="74"/>
  <c r="A53" i="74"/>
  <c r="V52" i="74"/>
  <c r="U52" i="74"/>
  <c r="T52" i="74"/>
  <c r="S52" i="74"/>
  <c r="R52" i="74"/>
  <c r="Q52" i="74"/>
  <c r="P52" i="74"/>
  <c r="O52" i="74"/>
  <c r="N52" i="74"/>
  <c r="L52" i="74"/>
  <c r="K52" i="74"/>
  <c r="J52" i="74"/>
  <c r="I52" i="74"/>
  <c r="H52" i="74"/>
  <c r="G52" i="74"/>
  <c r="F52" i="74"/>
  <c r="E52" i="74"/>
  <c r="D52" i="74"/>
  <c r="C52" i="74"/>
  <c r="A52" i="74"/>
  <c r="V51" i="74"/>
  <c r="U51" i="74"/>
  <c r="T51" i="74"/>
  <c r="S51" i="74"/>
  <c r="R51" i="74"/>
  <c r="Q51" i="74"/>
  <c r="P51" i="74"/>
  <c r="O51" i="74"/>
  <c r="N51" i="74"/>
  <c r="A51" i="74"/>
  <c r="V50" i="74"/>
  <c r="U50" i="74"/>
  <c r="T50" i="74"/>
  <c r="S50" i="74"/>
  <c r="R50" i="74"/>
  <c r="Q50" i="74"/>
  <c r="P50" i="74"/>
  <c r="O50" i="74"/>
  <c r="N50" i="74"/>
  <c r="A50" i="74"/>
  <c r="V49" i="74"/>
  <c r="U49" i="74"/>
  <c r="T49" i="74"/>
  <c r="S49" i="74"/>
  <c r="R49" i="74"/>
  <c r="Q49" i="74"/>
  <c r="P49" i="74"/>
  <c r="O49" i="74"/>
  <c r="N49" i="74"/>
  <c r="A49" i="74"/>
  <c r="V48" i="74"/>
  <c r="U48" i="74"/>
  <c r="T48" i="74"/>
  <c r="S48" i="74"/>
  <c r="R48" i="74"/>
  <c r="Q48" i="74"/>
  <c r="P48" i="74"/>
  <c r="O48" i="74"/>
  <c r="N48" i="74"/>
  <c r="A48" i="74"/>
  <c r="V47" i="74"/>
  <c r="U47" i="74"/>
  <c r="T47" i="74"/>
  <c r="S47" i="74"/>
  <c r="R47" i="74"/>
  <c r="Q47" i="74"/>
  <c r="P47" i="74"/>
  <c r="O47" i="74"/>
  <c r="N47" i="74"/>
  <c r="A47" i="74"/>
  <c r="V46" i="74"/>
  <c r="U46" i="74"/>
  <c r="T46" i="74"/>
  <c r="S46" i="74"/>
  <c r="R46" i="74"/>
  <c r="Q46" i="74"/>
  <c r="P46" i="74"/>
  <c r="O46" i="74"/>
  <c r="N46" i="74"/>
  <c r="A46" i="74"/>
  <c r="V45" i="74"/>
  <c r="U45" i="74"/>
  <c r="T45" i="74"/>
  <c r="S45" i="74"/>
  <c r="R45" i="74"/>
  <c r="Q45" i="74"/>
  <c r="P45" i="74"/>
  <c r="O45" i="74"/>
  <c r="N45" i="74"/>
  <c r="A45" i="74"/>
  <c r="V44" i="74"/>
  <c r="U44" i="74"/>
  <c r="T44" i="74"/>
  <c r="S44" i="74"/>
  <c r="R44" i="74"/>
  <c r="Q44" i="74"/>
  <c r="P44" i="74"/>
  <c r="O44" i="74"/>
  <c r="N44" i="74"/>
  <c r="A44" i="74"/>
  <c r="V43" i="74"/>
  <c r="U43" i="74"/>
  <c r="T43" i="74"/>
  <c r="S43" i="74"/>
  <c r="R43" i="74"/>
  <c r="Q43" i="74"/>
  <c r="P43" i="74"/>
  <c r="O43" i="74"/>
  <c r="N43" i="74"/>
  <c r="L43" i="74"/>
  <c r="K43" i="74"/>
  <c r="J43" i="74"/>
  <c r="I43" i="74"/>
  <c r="H43" i="74"/>
  <c r="G43" i="74"/>
  <c r="F43" i="74"/>
  <c r="E43" i="74"/>
  <c r="D43" i="74"/>
  <c r="C43" i="74"/>
  <c r="A43" i="74"/>
  <c r="V42" i="74"/>
  <c r="U42" i="74"/>
  <c r="T42" i="74"/>
  <c r="S42" i="74"/>
  <c r="R42" i="74"/>
  <c r="Q42" i="74"/>
  <c r="P42" i="74"/>
  <c r="O42" i="74"/>
  <c r="N42" i="74"/>
  <c r="L42" i="74"/>
  <c r="K42" i="74"/>
  <c r="J42" i="74"/>
  <c r="I42" i="74"/>
  <c r="H42" i="74"/>
  <c r="G42" i="74"/>
  <c r="F42" i="74"/>
  <c r="E42" i="74"/>
  <c r="D42" i="74"/>
  <c r="C42" i="74"/>
  <c r="A42" i="74"/>
  <c r="V41" i="74"/>
  <c r="U41" i="74"/>
  <c r="T41" i="74"/>
  <c r="S41" i="74"/>
  <c r="R41" i="74"/>
  <c r="Q41" i="74"/>
  <c r="P41" i="74"/>
  <c r="O41" i="74"/>
  <c r="N41" i="74"/>
  <c r="L41" i="74"/>
  <c r="K41" i="74"/>
  <c r="J41" i="74"/>
  <c r="I41" i="74"/>
  <c r="H41" i="74"/>
  <c r="G41" i="74"/>
  <c r="F41" i="74"/>
  <c r="E41" i="74"/>
  <c r="D41" i="74"/>
  <c r="C41" i="74"/>
  <c r="A41" i="74"/>
  <c r="V40" i="74"/>
  <c r="U40" i="74"/>
  <c r="T40" i="74"/>
  <c r="S40" i="74"/>
  <c r="R40" i="74"/>
  <c r="Q40" i="74"/>
  <c r="P40" i="74"/>
  <c r="O40" i="74"/>
  <c r="N40" i="74"/>
  <c r="A40" i="74"/>
  <c r="V39" i="74"/>
  <c r="U39" i="74"/>
  <c r="T39" i="74"/>
  <c r="S39" i="74"/>
  <c r="R39" i="74"/>
  <c r="Q39" i="74"/>
  <c r="P39" i="74"/>
  <c r="O39" i="74"/>
  <c r="N39" i="74"/>
  <c r="L39" i="74"/>
  <c r="K39" i="74"/>
  <c r="J39" i="74"/>
  <c r="I39" i="74"/>
  <c r="H39" i="74"/>
  <c r="G39" i="74"/>
  <c r="F39" i="74"/>
  <c r="E39" i="74"/>
  <c r="D39" i="74"/>
  <c r="C39" i="74"/>
  <c r="A39" i="74"/>
  <c r="V38" i="74"/>
  <c r="U38" i="74"/>
  <c r="T38" i="74"/>
  <c r="S38" i="74"/>
  <c r="R38" i="74"/>
  <c r="Q38" i="74"/>
  <c r="P38" i="74"/>
  <c r="O38" i="74"/>
  <c r="N38" i="74"/>
  <c r="A38" i="74"/>
  <c r="V37" i="74"/>
  <c r="U37" i="74"/>
  <c r="T37" i="74"/>
  <c r="S37" i="74"/>
  <c r="R37" i="74"/>
  <c r="Q37" i="74"/>
  <c r="P37" i="74"/>
  <c r="O37" i="74"/>
  <c r="N37" i="74"/>
  <c r="L37" i="74"/>
  <c r="K37" i="74"/>
  <c r="J37" i="74"/>
  <c r="I37" i="74"/>
  <c r="H37" i="74"/>
  <c r="G37" i="74"/>
  <c r="F37" i="74"/>
  <c r="E37" i="74"/>
  <c r="D37" i="74"/>
  <c r="C37" i="74"/>
  <c r="A37" i="74"/>
  <c r="V36" i="74"/>
  <c r="U36" i="74"/>
  <c r="T36" i="74"/>
  <c r="S36" i="74"/>
  <c r="R36" i="74"/>
  <c r="Q36" i="74"/>
  <c r="P36" i="74"/>
  <c r="O36" i="74"/>
  <c r="N36" i="74"/>
  <c r="C36" i="74"/>
  <c r="A36" i="74"/>
  <c r="V35" i="74"/>
  <c r="U35" i="74"/>
  <c r="T35" i="74"/>
  <c r="S35" i="74"/>
  <c r="R35" i="74"/>
  <c r="Q35" i="74"/>
  <c r="P35" i="74"/>
  <c r="O35" i="74"/>
  <c r="N35" i="74"/>
  <c r="A35" i="74"/>
  <c r="V34" i="74"/>
  <c r="U34" i="74"/>
  <c r="T34" i="74"/>
  <c r="S34" i="74"/>
  <c r="R34" i="74"/>
  <c r="Q34" i="74"/>
  <c r="P34" i="74"/>
  <c r="O34" i="74"/>
  <c r="N34" i="74"/>
  <c r="L34" i="74"/>
  <c r="K34" i="74"/>
  <c r="J34" i="74"/>
  <c r="I34" i="74"/>
  <c r="H34" i="74"/>
  <c r="G34" i="74"/>
  <c r="F34" i="74"/>
  <c r="E34" i="74"/>
  <c r="D34" i="74"/>
  <c r="C34" i="74"/>
  <c r="A34" i="74"/>
  <c r="V33" i="74"/>
  <c r="U33" i="74"/>
  <c r="T33" i="74"/>
  <c r="S33" i="74"/>
  <c r="R33" i="74"/>
  <c r="Q33" i="74"/>
  <c r="P33" i="74"/>
  <c r="O33" i="74"/>
  <c r="N33" i="74"/>
  <c r="L33" i="74"/>
  <c r="K33" i="74"/>
  <c r="J33" i="74"/>
  <c r="I33" i="74"/>
  <c r="H33" i="74"/>
  <c r="G33" i="74"/>
  <c r="F33" i="74"/>
  <c r="E33" i="74"/>
  <c r="D33" i="74"/>
  <c r="T32" i="74"/>
  <c r="S32" i="74"/>
  <c r="V31" i="74"/>
  <c r="U31" i="74"/>
  <c r="T31" i="74"/>
  <c r="S31" i="74"/>
  <c r="R31" i="74"/>
  <c r="Q31" i="74"/>
  <c r="P31" i="74"/>
  <c r="O31" i="74"/>
  <c r="N31" i="74"/>
  <c r="M31" i="74"/>
  <c r="J20" i="74"/>
  <c r="I20" i="74"/>
  <c r="H20" i="74"/>
  <c r="G20" i="74"/>
  <c r="J19" i="74"/>
  <c r="I19" i="74"/>
  <c r="H19" i="74"/>
  <c r="G19" i="74"/>
  <c r="J18" i="74"/>
  <c r="I18" i="74"/>
  <c r="H18" i="74"/>
  <c r="G18" i="74"/>
  <c r="J17" i="74"/>
  <c r="I17" i="74"/>
  <c r="H17" i="74"/>
  <c r="G17" i="74"/>
  <c r="J16" i="74"/>
  <c r="I16" i="74"/>
  <c r="H16" i="74"/>
  <c r="G16" i="74"/>
  <c r="J15" i="74"/>
  <c r="I15" i="74"/>
  <c r="H15" i="74"/>
  <c r="G15" i="74"/>
  <c r="J14" i="74"/>
  <c r="I14" i="74"/>
  <c r="H14" i="74"/>
  <c r="G14" i="74"/>
  <c r="J13" i="74"/>
  <c r="I13" i="74"/>
  <c r="H13" i="74"/>
  <c r="G13" i="74"/>
  <c r="J12" i="74"/>
  <c r="I12" i="74"/>
  <c r="H12" i="74"/>
  <c r="G12" i="74"/>
  <c r="J11" i="74"/>
  <c r="H11" i="74"/>
  <c r="G11" i="74"/>
  <c r="E7" i="74"/>
  <c r="B7" i="74"/>
  <c r="I11" i="74" s="1"/>
  <c r="C33" i="74" s="1"/>
  <c r="G150" i="44"/>
  <c r="F150" i="44"/>
  <c r="E150" i="44"/>
  <c r="D150" i="44"/>
  <c r="C150" i="44"/>
  <c r="H149" i="44"/>
  <c r="G149" i="44"/>
  <c r="D149" i="44"/>
  <c r="C149" i="44"/>
  <c r="H148" i="44"/>
  <c r="G148" i="44"/>
  <c r="D148" i="44"/>
  <c r="C148" i="44"/>
  <c r="H147" i="44"/>
  <c r="G147" i="44"/>
  <c r="D147" i="44"/>
  <c r="C147" i="44"/>
  <c r="H146" i="44"/>
  <c r="G146" i="44"/>
  <c r="D146" i="44"/>
  <c r="C146" i="44"/>
  <c r="E136" i="44"/>
  <c r="D136" i="44"/>
  <c r="C136" i="44"/>
  <c r="D131" i="44"/>
  <c r="V103" i="44"/>
  <c r="U103" i="44"/>
  <c r="T103" i="44"/>
  <c r="S103" i="44"/>
  <c r="R103" i="44"/>
  <c r="Q103" i="44"/>
  <c r="P103" i="44"/>
  <c r="O103" i="44"/>
  <c r="N103" i="44"/>
  <c r="A103" i="44"/>
  <c r="V102" i="44"/>
  <c r="U102" i="44"/>
  <c r="T102" i="44"/>
  <c r="S102" i="44"/>
  <c r="R102" i="44"/>
  <c r="Q102" i="44"/>
  <c r="P102" i="44"/>
  <c r="O102" i="44"/>
  <c r="N102" i="44"/>
  <c r="A102" i="44"/>
  <c r="V101" i="44"/>
  <c r="U101" i="44"/>
  <c r="T101" i="44"/>
  <c r="S101" i="44"/>
  <c r="R101" i="44"/>
  <c r="Q101" i="44"/>
  <c r="P101" i="44"/>
  <c r="O101" i="44"/>
  <c r="N101" i="44"/>
  <c r="A101" i="44"/>
  <c r="V100" i="44"/>
  <c r="U100" i="44"/>
  <c r="T100" i="44"/>
  <c r="S100" i="44"/>
  <c r="R100" i="44"/>
  <c r="Q100" i="44"/>
  <c r="P100" i="44"/>
  <c r="O100" i="44"/>
  <c r="N100" i="44"/>
  <c r="A100" i="44"/>
  <c r="V99" i="44"/>
  <c r="U99" i="44"/>
  <c r="T99" i="44"/>
  <c r="S99" i="44"/>
  <c r="R99" i="44"/>
  <c r="Q99" i="44"/>
  <c r="P99" i="44"/>
  <c r="O99" i="44"/>
  <c r="N99" i="44"/>
  <c r="A99" i="44"/>
  <c r="V98" i="44"/>
  <c r="U98" i="44"/>
  <c r="T98" i="44"/>
  <c r="S98" i="44"/>
  <c r="R98" i="44"/>
  <c r="Q98" i="44"/>
  <c r="P98" i="44"/>
  <c r="O98" i="44"/>
  <c r="N98" i="44"/>
  <c r="A98" i="44"/>
  <c r="V97" i="44"/>
  <c r="U97" i="44"/>
  <c r="T97" i="44"/>
  <c r="S97" i="44"/>
  <c r="R97" i="44"/>
  <c r="Q97" i="44"/>
  <c r="P97" i="44"/>
  <c r="O97" i="44"/>
  <c r="N97" i="44"/>
  <c r="A97" i="44"/>
  <c r="V96" i="44"/>
  <c r="U96" i="44"/>
  <c r="T96" i="44"/>
  <c r="S96" i="44"/>
  <c r="R96" i="44"/>
  <c r="Q96" i="44"/>
  <c r="P96" i="44"/>
  <c r="O96" i="44"/>
  <c r="N96" i="44"/>
  <c r="A96" i="44"/>
  <c r="V95" i="44"/>
  <c r="U95" i="44"/>
  <c r="T95" i="44"/>
  <c r="S95" i="44"/>
  <c r="R95" i="44"/>
  <c r="Q95" i="44"/>
  <c r="P95" i="44"/>
  <c r="O95" i="44"/>
  <c r="N95" i="44"/>
  <c r="A95" i="44"/>
  <c r="V94" i="44"/>
  <c r="U94" i="44"/>
  <c r="T94" i="44"/>
  <c r="S94" i="44"/>
  <c r="R94" i="44"/>
  <c r="Q94" i="44"/>
  <c r="P94" i="44"/>
  <c r="O94" i="44"/>
  <c r="N94" i="44"/>
  <c r="A94" i="44"/>
  <c r="V93" i="44"/>
  <c r="U93" i="44"/>
  <c r="T93" i="44"/>
  <c r="S93" i="44"/>
  <c r="R93" i="44"/>
  <c r="Q93" i="44"/>
  <c r="P93" i="44"/>
  <c r="O93" i="44"/>
  <c r="N93" i="44"/>
  <c r="A93" i="44"/>
  <c r="V92" i="44"/>
  <c r="U92" i="44"/>
  <c r="T92" i="44"/>
  <c r="S92" i="44"/>
  <c r="R92" i="44"/>
  <c r="Q92" i="44"/>
  <c r="P92" i="44"/>
  <c r="O92" i="44"/>
  <c r="N92" i="44"/>
  <c r="A92" i="44"/>
  <c r="V91" i="44"/>
  <c r="U91" i="44"/>
  <c r="T91" i="44"/>
  <c r="S91" i="44"/>
  <c r="R91" i="44"/>
  <c r="Q91" i="44"/>
  <c r="P91" i="44"/>
  <c r="O91" i="44"/>
  <c r="N91" i="44"/>
  <c r="A91" i="44"/>
  <c r="V90" i="44"/>
  <c r="U90" i="44"/>
  <c r="T90" i="44"/>
  <c r="S90" i="44"/>
  <c r="R90" i="44"/>
  <c r="Q90" i="44"/>
  <c r="P90" i="44"/>
  <c r="O90" i="44"/>
  <c r="N90" i="44"/>
  <c r="A90" i="44"/>
  <c r="V89" i="44"/>
  <c r="U89" i="44"/>
  <c r="T89" i="44"/>
  <c r="S89" i="44"/>
  <c r="R89" i="44"/>
  <c r="Q89" i="44"/>
  <c r="P89" i="44"/>
  <c r="O89" i="44"/>
  <c r="N89" i="44"/>
  <c r="A89" i="44"/>
  <c r="V88" i="44"/>
  <c r="U88" i="44"/>
  <c r="T88" i="44"/>
  <c r="S88" i="44"/>
  <c r="R88" i="44"/>
  <c r="Q88" i="44"/>
  <c r="P88" i="44"/>
  <c r="O88" i="44"/>
  <c r="N88" i="44"/>
  <c r="A88" i="44"/>
  <c r="V87" i="44"/>
  <c r="U87" i="44"/>
  <c r="T87" i="44"/>
  <c r="S87" i="44"/>
  <c r="R87" i="44"/>
  <c r="Q87" i="44"/>
  <c r="P87" i="44"/>
  <c r="O87" i="44"/>
  <c r="N87" i="44"/>
  <c r="A87" i="44"/>
  <c r="V86" i="44"/>
  <c r="U86" i="44"/>
  <c r="T86" i="44"/>
  <c r="S86" i="44"/>
  <c r="R86" i="44"/>
  <c r="Q86" i="44"/>
  <c r="P86" i="44"/>
  <c r="O86" i="44"/>
  <c r="N86" i="44"/>
  <c r="A86" i="44"/>
  <c r="V85" i="44"/>
  <c r="U85" i="44"/>
  <c r="T85" i="44"/>
  <c r="S85" i="44"/>
  <c r="R85" i="44"/>
  <c r="Q85" i="44"/>
  <c r="P85" i="44"/>
  <c r="O85" i="44"/>
  <c r="N85" i="44"/>
  <c r="A85" i="44"/>
  <c r="V84" i="44"/>
  <c r="U84" i="44"/>
  <c r="T84" i="44"/>
  <c r="S84" i="44"/>
  <c r="R84" i="44"/>
  <c r="Q84" i="44"/>
  <c r="P84" i="44"/>
  <c r="O84" i="44"/>
  <c r="N84" i="44"/>
  <c r="A84" i="44"/>
  <c r="V83" i="44"/>
  <c r="U83" i="44"/>
  <c r="T83" i="44"/>
  <c r="S83" i="44"/>
  <c r="R83" i="44"/>
  <c r="Q83" i="44"/>
  <c r="P83" i="44"/>
  <c r="O83" i="44"/>
  <c r="N83" i="44"/>
  <c r="A83" i="44"/>
  <c r="V82" i="44"/>
  <c r="U82" i="44"/>
  <c r="T82" i="44"/>
  <c r="S82" i="44"/>
  <c r="R82" i="44"/>
  <c r="Q82" i="44"/>
  <c r="P82" i="44"/>
  <c r="O82" i="44"/>
  <c r="N82" i="44"/>
  <c r="L82" i="44"/>
  <c r="K82" i="44"/>
  <c r="J82" i="44"/>
  <c r="I82" i="44"/>
  <c r="H82" i="44"/>
  <c r="G82" i="44"/>
  <c r="F82" i="44"/>
  <c r="A82" i="44"/>
  <c r="V81" i="44"/>
  <c r="U81" i="44"/>
  <c r="T81" i="44"/>
  <c r="S81" i="44"/>
  <c r="R81" i="44"/>
  <c r="Q81" i="44"/>
  <c r="P81" i="44"/>
  <c r="O81" i="44"/>
  <c r="N81" i="44"/>
  <c r="A81" i="44"/>
  <c r="V80" i="44"/>
  <c r="U80" i="44"/>
  <c r="T80" i="44"/>
  <c r="S80" i="44"/>
  <c r="R80" i="44"/>
  <c r="Q80" i="44"/>
  <c r="P80" i="44"/>
  <c r="O80" i="44"/>
  <c r="N80" i="44"/>
  <c r="A80" i="44"/>
  <c r="V79" i="44"/>
  <c r="U79" i="44"/>
  <c r="T79" i="44"/>
  <c r="S79" i="44"/>
  <c r="R79" i="44"/>
  <c r="Q79" i="44"/>
  <c r="P79" i="44"/>
  <c r="O79" i="44"/>
  <c r="N79" i="44"/>
  <c r="A79" i="44"/>
  <c r="V78" i="44"/>
  <c r="U78" i="44"/>
  <c r="T78" i="44"/>
  <c r="S78" i="44"/>
  <c r="R78" i="44"/>
  <c r="Q78" i="44"/>
  <c r="P78" i="44"/>
  <c r="O78" i="44"/>
  <c r="N78" i="44"/>
  <c r="A78" i="44"/>
  <c r="V77" i="44"/>
  <c r="U77" i="44"/>
  <c r="T77" i="44"/>
  <c r="S77" i="44"/>
  <c r="R77" i="44"/>
  <c r="Q77" i="44"/>
  <c r="P77" i="44"/>
  <c r="O77" i="44"/>
  <c r="N77" i="44"/>
  <c r="A77" i="44"/>
  <c r="V76" i="44"/>
  <c r="U76" i="44"/>
  <c r="T76" i="44"/>
  <c r="S76" i="44"/>
  <c r="R76" i="44"/>
  <c r="Q76" i="44"/>
  <c r="P76" i="44"/>
  <c r="O76" i="44"/>
  <c r="N76" i="44"/>
  <c r="A76" i="44"/>
  <c r="V75" i="44"/>
  <c r="U75" i="44"/>
  <c r="T75" i="44"/>
  <c r="S75" i="44"/>
  <c r="R75" i="44"/>
  <c r="Q75" i="44"/>
  <c r="P75" i="44"/>
  <c r="O75" i="44"/>
  <c r="N75" i="44"/>
  <c r="A75" i="44"/>
  <c r="V74" i="44"/>
  <c r="U74" i="44"/>
  <c r="T74" i="44"/>
  <c r="S74" i="44"/>
  <c r="R74" i="44"/>
  <c r="Q74" i="44"/>
  <c r="P74" i="44"/>
  <c r="O74" i="44"/>
  <c r="N74" i="44"/>
  <c r="A74" i="44"/>
  <c r="V73" i="44"/>
  <c r="U73" i="44"/>
  <c r="T73" i="44"/>
  <c r="S73" i="44"/>
  <c r="R73" i="44"/>
  <c r="Q73" i="44"/>
  <c r="P73" i="44"/>
  <c r="O73" i="44"/>
  <c r="N73" i="44"/>
  <c r="A73" i="44"/>
  <c r="V72" i="44"/>
  <c r="U72" i="44"/>
  <c r="T72" i="44"/>
  <c r="S72" i="44"/>
  <c r="R72" i="44"/>
  <c r="Q72" i="44"/>
  <c r="P72" i="44"/>
  <c r="O72" i="44"/>
  <c r="N72" i="44"/>
  <c r="A72" i="44"/>
  <c r="V71" i="44"/>
  <c r="U71" i="44"/>
  <c r="T71" i="44"/>
  <c r="S71" i="44"/>
  <c r="R71" i="44"/>
  <c r="Q71" i="44"/>
  <c r="P71" i="44"/>
  <c r="O71" i="44"/>
  <c r="N71" i="44"/>
  <c r="L71" i="44"/>
  <c r="K71" i="44"/>
  <c r="J71" i="44"/>
  <c r="I71" i="44"/>
  <c r="H71" i="44"/>
  <c r="G71" i="44"/>
  <c r="F71" i="44"/>
  <c r="E71" i="44"/>
  <c r="D71" i="44"/>
  <c r="C71" i="44"/>
  <c r="A71" i="44"/>
  <c r="V70" i="44"/>
  <c r="U70" i="44"/>
  <c r="T70" i="44"/>
  <c r="S70" i="44"/>
  <c r="R70" i="44"/>
  <c r="Q70" i="44"/>
  <c r="P70" i="44"/>
  <c r="O70" i="44"/>
  <c r="N70" i="44"/>
  <c r="A70" i="44"/>
  <c r="V69" i="44"/>
  <c r="U69" i="44"/>
  <c r="T69" i="44"/>
  <c r="S69" i="44"/>
  <c r="R69" i="44"/>
  <c r="Q69" i="44"/>
  <c r="P69" i="44"/>
  <c r="O69" i="44"/>
  <c r="N69" i="44"/>
  <c r="L69" i="44"/>
  <c r="K69" i="44"/>
  <c r="J69" i="44"/>
  <c r="I69" i="44"/>
  <c r="H69" i="44"/>
  <c r="G69" i="44"/>
  <c r="F69" i="44"/>
  <c r="E69" i="44"/>
  <c r="D69" i="44"/>
  <c r="C69" i="44"/>
  <c r="A69" i="44"/>
  <c r="V68" i="44"/>
  <c r="U68" i="44"/>
  <c r="T68" i="44"/>
  <c r="S68" i="44"/>
  <c r="R68" i="44"/>
  <c r="Q68" i="44"/>
  <c r="P68" i="44"/>
  <c r="O68" i="44"/>
  <c r="N68" i="44"/>
  <c r="C68" i="44"/>
  <c r="A68" i="44"/>
  <c r="V67" i="44"/>
  <c r="U67" i="44"/>
  <c r="T67" i="44"/>
  <c r="S67" i="44"/>
  <c r="R67" i="44"/>
  <c r="Q67" i="44"/>
  <c r="P67" i="44"/>
  <c r="O67" i="44"/>
  <c r="N67" i="44"/>
  <c r="A67" i="44"/>
  <c r="V66" i="44"/>
  <c r="U66" i="44"/>
  <c r="T66" i="44"/>
  <c r="S66" i="44"/>
  <c r="R66" i="44"/>
  <c r="Q66" i="44"/>
  <c r="P66" i="44"/>
  <c r="O66" i="44"/>
  <c r="N66" i="44"/>
  <c r="A66" i="44"/>
  <c r="V65" i="44"/>
  <c r="U65" i="44"/>
  <c r="T65" i="44"/>
  <c r="S65" i="44"/>
  <c r="R65" i="44"/>
  <c r="Q65" i="44"/>
  <c r="P65" i="44"/>
  <c r="O65" i="44"/>
  <c r="N65" i="44"/>
  <c r="C65" i="44"/>
  <c r="A65" i="44"/>
  <c r="V64" i="44"/>
  <c r="U64" i="44"/>
  <c r="T64" i="44"/>
  <c r="S64" i="44"/>
  <c r="R64" i="44"/>
  <c r="Q64" i="44"/>
  <c r="P64" i="44"/>
  <c r="O64" i="44"/>
  <c r="N64" i="44"/>
  <c r="C64" i="44"/>
  <c r="A64" i="44"/>
  <c r="V63" i="44"/>
  <c r="U63" i="44"/>
  <c r="T63" i="44"/>
  <c r="S63" i="44"/>
  <c r="R63" i="44"/>
  <c r="Q63" i="44"/>
  <c r="P63" i="44"/>
  <c r="O63" i="44"/>
  <c r="N63" i="44"/>
  <c r="A63" i="44"/>
  <c r="V62" i="44"/>
  <c r="U62" i="44"/>
  <c r="T62" i="44"/>
  <c r="S62" i="44"/>
  <c r="R62" i="44"/>
  <c r="Q62" i="44"/>
  <c r="P62" i="44"/>
  <c r="O62" i="44"/>
  <c r="N62" i="44"/>
  <c r="A62" i="44"/>
  <c r="V61" i="44"/>
  <c r="U61" i="44"/>
  <c r="T61" i="44"/>
  <c r="S61" i="44"/>
  <c r="R61" i="44"/>
  <c r="Q61" i="44"/>
  <c r="P61" i="44"/>
  <c r="O61" i="44"/>
  <c r="N61" i="44"/>
  <c r="A61" i="44"/>
  <c r="V60" i="44"/>
  <c r="U60" i="44"/>
  <c r="T60" i="44"/>
  <c r="S60" i="44"/>
  <c r="R60" i="44"/>
  <c r="Q60" i="44"/>
  <c r="P60" i="44"/>
  <c r="O60" i="44"/>
  <c r="N60" i="44"/>
  <c r="A60" i="44"/>
  <c r="V59" i="44"/>
  <c r="U59" i="44"/>
  <c r="T59" i="44"/>
  <c r="S59" i="44"/>
  <c r="R59" i="44"/>
  <c r="Q59" i="44"/>
  <c r="P59" i="44"/>
  <c r="O59" i="44"/>
  <c r="N59" i="44"/>
  <c r="A59" i="44"/>
  <c r="V58" i="44"/>
  <c r="U58" i="44"/>
  <c r="T58" i="44"/>
  <c r="S58" i="44"/>
  <c r="R58" i="44"/>
  <c r="Q58" i="44"/>
  <c r="P58" i="44"/>
  <c r="O58" i="44"/>
  <c r="N58" i="44"/>
  <c r="C58" i="44"/>
  <c r="A58" i="44"/>
  <c r="V57" i="44"/>
  <c r="U57" i="44"/>
  <c r="T57" i="44"/>
  <c r="S57" i="44"/>
  <c r="R57" i="44"/>
  <c r="Q57" i="44"/>
  <c r="P57" i="44"/>
  <c r="O57" i="44"/>
  <c r="N57" i="44"/>
  <c r="C57" i="44"/>
  <c r="A57" i="44"/>
  <c r="V56" i="44"/>
  <c r="U56" i="44"/>
  <c r="T56" i="44"/>
  <c r="S56" i="44"/>
  <c r="R56" i="44"/>
  <c r="Q56" i="44"/>
  <c r="P56" i="44"/>
  <c r="O56" i="44"/>
  <c r="N56" i="44"/>
  <c r="A56" i="44"/>
  <c r="V55" i="44"/>
  <c r="U55" i="44"/>
  <c r="T55" i="44"/>
  <c r="S55" i="44"/>
  <c r="R55" i="44"/>
  <c r="Q55" i="44"/>
  <c r="P55" i="44"/>
  <c r="O55" i="44"/>
  <c r="N55" i="44"/>
  <c r="A55" i="44"/>
  <c r="V54" i="44"/>
  <c r="U54" i="44"/>
  <c r="T54" i="44"/>
  <c r="S54" i="44"/>
  <c r="R54" i="44"/>
  <c r="Q54" i="44"/>
  <c r="P54" i="44"/>
  <c r="O54" i="44"/>
  <c r="N54" i="44"/>
  <c r="C54" i="44"/>
  <c r="A54" i="44"/>
  <c r="V53" i="44"/>
  <c r="U53" i="44"/>
  <c r="T53" i="44"/>
  <c r="S53" i="44"/>
  <c r="R53" i="44"/>
  <c r="Q53" i="44"/>
  <c r="P53" i="44"/>
  <c r="O53" i="44"/>
  <c r="N53" i="44"/>
  <c r="L53" i="44"/>
  <c r="K53" i="44"/>
  <c r="J53" i="44"/>
  <c r="I53" i="44"/>
  <c r="H53" i="44"/>
  <c r="G53" i="44"/>
  <c r="F53" i="44"/>
  <c r="E53" i="44"/>
  <c r="D53" i="44"/>
  <c r="C53" i="44"/>
  <c r="A53" i="44"/>
  <c r="V52" i="44"/>
  <c r="U52" i="44"/>
  <c r="T52" i="44"/>
  <c r="S52" i="44"/>
  <c r="R52" i="44"/>
  <c r="Q52" i="44"/>
  <c r="P52" i="44"/>
  <c r="O52" i="44"/>
  <c r="N52" i="44"/>
  <c r="L52" i="44"/>
  <c r="K52" i="44"/>
  <c r="J52" i="44"/>
  <c r="I52" i="44"/>
  <c r="H52" i="44"/>
  <c r="G52" i="44"/>
  <c r="F52" i="44"/>
  <c r="E52" i="44"/>
  <c r="D52" i="44"/>
  <c r="C52" i="44"/>
  <c r="A52" i="44"/>
  <c r="V51" i="44"/>
  <c r="U51" i="44"/>
  <c r="T51" i="44"/>
  <c r="S51" i="44"/>
  <c r="R51" i="44"/>
  <c r="Q51" i="44"/>
  <c r="P51" i="44"/>
  <c r="O51" i="44"/>
  <c r="N51" i="44"/>
  <c r="A51" i="44"/>
  <c r="V50" i="44"/>
  <c r="U50" i="44"/>
  <c r="T50" i="44"/>
  <c r="S50" i="44"/>
  <c r="R50" i="44"/>
  <c r="Q50" i="44"/>
  <c r="P50" i="44"/>
  <c r="O50" i="44"/>
  <c r="N50" i="44"/>
  <c r="A50" i="44"/>
  <c r="V49" i="44"/>
  <c r="U49" i="44"/>
  <c r="T49" i="44"/>
  <c r="S49" i="44"/>
  <c r="R49" i="44"/>
  <c r="Q49" i="44"/>
  <c r="P49" i="44"/>
  <c r="O49" i="44"/>
  <c r="N49" i="44"/>
  <c r="A49" i="44"/>
  <c r="V48" i="44"/>
  <c r="U48" i="44"/>
  <c r="T48" i="44"/>
  <c r="S48" i="44"/>
  <c r="R48" i="44"/>
  <c r="Q48" i="44"/>
  <c r="P48" i="44"/>
  <c r="O48" i="44"/>
  <c r="N48" i="44"/>
  <c r="A48" i="44"/>
  <c r="V47" i="44"/>
  <c r="U47" i="44"/>
  <c r="T47" i="44"/>
  <c r="S47" i="44"/>
  <c r="R47" i="44"/>
  <c r="Q47" i="44"/>
  <c r="P47" i="44"/>
  <c r="O47" i="44"/>
  <c r="N47" i="44"/>
  <c r="A47" i="44"/>
  <c r="V46" i="44"/>
  <c r="U46" i="44"/>
  <c r="T46" i="44"/>
  <c r="S46" i="44"/>
  <c r="R46" i="44"/>
  <c r="Q46" i="44"/>
  <c r="P46" i="44"/>
  <c r="O46" i="44"/>
  <c r="N46" i="44"/>
  <c r="A46" i="44"/>
  <c r="V45" i="44"/>
  <c r="U45" i="44"/>
  <c r="T45" i="44"/>
  <c r="S45" i="44"/>
  <c r="R45" i="44"/>
  <c r="Q45" i="44"/>
  <c r="P45" i="44"/>
  <c r="O45" i="44"/>
  <c r="N45" i="44"/>
  <c r="A45" i="44"/>
  <c r="V44" i="44"/>
  <c r="U44" i="44"/>
  <c r="T44" i="44"/>
  <c r="S44" i="44"/>
  <c r="R44" i="44"/>
  <c r="Q44" i="44"/>
  <c r="P44" i="44"/>
  <c r="O44" i="44"/>
  <c r="N44" i="44"/>
  <c r="A44" i="44"/>
  <c r="V43" i="44"/>
  <c r="U43" i="44"/>
  <c r="T43" i="44"/>
  <c r="S43" i="44"/>
  <c r="R43" i="44"/>
  <c r="Q43" i="44"/>
  <c r="P43" i="44"/>
  <c r="O43" i="44"/>
  <c r="N43" i="44"/>
  <c r="L43" i="44"/>
  <c r="K43" i="44"/>
  <c r="J43" i="44"/>
  <c r="I43" i="44"/>
  <c r="H43" i="44"/>
  <c r="G43" i="44"/>
  <c r="F43" i="44"/>
  <c r="E43" i="44"/>
  <c r="D43" i="44"/>
  <c r="C43" i="44"/>
  <c r="A43" i="44"/>
  <c r="V42" i="44"/>
  <c r="U42" i="44"/>
  <c r="T42" i="44"/>
  <c r="S42" i="44"/>
  <c r="R42" i="44"/>
  <c r="Q42" i="44"/>
  <c r="P42" i="44"/>
  <c r="O42" i="44"/>
  <c r="N42" i="44"/>
  <c r="L42" i="44"/>
  <c r="K42" i="44"/>
  <c r="J42" i="44"/>
  <c r="I42" i="44"/>
  <c r="H42" i="44"/>
  <c r="G42" i="44"/>
  <c r="F42" i="44"/>
  <c r="E42" i="44"/>
  <c r="D42" i="44"/>
  <c r="C42" i="44"/>
  <c r="A42" i="44"/>
  <c r="V41" i="44"/>
  <c r="U41" i="44"/>
  <c r="T41" i="44"/>
  <c r="S41" i="44"/>
  <c r="R41" i="44"/>
  <c r="Q41" i="44"/>
  <c r="P41" i="44"/>
  <c r="O41" i="44"/>
  <c r="N41" i="44"/>
  <c r="L41" i="44"/>
  <c r="K41" i="44"/>
  <c r="J41" i="44"/>
  <c r="I41" i="44"/>
  <c r="H41" i="44"/>
  <c r="G41" i="44"/>
  <c r="F41" i="44"/>
  <c r="E41" i="44"/>
  <c r="D41" i="44"/>
  <c r="C41" i="44"/>
  <c r="A41" i="44"/>
  <c r="V40" i="44"/>
  <c r="U40" i="44"/>
  <c r="T40" i="44"/>
  <c r="S40" i="44"/>
  <c r="R40" i="44"/>
  <c r="Q40" i="44"/>
  <c r="P40" i="44"/>
  <c r="O40" i="44"/>
  <c r="N40" i="44"/>
  <c r="A40" i="44"/>
  <c r="V39" i="44"/>
  <c r="U39" i="44"/>
  <c r="T39" i="44"/>
  <c r="S39" i="44"/>
  <c r="R39" i="44"/>
  <c r="Q39" i="44"/>
  <c r="P39" i="44"/>
  <c r="O39" i="44"/>
  <c r="N39" i="44"/>
  <c r="L39" i="44"/>
  <c r="K39" i="44"/>
  <c r="J39" i="44"/>
  <c r="I39" i="44"/>
  <c r="H39" i="44"/>
  <c r="G39" i="44"/>
  <c r="F39" i="44"/>
  <c r="E39" i="44"/>
  <c r="D39" i="44"/>
  <c r="C39" i="44"/>
  <c r="A39" i="44"/>
  <c r="V38" i="44"/>
  <c r="U38" i="44"/>
  <c r="T38" i="44"/>
  <c r="S38" i="44"/>
  <c r="R38" i="44"/>
  <c r="Q38" i="44"/>
  <c r="P38" i="44"/>
  <c r="O38" i="44"/>
  <c r="N38" i="44"/>
  <c r="A38" i="44"/>
  <c r="V37" i="44"/>
  <c r="U37" i="44"/>
  <c r="T37" i="44"/>
  <c r="S37" i="44"/>
  <c r="R37" i="44"/>
  <c r="Q37" i="44"/>
  <c r="P37" i="44"/>
  <c r="O37" i="44"/>
  <c r="N37" i="44"/>
  <c r="L37" i="44"/>
  <c r="K37" i="44"/>
  <c r="J37" i="44"/>
  <c r="I37" i="44"/>
  <c r="H37" i="44"/>
  <c r="G37" i="44"/>
  <c r="F37" i="44"/>
  <c r="E37" i="44"/>
  <c r="D37" i="44"/>
  <c r="C37" i="44"/>
  <c r="A37" i="44"/>
  <c r="V36" i="44"/>
  <c r="U36" i="44"/>
  <c r="T36" i="44"/>
  <c r="S36" i="44"/>
  <c r="R36" i="44"/>
  <c r="Q36" i="44"/>
  <c r="P36" i="44"/>
  <c r="O36" i="44"/>
  <c r="N36" i="44"/>
  <c r="A36" i="44"/>
  <c r="V35" i="44"/>
  <c r="U35" i="44"/>
  <c r="T35" i="44"/>
  <c r="S35" i="44"/>
  <c r="R35" i="44"/>
  <c r="Q35" i="44"/>
  <c r="P35" i="44"/>
  <c r="O35" i="44"/>
  <c r="N35" i="44"/>
  <c r="A35" i="44"/>
  <c r="V34" i="44"/>
  <c r="U34" i="44"/>
  <c r="T34" i="44"/>
  <c r="S34" i="44"/>
  <c r="R34" i="44"/>
  <c r="Q34" i="44"/>
  <c r="P34" i="44"/>
  <c r="O34" i="44"/>
  <c r="N34" i="44"/>
  <c r="L34" i="44"/>
  <c r="K34" i="44"/>
  <c r="J34" i="44"/>
  <c r="I34" i="44"/>
  <c r="H34" i="44"/>
  <c r="G34" i="44"/>
  <c r="F34" i="44"/>
  <c r="E34" i="44"/>
  <c r="D34" i="44"/>
  <c r="C34" i="44"/>
  <c r="A34" i="44"/>
  <c r="V33" i="44"/>
  <c r="U33" i="44"/>
  <c r="T33" i="44"/>
  <c r="S33" i="44"/>
  <c r="R33" i="44"/>
  <c r="Q33" i="44"/>
  <c r="P33" i="44"/>
  <c r="O33" i="44"/>
  <c r="N33" i="44"/>
  <c r="L33" i="44"/>
  <c r="K33" i="44"/>
  <c r="J33" i="44"/>
  <c r="I33" i="44"/>
  <c r="H33" i="44"/>
  <c r="G33" i="44"/>
  <c r="F33" i="44"/>
  <c r="E33" i="44"/>
  <c r="D33" i="44"/>
  <c r="T32" i="44"/>
  <c r="S32" i="44"/>
  <c r="V31" i="44"/>
  <c r="U31" i="44"/>
  <c r="T31" i="44"/>
  <c r="S31" i="44"/>
  <c r="R31" i="44"/>
  <c r="Q31" i="44"/>
  <c r="P31" i="44"/>
  <c r="O31" i="44"/>
  <c r="N31" i="44"/>
  <c r="M31" i="44"/>
  <c r="J20" i="44"/>
  <c r="I20" i="44"/>
  <c r="H20" i="44"/>
  <c r="G20" i="44"/>
  <c r="J19" i="44"/>
  <c r="I19" i="44"/>
  <c r="H19" i="44"/>
  <c r="G19" i="44"/>
  <c r="J18" i="44"/>
  <c r="I18" i="44"/>
  <c r="H18" i="44"/>
  <c r="G18" i="44"/>
  <c r="J17" i="44"/>
  <c r="I17" i="44"/>
  <c r="H17" i="44"/>
  <c r="G17" i="44"/>
  <c r="J16" i="44"/>
  <c r="I16" i="44"/>
  <c r="H16" i="44"/>
  <c r="G16" i="44"/>
  <c r="J15" i="44"/>
  <c r="I15" i="44"/>
  <c r="H15" i="44"/>
  <c r="G15" i="44"/>
  <c r="J14" i="44"/>
  <c r="I14" i="44"/>
  <c r="H14" i="44"/>
  <c r="G14" i="44"/>
  <c r="J13" i="44"/>
  <c r="I13" i="44"/>
  <c r="H13" i="44"/>
  <c r="G13" i="44"/>
  <c r="J12" i="44"/>
  <c r="I12" i="44"/>
  <c r="H12" i="44"/>
  <c r="G12" i="44"/>
  <c r="J11" i="44"/>
  <c r="H11" i="44"/>
  <c r="G11" i="44"/>
  <c r="E7" i="44"/>
  <c r="B7" i="44"/>
  <c r="I11" i="44" s="1"/>
  <c r="C33" i="44" s="1"/>
  <c r="F129" i="93"/>
  <c r="E129" i="93"/>
  <c r="D129" i="93"/>
  <c r="C129" i="93"/>
  <c r="G128" i="93"/>
  <c r="F128" i="93"/>
  <c r="E128" i="93"/>
  <c r="D128" i="93"/>
  <c r="C128" i="93"/>
  <c r="G127" i="93"/>
  <c r="F127" i="93"/>
  <c r="E127" i="93"/>
  <c r="D127" i="93"/>
  <c r="C127" i="93"/>
  <c r="V103" i="93"/>
  <c r="U103" i="93"/>
  <c r="T103" i="93"/>
  <c r="S103" i="93"/>
  <c r="R103" i="93"/>
  <c r="Q103" i="93"/>
  <c r="P103" i="93"/>
  <c r="O103" i="93"/>
  <c r="N103" i="93"/>
  <c r="A103" i="93"/>
  <c r="V102" i="93"/>
  <c r="U102" i="93"/>
  <c r="T102" i="93"/>
  <c r="S102" i="93"/>
  <c r="R102" i="93"/>
  <c r="Q102" i="93"/>
  <c r="P102" i="93"/>
  <c r="O102" i="93"/>
  <c r="N102" i="93"/>
  <c r="A102" i="93"/>
  <c r="V101" i="93"/>
  <c r="U101" i="93"/>
  <c r="T101" i="93"/>
  <c r="S101" i="93"/>
  <c r="R101" i="93"/>
  <c r="Q101" i="93"/>
  <c r="P101" i="93"/>
  <c r="O101" i="93"/>
  <c r="N101" i="93"/>
  <c r="A101" i="93"/>
  <c r="V100" i="93"/>
  <c r="U100" i="93"/>
  <c r="T100" i="93"/>
  <c r="S100" i="93"/>
  <c r="R100" i="93"/>
  <c r="Q100" i="93"/>
  <c r="P100" i="93"/>
  <c r="O100" i="93"/>
  <c r="N100" i="93"/>
  <c r="A100" i="93"/>
  <c r="V99" i="93"/>
  <c r="U99" i="93"/>
  <c r="T99" i="93"/>
  <c r="S99" i="93"/>
  <c r="R99" i="93"/>
  <c r="Q99" i="93"/>
  <c r="P99" i="93"/>
  <c r="O99" i="93"/>
  <c r="N99" i="93"/>
  <c r="A99" i="93"/>
  <c r="V98" i="93"/>
  <c r="U98" i="93"/>
  <c r="T98" i="93"/>
  <c r="S98" i="93"/>
  <c r="R98" i="93"/>
  <c r="Q98" i="93"/>
  <c r="P98" i="93"/>
  <c r="O98" i="93"/>
  <c r="N98" i="93"/>
  <c r="A98" i="93"/>
  <c r="V97" i="93"/>
  <c r="U97" i="93"/>
  <c r="T97" i="93"/>
  <c r="S97" i="93"/>
  <c r="R97" i="93"/>
  <c r="Q97" i="93"/>
  <c r="P97" i="93"/>
  <c r="O97" i="93"/>
  <c r="N97" i="93"/>
  <c r="A97" i="93"/>
  <c r="V96" i="93"/>
  <c r="U96" i="93"/>
  <c r="T96" i="93"/>
  <c r="S96" i="93"/>
  <c r="R96" i="93"/>
  <c r="Q96" i="93"/>
  <c r="P96" i="93"/>
  <c r="O96" i="93"/>
  <c r="N96" i="93"/>
  <c r="A96" i="93"/>
  <c r="V95" i="93"/>
  <c r="U95" i="93"/>
  <c r="T95" i="93"/>
  <c r="S95" i="93"/>
  <c r="R95" i="93"/>
  <c r="Q95" i="93"/>
  <c r="P95" i="93"/>
  <c r="O95" i="93"/>
  <c r="N95" i="93"/>
  <c r="A95" i="93"/>
  <c r="V94" i="93"/>
  <c r="U94" i="93"/>
  <c r="T94" i="93"/>
  <c r="S94" i="93"/>
  <c r="R94" i="93"/>
  <c r="Q94" i="93"/>
  <c r="P94" i="93"/>
  <c r="O94" i="93"/>
  <c r="N94" i="93"/>
  <c r="A94" i="93"/>
  <c r="V93" i="93"/>
  <c r="U93" i="93"/>
  <c r="T93" i="93"/>
  <c r="S93" i="93"/>
  <c r="R93" i="93"/>
  <c r="Q93" i="93"/>
  <c r="P93" i="93"/>
  <c r="O93" i="93"/>
  <c r="N93" i="93"/>
  <c r="A93" i="93"/>
  <c r="V92" i="93"/>
  <c r="U92" i="93"/>
  <c r="T92" i="93"/>
  <c r="S92" i="93"/>
  <c r="R92" i="93"/>
  <c r="Q92" i="93"/>
  <c r="P92" i="93"/>
  <c r="O92" i="93"/>
  <c r="N92" i="93"/>
  <c r="A92" i="93"/>
  <c r="V91" i="93"/>
  <c r="U91" i="93"/>
  <c r="T91" i="93"/>
  <c r="S91" i="93"/>
  <c r="R91" i="93"/>
  <c r="Q91" i="93"/>
  <c r="P91" i="93"/>
  <c r="O91" i="93"/>
  <c r="N91" i="93"/>
  <c r="A91" i="93"/>
  <c r="V90" i="93"/>
  <c r="U90" i="93"/>
  <c r="T90" i="93"/>
  <c r="S90" i="93"/>
  <c r="R90" i="93"/>
  <c r="Q90" i="93"/>
  <c r="P90" i="93"/>
  <c r="O90" i="93"/>
  <c r="N90" i="93"/>
  <c r="A90" i="93"/>
  <c r="V89" i="93"/>
  <c r="U89" i="93"/>
  <c r="T89" i="93"/>
  <c r="S89" i="93"/>
  <c r="R89" i="93"/>
  <c r="Q89" i="93"/>
  <c r="P89" i="93"/>
  <c r="O89" i="93"/>
  <c r="N89" i="93"/>
  <c r="A89" i="93"/>
  <c r="V88" i="93"/>
  <c r="U88" i="93"/>
  <c r="T88" i="93"/>
  <c r="S88" i="93"/>
  <c r="R88" i="93"/>
  <c r="Q88" i="93"/>
  <c r="P88" i="93"/>
  <c r="O88" i="93"/>
  <c r="N88" i="93"/>
  <c r="A88" i="93"/>
  <c r="V87" i="93"/>
  <c r="U87" i="93"/>
  <c r="T87" i="93"/>
  <c r="S87" i="93"/>
  <c r="R87" i="93"/>
  <c r="Q87" i="93"/>
  <c r="P87" i="93"/>
  <c r="O87" i="93"/>
  <c r="N87" i="93"/>
  <c r="A87" i="93"/>
  <c r="V86" i="93"/>
  <c r="U86" i="93"/>
  <c r="T86" i="93"/>
  <c r="S86" i="93"/>
  <c r="R86" i="93"/>
  <c r="Q86" i="93"/>
  <c r="P86" i="93"/>
  <c r="O86" i="93"/>
  <c r="N86" i="93"/>
  <c r="A86" i="93"/>
  <c r="V85" i="93"/>
  <c r="U85" i="93"/>
  <c r="T85" i="93"/>
  <c r="S85" i="93"/>
  <c r="R85" i="93"/>
  <c r="Q85" i="93"/>
  <c r="P85" i="93"/>
  <c r="O85" i="93"/>
  <c r="N85" i="93"/>
  <c r="A85" i="93"/>
  <c r="V84" i="93"/>
  <c r="U84" i="93"/>
  <c r="T84" i="93"/>
  <c r="S84" i="93"/>
  <c r="R84" i="93"/>
  <c r="Q84" i="93"/>
  <c r="P84" i="93"/>
  <c r="O84" i="93"/>
  <c r="N84" i="93"/>
  <c r="A84" i="93"/>
  <c r="V83" i="93"/>
  <c r="U83" i="93"/>
  <c r="T83" i="93"/>
  <c r="S83" i="93"/>
  <c r="R83" i="93"/>
  <c r="Q83" i="93"/>
  <c r="P83" i="93"/>
  <c r="O83" i="93"/>
  <c r="N83" i="93"/>
  <c r="A83" i="93"/>
  <c r="V82" i="93"/>
  <c r="U82" i="93"/>
  <c r="T82" i="93"/>
  <c r="S82" i="93"/>
  <c r="R82" i="93"/>
  <c r="Q82" i="93"/>
  <c r="P82" i="93"/>
  <c r="O82" i="93"/>
  <c r="N82" i="93"/>
  <c r="L82" i="93"/>
  <c r="K82" i="93"/>
  <c r="J82" i="93"/>
  <c r="I82" i="93"/>
  <c r="H82" i="93"/>
  <c r="G82" i="93"/>
  <c r="F82" i="93"/>
  <c r="A82" i="93"/>
  <c r="V81" i="93"/>
  <c r="U81" i="93"/>
  <c r="T81" i="93"/>
  <c r="S81" i="93"/>
  <c r="R81" i="93"/>
  <c r="Q81" i="93"/>
  <c r="P81" i="93"/>
  <c r="O81" i="93"/>
  <c r="N81" i="93"/>
  <c r="A81" i="93"/>
  <c r="V80" i="93"/>
  <c r="U80" i="93"/>
  <c r="T80" i="93"/>
  <c r="S80" i="93"/>
  <c r="R80" i="93"/>
  <c r="Q80" i="93"/>
  <c r="P80" i="93"/>
  <c r="O80" i="93"/>
  <c r="N80" i="93"/>
  <c r="A80" i="93"/>
  <c r="V79" i="93"/>
  <c r="U79" i="93"/>
  <c r="T79" i="93"/>
  <c r="S79" i="93"/>
  <c r="R79" i="93"/>
  <c r="Q79" i="93"/>
  <c r="P79" i="93"/>
  <c r="O79" i="93"/>
  <c r="N79" i="93"/>
  <c r="C79" i="93"/>
  <c r="A79" i="93"/>
  <c r="V78" i="93"/>
  <c r="U78" i="93"/>
  <c r="T78" i="93"/>
  <c r="S78" i="93"/>
  <c r="R78" i="93"/>
  <c r="Q78" i="93"/>
  <c r="P78" i="93"/>
  <c r="O78" i="93"/>
  <c r="N78" i="93"/>
  <c r="A78" i="93"/>
  <c r="V77" i="93"/>
  <c r="U77" i="93"/>
  <c r="T77" i="93"/>
  <c r="S77" i="93"/>
  <c r="R77" i="93"/>
  <c r="Q77" i="93"/>
  <c r="P77" i="93"/>
  <c r="O77" i="93"/>
  <c r="N77" i="93"/>
  <c r="C77" i="93"/>
  <c r="A77" i="93"/>
  <c r="V76" i="93"/>
  <c r="U76" i="93"/>
  <c r="T76" i="93"/>
  <c r="S76" i="93"/>
  <c r="R76" i="93"/>
  <c r="Q76" i="93"/>
  <c r="P76" i="93"/>
  <c r="O76" i="93"/>
  <c r="N76" i="93"/>
  <c r="A76" i="93"/>
  <c r="V75" i="93"/>
  <c r="U75" i="93"/>
  <c r="T75" i="93"/>
  <c r="S75" i="93"/>
  <c r="R75" i="93"/>
  <c r="Q75" i="93"/>
  <c r="P75" i="93"/>
  <c r="O75" i="93"/>
  <c r="N75" i="93"/>
  <c r="A75" i="93"/>
  <c r="V74" i="93"/>
  <c r="U74" i="93"/>
  <c r="T74" i="93"/>
  <c r="S74" i="93"/>
  <c r="R74" i="93"/>
  <c r="Q74" i="93"/>
  <c r="P74" i="93"/>
  <c r="O74" i="93"/>
  <c r="N74" i="93"/>
  <c r="A74" i="93"/>
  <c r="V73" i="93"/>
  <c r="U73" i="93"/>
  <c r="T73" i="93"/>
  <c r="S73" i="93"/>
  <c r="R73" i="93"/>
  <c r="Q73" i="93"/>
  <c r="P73" i="93"/>
  <c r="O73" i="93"/>
  <c r="N73" i="93"/>
  <c r="A73" i="93"/>
  <c r="V72" i="93"/>
  <c r="U72" i="93"/>
  <c r="T72" i="93"/>
  <c r="S72" i="93"/>
  <c r="R72" i="93"/>
  <c r="Q72" i="93"/>
  <c r="P72" i="93"/>
  <c r="O72" i="93"/>
  <c r="N72" i="93"/>
  <c r="A72" i="93"/>
  <c r="V71" i="93"/>
  <c r="U71" i="93"/>
  <c r="T71" i="93"/>
  <c r="S71" i="93"/>
  <c r="R71" i="93"/>
  <c r="Q71" i="93"/>
  <c r="P71" i="93"/>
  <c r="O71" i="93"/>
  <c r="N71" i="93"/>
  <c r="L71" i="93"/>
  <c r="K71" i="93"/>
  <c r="J71" i="93"/>
  <c r="I71" i="93"/>
  <c r="H71" i="93"/>
  <c r="G71" i="93"/>
  <c r="F71" i="93"/>
  <c r="E71" i="93"/>
  <c r="D71" i="93"/>
  <c r="C71" i="93"/>
  <c r="A71" i="93"/>
  <c r="V70" i="93"/>
  <c r="U70" i="93"/>
  <c r="T70" i="93"/>
  <c r="S70" i="93"/>
  <c r="R70" i="93"/>
  <c r="Q70" i="93"/>
  <c r="P70" i="93"/>
  <c r="O70" i="93"/>
  <c r="N70" i="93"/>
  <c r="A70" i="93"/>
  <c r="L69" i="93"/>
  <c r="K69" i="93"/>
  <c r="J69" i="93"/>
  <c r="I69" i="93"/>
  <c r="H69" i="93"/>
  <c r="G69" i="93"/>
  <c r="F69" i="93"/>
  <c r="E69" i="93"/>
  <c r="D69" i="93"/>
  <c r="C69" i="93"/>
  <c r="A69" i="93"/>
  <c r="V68" i="93"/>
  <c r="U68" i="93"/>
  <c r="T68" i="93"/>
  <c r="S68" i="93"/>
  <c r="R68" i="93"/>
  <c r="Q68" i="93"/>
  <c r="P68" i="93"/>
  <c r="O68" i="93"/>
  <c r="N68" i="93"/>
  <c r="C68" i="93"/>
  <c r="A68" i="93"/>
  <c r="V67" i="93"/>
  <c r="U67" i="93"/>
  <c r="T67" i="93"/>
  <c r="S67" i="93"/>
  <c r="R67" i="93"/>
  <c r="Q67" i="93"/>
  <c r="P67" i="93"/>
  <c r="O67" i="93"/>
  <c r="N67" i="93"/>
  <c r="A67" i="93"/>
  <c r="V66" i="93"/>
  <c r="U66" i="93"/>
  <c r="T66" i="93"/>
  <c r="S66" i="93"/>
  <c r="R66" i="93"/>
  <c r="Q66" i="93"/>
  <c r="P66" i="93"/>
  <c r="O66" i="93"/>
  <c r="N66" i="93"/>
  <c r="A66" i="93"/>
  <c r="C65" i="93"/>
  <c r="A65" i="93"/>
  <c r="V64" i="93"/>
  <c r="U64" i="93"/>
  <c r="T64" i="93"/>
  <c r="S64" i="93"/>
  <c r="R64" i="93"/>
  <c r="Q64" i="93"/>
  <c r="P64" i="93"/>
  <c r="O64" i="93"/>
  <c r="N64" i="93"/>
  <c r="C64" i="93"/>
  <c r="A64" i="93"/>
  <c r="V63" i="93"/>
  <c r="U63" i="93"/>
  <c r="T63" i="93"/>
  <c r="S63" i="93"/>
  <c r="R63" i="93"/>
  <c r="Q63" i="93"/>
  <c r="P63" i="93"/>
  <c r="O63" i="93"/>
  <c r="N63" i="93"/>
  <c r="A63" i="93"/>
  <c r="V62" i="93"/>
  <c r="U62" i="93"/>
  <c r="T62" i="93"/>
  <c r="S62" i="93"/>
  <c r="R62" i="93"/>
  <c r="Q62" i="93"/>
  <c r="P62" i="93"/>
  <c r="O62" i="93"/>
  <c r="N62" i="93"/>
  <c r="A62" i="93"/>
  <c r="V61" i="93"/>
  <c r="U61" i="93"/>
  <c r="T61" i="93"/>
  <c r="S61" i="93"/>
  <c r="R61" i="93"/>
  <c r="Q61" i="93"/>
  <c r="P61" i="93"/>
  <c r="O61" i="93"/>
  <c r="N61" i="93"/>
  <c r="A61" i="93"/>
  <c r="V60" i="93"/>
  <c r="U60" i="93"/>
  <c r="T60" i="93"/>
  <c r="S60" i="93"/>
  <c r="R60" i="93"/>
  <c r="Q60" i="93"/>
  <c r="P60" i="93"/>
  <c r="O60" i="93"/>
  <c r="N60" i="93"/>
  <c r="A60" i="93"/>
  <c r="V59" i="93"/>
  <c r="U59" i="93"/>
  <c r="T59" i="93"/>
  <c r="S59" i="93"/>
  <c r="R59" i="93"/>
  <c r="Q59" i="93"/>
  <c r="P59" i="93"/>
  <c r="O59" i="93"/>
  <c r="N59" i="93"/>
  <c r="A59" i="93"/>
  <c r="V58" i="93"/>
  <c r="U58" i="93"/>
  <c r="T58" i="93"/>
  <c r="S58" i="93"/>
  <c r="R58" i="93"/>
  <c r="Q58" i="93"/>
  <c r="P58" i="93"/>
  <c r="O58" i="93"/>
  <c r="N58" i="93"/>
  <c r="C58" i="93"/>
  <c r="A58" i="93"/>
  <c r="V57" i="93"/>
  <c r="U57" i="93"/>
  <c r="T57" i="93"/>
  <c r="S57" i="93"/>
  <c r="R57" i="93"/>
  <c r="Q57" i="93"/>
  <c r="P57" i="93"/>
  <c r="O57" i="93"/>
  <c r="N57" i="93"/>
  <c r="C57" i="93"/>
  <c r="A57" i="93"/>
  <c r="V56" i="93"/>
  <c r="U56" i="93"/>
  <c r="T56" i="93"/>
  <c r="S56" i="93"/>
  <c r="R56" i="93"/>
  <c r="Q56" i="93"/>
  <c r="P56" i="93"/>
  <c r="O56" i="93"/>
  <c r="N56" i="93"/>
  <c r="A56" i="93"/>
  <c r="V55" i="93"/>
  <c r="U55" i="93"/>
  <c r="T55" i="93"/>
  <c r="S55" i="93"/>
  <c r="R55" i="93"/>
  <c r="Q55" i="93"/>
  <c r="P55" i="93"/>
  <c r="O55" i="93"/>
  <c r="N55" i="93"/>
  <c r="A55" i="93"/>
  <c r="V54" i="93"/>
  <c r="U54" i="93"/>
  <c r="T54" i="93"/>
  <c r="S54" i="93"/>
  <c r="R54" i="93"/>
  <c r="Q54" i="93"/>
  <c r="P54" i="93"/>
  <c r="O54" i="93"/>
  <c r="N54" i="93"/>
  <c r="C54" i="93"/>
  <c r="A54" i="93"/>
  <c r="V53" i="93"/>
  <c r="U53" i="93"/>
  <c r="T53" i="93"/>
  <c r="S53" i="93"/>
  <c r="R53" i="93"/>
  <c r="Q53" i="93"/>
  <c r="P53" i="93"/>
  <c r="O53" i="93"/>
  <c r="N53" i="93"/>
  <c r="L53" i="93"/>
  <c r="K53" i="93"/>
  <c r="J53" i="93"/>
  <c r="I53" i="93"/>
  <c r="H53" i="93"/>
  <c r="G53" i="93"/>
  <c r="F53" i="93"/>
  <c r="E53" i="93"/>
  <c r="D53" i="93"/>
  <c r="C53" i="93"/>
  <c r="A53" i="93"/>
  <c r="V52" i="93"/>
  <c r="U52" i="93"/>
  <c r="T52" i="93"/>
  <c r="S52" i="93"/>
  <c r="R52" i="93"/>
  <c r="Q52" i="93"/>
  <c r="P52" i="93"/>
  <c r="O52" i="93"/>
  <c r="N52" i="93"/>
  <c r="L52" i="93"/>
  <c r="K52" i="93"/>
  <c r="J52" i="93"/>
  <c r="I52" i="93"/>
  <c r="H52" i="93"/>
  <c r="G52" i="93"/>
  <c r="F52" i="93"/>
  <c r="E52" i="93"/>
  <c r="D52" i="93"/>
  <c r="C52" i="93"/>
  <c r="A52" i="93"/>
  <c r="V51" i="93"/>
  <c r="U51" i="93"/>
  <c r="T51" i="93"/>
  <c r="S51" i="93"/>
  <c r="R51" i="93"/>
  <c r="Q51" i="93"/>
  <c r="P51" i="93"/>
  <c r="O51" i="93"/>
  <c r="N51" i="93"/>
  <c r="A51" i="93"/>
  <c r="V50" i="93"/>
  <c r="U50" i="93"/>
  <c r="T50" i="93"/>
  <c r="S50" i="93"/>
  <c r="R50" i="93"/>
  <c r="Q50" i="93"/>
  <c r="P50" i="93"/>
  <c r="O50" i="93"/>
  <c r="N50" i="93"/>
  <c r="A50" i="93"/>
  <c r="V49" i="93"/>
  <c r="U49" i="93"/>
  <c r="T49" i="93"/>
  <c r="S49" i="93"/>
  <c r="R49" i="93"/>
  <c r="Q49" i="93"/>
  <c r="P49" i="93"/>
  <c r="O49" i="93"/>
  <c r="N49" i="93"/>
  <c r="A49" i="93"/>
  <c r="V48" i="93"/>
  <c r="U48" i="93"/>
  <c r="T48" i="93"/>
  <c r="S48" i="93"/>
  <c r="R48" i="93"/>
  <c r="Q48" i="93"/>
  <c r="P48" i="93"/>
  <c r="O48" i="93"/>
  <c r="N48" i="93"/>
  <c r="A48" i="93"/>
  <c r="V47" i="93"/>
  <c r="U47" i="93"/>
  <c r="T47" i="93"/>
  <c r="S47" i="93"/>
  <c r="R47" i="93"/>
  <c r="Q47" i="93"/>
  <c r="P47" i="93"/>
  <c r="O47" i="93"/>
  <c r="N47" i="93"/>
  <c r="A47" i="93"/>
  <c r="V46" i="93"/>
  <c r="U46" i="93"/>
  <c r="T46" i="93"/>
  <c r="S46" i="93"/>
  <c r="R46" i="93"/>
  <c r="Q46" i="93"/>
  <c r="P46" i="93"/>
  <c r="O46" i="93"/>
  <c r="N46" i="93"/>
  <c r="A46" i="93"/>
  <c r="V45" i="93"/>
  <c r="U45" i="93"/>
  <c r="T45" i="93"/>
  <c r="S45" i="93"/>
  <c r="R45" i="93"/>
  <c r="Q45" i="93"/>
  <c r="P45" i="93"/>
  <c r="O45" i="93"/>
  <c r="N45" i="93"/>
  <c r="A45" i="93"/>
  <c r="V44" i="93"/>
  <c r="U44" i="93"/>
  <c r="T44" i="93"/>
  <c r="S44" i="93"/>
  <c r="R44" i="93"/>
  <c r="Q44" i="93"/>
  <c r="P44" i="93"/>
  <c r="O44" i="93"/>
  <c r="N44" i="93"/>
  <c r="A44" i="93"/>
  <c r="V43" i="93"/>
  <c r="U43" i="93"/>
  <c r="T43" i="93"/>
  <c r="S43" i="93"/>
  <c r="R43" i="93"/>
  <c r="Q43" i="93"/>
  <c r="P43" i="93"/>
  <c r="O43" i="93"/>
  <c r="N43" i="93"/>
  <c r="L43" i="93"/>
  <c r="K43" i="93"/>
  <c r="J43" i="93"/>
  <c r="I43" i="93"/>
  <c r="H43" i="93"/>
  <c r="G43" i="93"/>
  <c r="F43" i="93"/>
  <c r="E43" i="93"/>
  <c r="D43" i="93"/>
  <c r="C43" i="93"/>
  <c r="A43" i="93"/>
  <c r="V42" i="93"/>
  <c r="U42" i="93"/>
  <c r="T42" i="93"/>
  <c r="S42" i="93"/>
  <c r="R42" i="93"/>
  <c r="Q42" i="93"/>
  <c r="P42" i="93"/>
  <c r="O42" i="93"/>
  <c r="N42" i="93"/>
  <c r="L42" i="93"/>
  <c r="K42" i="93"/>
  <c r="J42" i="93"/>
  <c r="I42" i="93"/>
  <c r="H42" i="93"/>
  <c r="G42" i="93"/>
  <c r="F42" i="93"/>
  <c r="E42" i="93"/>
  <c r="D42" i="93"/>
  <c r="C42" i="93"/>
  <c r="A42" i="93"/>
  <c r="V41" i="93"/>
  <c r="U41" i="93"/>
  <c r="T41" i="93"/>
  <c r="S41" i="93"/>
  <c r="R41" i="93"/>
  <c r="Q41" i="93"/>
  <c r="P41" i="93"/>
  <c r="O41" i="93"/>
  <c r="N41" i="93"/>
  <c r="L41" i="93"/>
  <c r="K41" i="93"/>
  <c r="J41" i="93"/>
  <c r="I41" i="93"/>
  <c r="H41" i="93"/>
  <c r="G41" i="93"/>
  <c r="F41" i="93"/>
  <c r="E41" i="93"/>
  <c r="D41" i="93"/>
  <c r="C41" i="93"/>
  <c r="A41" i="93"/>
  <c r="V40" i="93"/>
  <c r="U40" i="93"/>
  <c r="T40" i="93"/>
  <c r="S40" i="93"/>
  <c r="R40" i="93"/>
  <c r="Q40" i="93"/>
  <c r="P40" i="93"/>
  <c r="O40" i="93"/>
  <c r="N40" i="93"/>
  <c r="A40" i="93"/>
  <c r="V39" i="93"/>
  <c r="U39" i="93"/>
  <c r="T39" i="93"/>
  <c r="S39" i="93"/>
  <c r="R39" i="93"/>
  <c r="Q39" i="93"/>
  <c r="P39" i="93"/>
  <c r="O39" i="93"/>
  <c r="N39" i="93"/>
  <c r="L39" i="93"/>
  <c r="K39" i="93"/>
  <c r="J39" i="93"/>
  <c r="I39" i="93"/>
  <c r="H39" i="93"/>
  <c r="G39" i="93"/>
  <c r="F39" i="93"/>
  <c r="E39" i="93"/>
  <c r="D39" i="93"/>
  <c r="C39" i="93"/>
  <c r="A39" i="93"/>
  <c r="V38" i="93"/>
  <c r="U38" i="93"/>
  <c r="T38" i="93"/>
  <c r="S38" i="93"/>
  <c r="R38" i="93"/>
  <c r="Q38" i="93"/>
  <c r="P38" i="93"/>
  <c r="O38" i="93"/>
  <c r="N38" i="93"/>
  <c r="A38" i="93"/>
  <c r="V37" i="93"/>
  <c r="U37" i="93"/>
  <c r="T37" i="93"/>
  <c r="S37" i="93"/>
  <c r="R37" i="93"/>
  <c r="Q37" i="93"/>
  <c r="P37" i="93"/>
  <c r="O37" i="93"/>
  <c r="N37" i="93"/>
  <c r="L37" i="93"/>
  <c r="K37" i="93"/>
  <c r="J37" i="93"/>
  <c r="I37" i="93"/>
  <c r="H37" i="93"/>
  <c r="G37" i="93"/>
  <c r="F37" i="93"/>
  <c r="E37" i="93"/>
  <c r="D37" i="93"/>
  <c r="C37" i="93"/>
  <c r="A37" i="93"/>
  <c r="V36" i="93"/>
  <c r="U36" i="93"/>
  <c r="T36" i="93"/>
  <c r="S36" i="93"/>
  <c r="R36" i="93"/>
  <c r="Q36" i="93"/>
  <c r="P36" i="93"/>
  <c r="O36" i="93"/>
  <c r="N36" i="93"/>
  <c r="C36" i="93"/>
  <c r="A36" i="93"/>
  <c r="V35" i="93"/>
  <c r="U35" i="93"/>
  <c r="T35" i="93"/>
  <c r="S35" i="93"/>
  <c r="R35" i="93"/>
  <c r="Q35" i="93"/>
  <c r="P35" i="93"/>
  <c r="O35" i="93"/>
  <c r="N35" i="93"/>
  <c r="A35" i="93"/>
  <c r="V34" i="93"/>
  <c r="U34" i="93"/>
  <c r="T34" i="93"/>
  <c r="S34" i="93"/>
  <c r="R34" i="93"/>
  <c r="Q34" i="93"/>
  <c r="P34" i="93"/>
  <c r="O34" i="93"/>
  <c r="N34" i="93"/>
  <c r="L34" i="93"/>
  <c r="K34" i="93"/>
  <c r="J34" i="93"/>
  <c r="I34" i="93"/>
  <c r="H34" i="93"/>
  <c r="G34" i="93"/>
  <c r="F34" i="93"/>
  <c r="E34" i="93"/>
  <c r="D34" i="93"/>
  <c r="C34" i="93"/>
  <c r="A34" i="93"/>
  <c r="V33" i="93"/>
  <c r="U33" i="93"/>
  <c r="T33" i="93"/>
  <c r="S33" i="93"/>
  <c r="R33" i="93"/>
  <c r="Q33" i="93"/>
  <c r="P33" i="93"/>
  <c r="O33" i="93"/>
  <c r="N33" i="93"/>
  <c r="L33" i="93"/>
  <c r="K33" i="93"/>
  <c r="J33" i="93"/>
  <c r="I33" i="93"/>
  <c r="H33" i="93"/>
  <c r="G33" i="93"/>
  <c r="F33" i="93"/>
  <c r="E33" i="93"/>
  <c r="D33" i="93"/>
  <c r="T32" i="93"/>
  <c r="S32" i="93"/>
  <c r="V31" i="93"/>
  <c r="U31" i="93"/>
  <c r="T31" i="93"/>
  <c r="S31" i="93"/>
  <c r="R31" i="93"/>
  <c r="Q31" i="93"/>
  <c r="P31" i="93"/>
  <c r="O31" i="93"/>
  <c r="N31" i="93"/>
  <c r="M31" i="93"/>
  <c r="J20" i="93"/>
  <c r="I20" i="93"/>
  <c r="H20" i="93"/>
  <c r="G20" i="93"/>
  <c r="J19" i="93"/>
  <c r="I19" i="93"/>
  <c r="H19" i="93"/>
  <c r="G19" i="93"/>
  <c r="J18" i="93"/>
  <c r="I18" i="93"/>
  <c r="H18" i="93"/>
  <c r="G18" i="93"/>
  <c r="J17" i="93"/>
  <c r="I17" i="93"/>
  <c r="H17" i="93"/>
  <c r="G17" i="93"/>
  <c r="J16" i="93"/>
  <c r="I16" i="93"/>
  <c r="H16" i="93"/>
  <c r="G16" i="93"/>
  <c r="J15" i="93"/>
  <c r="I15" i="93"/>
  <c r="H15" i="93"/>
  <c r="G15" i="93"/>
  <c r="J14" i="93"/>
  <c r="I14" i="93"/>
  <c r="H14" i="93"/>
  <c r="G14" i="93"/>
  <c r="J13" i="93"/>
  <c r="I13" i="93"/>
  <c r="H13" i="93"/>
  <c r="G13" i="93"/>
  <c r="J12" i="93"/>
  <c r="I12" i="93"/>
  <c r="H12" i="93"/>
  <c r="G12" i="93"/>
  <c r="J11" i="93"/>
  <c r="H11" i="93"/>
  <c r="G11" i="93"/>
  <c r="E7" i="93"/>
  <c r="B7" i="93"/>
  <c r="I11" i="93" s="1"/>
  <c r="C33" i="93" s="1"/>
  <c r="G124" i="43"/>
  <c r="E124" i="43"/>
  <c r="C124" i="43"/>
  <c r="V103" i="43"/>
  <c r="U103" i="43"/>
  <c r="T103" i="43"/>
  <c r="S103" i="43"/>
  <c r="R103" i="43"/>
  <c r="Q103" i="43"/>
  <c r="P103" i="43"/>
  <c r="O103" i="43"/>
  <c r="N103" i="43"/>
  <c r="A103" i="43"/>
  <c r="V102" i="43"/>
  <c r="U102" i="43"/>
  <c r="T102" i="43"/>
  <c r="S102" i="43"/>
  <c r="R102" i="43"/>
  <c r="Q102" i="43"/>
  <c r="P102" i="43"/>
  <c r="O102" i="43"/>
  <c r="N102" i="43"/>
  <c r="A102" i="43"/>
  <c r="V101" i="43"/>
  <c r="U101" i="43"/>
  <c r="T101" i="43"/>
  <c r="S101" i="43"/>
  <c r="R101" i="43"/>
  <c r="Q101" i="43"/>
  <c r="P101" i="43"/>
  <c r="O101" i="43"/>
  <c r="N101" i="43"/>
  <c r="A101" i="43"/>
  <c r="V100" i="43"/>
  <c r="U100" i="43"/>
  <c r="T100" i="43"/>
  <c r="S100" i="43"/>
  <c r="R100" i="43"/>
  <c r="Q100" i="43"/>
  <c r="P100" i="43"/>
  <c r="O100" i="43"/>
  <c r="N100" i="43"/>
  <c r="A100" i="43"/>
  <c r="V99" i="43"/>
  <c r="U99" i="43"/>
  <c r="T99" i="43"/>
  <c r="S99" i="43"/>
  <c r="R99" i="43"/>
  <c r="Q99" i="43"/>
  <c r="P99" i="43"/>
  <c r="O99" i="43"/>
  <c r="N99" i="43"/>
  <c r="A99" i="43"/>
  <c r="V98" i="43"/>
  <c r="U98" i="43"/>
  <c r="T98" i="43"/>
  <c r="S98" i="43"/>
  <c r="R98" i="43"/>
  <c r="Q98" i="43"/>
  <c r="P98" i="43"/>
  <c r="O98" i="43"/>
  <c r="N98" i="43"/>
  <c r="A98" i="43"/>
  <c r="V97" i="43"/>
  <c r="U97" i="43"/>
  <c r="T97" i="43"/>
  <c r="S97" i="43"/>
  <c r="R97" i="43"/>
  <c r="Q97" i="43"/>
  <c r="P97" i="43"/>
  <c r="O97" i="43"/>
  <c r="N97" i="43"/>
  <c r="A97" i="43"/>
  <c r="V96" i="43"/>
  <c r="U96" i="43"/>
  <c r="T96" i="43"/>
  <c r="S96" i="43"/>
  <c r="R96" i="43"/>
  <c r="Q96" i="43"/>
  <c r="P96" i="43"/>
  <c r="O96" i="43"/>
  <c r="N96" i="43"/>
  <c r="A96" i="43"/>
  <c r="V95" i="43"/>
  <c r="U95" i="43"/>
  <c r="T95" i="43"/>
  <c r="S95" i="43"/>
  <c r="R95" i="43"/>
  <c r="Q95" i="43"/>
  <c r="P95" i="43"/>
  <c r="O95" i="43"/>
  <c r="N95" i="43"/>
  <c r="A95" i="43"/>
  <c r="V94" i="43"/>
  <c r="U94" i="43"/>
  <c r="T94" i="43"/>
  <c r="S94" i="43"/>
  <c r="R94" i="43"/>
  <c r="Q94" i="43"/>
  <c r="P94" i="43"/>
  <c r="O94" i="43"/>
  <c r="N94" i="43"/>
  <c r="A94" i="43"/>
  <c r="V93" i="43"/>
  <c r="U93" i="43"/>
  <c r="T93" i="43"/>
  <c r="S93" i="43"/>
  <c r="R93" i="43"/>
  <c r="Q93" i="43"/>
  <c r="P93" i="43"/>
  <c r="O93" i="43"/>
  <c r="N93" i="43"/>
  <c r="A93" i="43"/>
  <c r="V92" i="43"/>
  <c r="U92" i="43"/>
  <c r="T92" i="43"/>
  <c r="S92" i="43"/>
  <c r="R92" i="43"/>
  <c r="Q92" i="43"/>
  <c r="P92" i="43"/>
  <c r="O92" i="43"/>
  <c r="N92" i="43"/>
  <c r="A92" i="43"/>
  <c r="V91" i="43"/>
  <c r="U91" i="43"/>
  <c r="T91" i="43"/>
  <c r="S91" i="43"/>
  <c r="R91" i="43"/>
  <c r="Q91" i="43"/>
  <c r="P91" i="43"/>
  <c r="O91" i="43"/>
  <c r="N91" i="43"/>
  <c r="A91" i="43"/>
  <c r="V90" i="43"/>
  <c r="U90" i="43"/>
  <c r="T90" i="43"/>
  <c r="S90" i="43"/>
  <c r="R90" i="43"/>
  <c r="Q90" i="43"/>
  <c r="P90" i="43"/>
  <c r="O90" i="43"/>
  <c r="N90" i="43"/>
  <c r="A90" i="43"/>
  <c r="V89" i="43"/>
  <c r="U89" i="43"/>
  <c r="T89" i="43"/>
  <c r="S89" i="43"/>
  <c r="R89" i="43"/>
  <c r="Q89" i="43"/>
  <c r="P89" i="43"/>
  <c r="O89" i="43"/>
  <c r="N89" i="43"/>
  <c r="A89" i="43"/>
  <c r="V88" i="43"/>
  <c r="U88" i="43"/>
  <c r="T88" i="43"/>
  <c r="S88" i="43"/>
  <c r="R88" i="43"/>
  <c r="Q88" i="43"/>
  <c r="P88" i="43"/>
  <c r="O88" i="43"/>
  <c r="N88" i="43"/>
  <c r="A88" i="43"/>
  <c r="V87" i="43"/>
  <c r="U87" i="43"/>
  <c r="T87" i="43"/>
  <c r="S87" i="43"/>
  <c r="R87" i="43"/>
  <c r="Q87" i="43"/>
  <c r="P87" i="43"/>
  <c r="O87" i="43"/>
  <c r="N87" i="43"/>
  <c r="A87" i="43"/>
  <c r="V86" i="43"/>
  <c r="U86" i="43"/>
  <c r="T86" i="43"/>
  <c r="S86" i="43"/>
  <c r="R86" i="43"/>
  <c r="Q86" i="43"/>
  <c r="P86" i="43"/>
  <c r="O86" i="43"/>
  <c r="N86" i="43"/>
  <c r="A86" i="43"/>
  <c r="V85" i="43"/>
  <c r="U85" i="43"/>
  <c r="T85" i="43"/>
  <c r="S85" i="43"/>
  <c r="R85" i="43"/>
  <c r="Q85" i="43"/>
  <c r="P85" i="43"/>
  <c r="O85" i="43"/>
  <c r="N85" i="43"/>
  <c r="A85" i="43"/>
  <c r="V84" i="43"/>
  <c r="U84" i="43"/>
  <c r="T84" i="43"/>
  <c r="S84" i="43"/>
  <c r="R84" i="43"/>
  <c r="Q84" i="43"/>
  <c r="P84" i="43"/>
  <c r="O84" i="43"/>
  <c r="N84" i="43"/>
  <c r="A84" i="43"/>
  <c r="V83" i="43"/>
  <c r="U83" i="43"/>
  <c r="T83" i="43"/>
  <c r="S83" i="43"/>
  <c r="R83" i="43"/>
  <c r="Q83" i="43"/>
  <c r="P83" i="43"/>
  <c r="O83" i="43"/>
  <c r="N83" i="43"/>
  <c r="A83" i="43"/>
  <c r="V82" i="43"/>
  <c r="U82" i="43"/>
  <c r="T82" i="43"/>
  <c r="S82" i="43"/>
  <c r="R82" i="43"/>
  <c r="Q82" i="43"/>
  <c r="P82" i="43"/>
  <c r="O82" i="43"/>
  <c r="N82" i="43"/>
  <c r="L82" i="43"/>
  <c r="K82" i="43"/>
  <c r="J82" i="43"/>
  <c r="I82" i="43"/>
  <c r="H82" i="43"/>
  <c r="G82" i="43"/>
  <c r="F82" i="43"/>
  <c r="A82" i="43"/>
  <c r="V81" i="43"/>
  <c r="U81" i="43"/>
  <c r="T81" i="43"/>
  <c r="S81" i="43"/>
  <c r="R81" i="43"/>
  <c r="Q81" i="43"/>
  <c r="P81" i="43"/>
  <c r="O81" i="43"/>
  <c r="N81" i="43"/>
  <c r="A81" i="43"/>
  <c r="V80" i="43"/>
  <c r="U80" i="43"/>
  <c r="T80" i="43"/>
  <c r="S80" i="43"/>
  <c r="R80" i="43"/>
  <c r="Q80" i="43"/>
  <c r="P80" i="43"/>
  <c r="O80" i="43"/>
  <c r="N80" i="43"/>
  <c r="A80" i="43"/>
  <c r="V79" i="43"/>
  <c r="U79" i="43"/>
  <c r="T79" i="43"/>
  <c r="S79" i="43"/>
  <c r="R79" i="43"/>
  <c r="Q79" i="43"/>
  <c r="P79" i="43"/>
  <c r="O79" i="43"/>
  <c r="N79" i="43"/>
  <c r="A79" i="43"/>
  <c r="V78" i="43"/>
  <c r="U78" i="43"/>
  <c r="T78" i="43"/>
  <c r="S78" i="43"/>
  <c r="R78" i="43"/>
  <c r="Q78" i="43"/>
  <c r="P78" i="43"/>
  <c r="O78" i="43"/>
  <c r="N78" i="43"/>
  <c r="A78" i="43"/>
  <c r="V77" i="43"/>
  <c r="U77" i="43"/>
  <c r="T77" i="43"/>
  <c r="S77" i="43"/>
  <c r="R77" i="43"/>
  <c r="Q77" i="43"/>
  <c r="P77" i="43"/>
  <c r="O77" i="43"/>
  <c r="N77" i="43"/>
  <c r="A77" i="43"/>
  <c r="V76" i="43"/>
  <c r="U76" i="43"/>
  <c r="T76" i="43"/>
  <c r="S76" i="43"/>
  <c r="R76" i="43"/>
  <c r="Q76" i="43"/>
  <c r="P76" i="43"/>
  <c r="O76" i="43"/>
  <c r="N76" i="43"/>
  <c r="A76" i="43"/>
  <c r="V75" i="43"/>
  <c r="U75" i="43"/>
  <c r="T75" i="43"/>
  <c r="S75" i="43"/>
  <c r="R75" i="43"/>
  <c r="Q75" i="43"/>
  <c r="P75" i="43"/>
  <c r="O75" i="43"/>
  <c r="N75" i="43"/>
  <c r="A75" i="43"/>
  <c r="V74" i="43"/>
  <c r="U74" i="43"/>
  <c r="T74" i="43"/>
  <c r="S74" i="43"/>
  <c r="R74" i="43"/>
  <c r="Q74" i="43"/>
  <c r="P74" i="43"/>
  <c r="O74" i="43"/>
  <c r="N74" i="43"/>
  <c r="A74" i="43"/>
  <c r="V73" i="43"/>
  <c r="U73" i="43"/>
  <c r="T73" i="43"/>
  <c r="S73" i="43"/>
  <c r="R73" i="43"/>
  <c r="Q73" i="43"/>
  <c r="P73" i="43"/>
  <c r="O73" i="43"/>
  <c r="N73" i="43"/>
  <c r="A73" i="43"/>
  <c r="V72" i="43"/>
  <c r="U72" i="43"/>
  <c r="T72" i="43"/>
  <c r="S72" i="43"/>
  <c r="R72" i="43"/>
  <c r="Q72" i="43"/>
  <c r="P72" i="43"/>
  <c r="O72" i="43"/>
  <c r="N72" i="43"/>
  <c r="A72" i="43"/>
  <c r="V71" i="43"/>
  <c r="U71" i="43"/>
  <c r="T71" i="43"/>
  <c r="S71" i="43"/>
  <c r="R71" i="43"/>
  <c r="Q71" i="43"/>
  <c r="P71" i="43"/>
  <c r="O71" i="43"/>
  <c r="N71" i="43"/>
  <c r="L71" i="43"/>
  <c r="K71" i="43"/>
  <c r="J71" i="43"/>
  <c r="I71" i="43"/>
  <c r="H71" i="43"/>
  <c r="G71" i="43"/>
  <c r="F71" i="43"/>
  <c r="E71" i="43"/>
  <c r="D71" i="43"/>
  <c r="C71" i="43"/>
  <c r="A71" i="43"/>
  <c r="V70" i="43"/>
  <c r="U70" i="43"/>
  <c r="T70" i="43"/>
  <c r="S70" i="43"/>
  <c r="R70" i="43"/>
  <c r="Q70" i="43"/>
  <c r="P70" i="43"/>
  <c r="O70" i="43"/>
  <c r="N70" i="43"/>
  <c r="A70" i="43"/>
  <c r="V69" i="43"/>
  <c r="U69" i="43"/>
  <c r="T69" i="43"/>
  <c r="S69" i="43"/>
  <c r="R69" i="43"/>
  <c r="Q69" i="43"/>
  <c r="L69" i="43"/>
  <c r="K69" i="43"/>
  <c r="J69" i="43"/>
  <c r="I69" i="43"/>
  <c r="H69" i="43"/>
  <c r="G69" i="43"/>
  <c r="F69" i="43"/>
  <c r="E69" i="43"/>
  <c r="C69" i="43"/>
  <c r="A69" i="43"/>
  <c r="V68" i="43"/>
  <c r="U68" i="43"/>
  <c r="T68" i="43"/>
  <c r="S68" i="43"/>
  <c r="R68" i="43"/>
  <c r="Q68" i="43"/>
  <c r="P68" i="43"/>
  <c r="O68" i="43"/>
  <c r="N68" i="43"/>
  <c r="C68" i="43"/>
  <c r="A68" i="43"/>
  <c r="V67" i="43"/>
  <c r="U67" i="43"/>
  <c r="T67" i="43"/>
  <c r="S67" i="43"/>
  <c r="R67" i="43"/>
  <c r="Q67" i="43"/>
  <c r="P67" i="43"/>
  <c r="O67" i="43"/>
  <c r="N67" i="43"/>
  <c r="A67" i="43"/>
  <c r="V66" i="43"/>
  <c r="U66" i="43"/>
  <c r="T66" i="43"/>
  <c r="S66" i="43"/>
  <c r="R66" i="43"/>
  <c r="Q66" i="43"/>
  <c r="P66" i="43"/>
  <c r="O66" i="43"/>
  <c r="N66" i="43"/>
  <c r="A66" i="43"/>
  <c r="V65" i="43"/>
  <c r="U65" i="43"/>
  <c r="T65" i="43"/>
  <c r="S65" i="43"/>
  <c r="R65" i="43"/>
  <c r="Q65" i="43"/>
  <c r="C65" i="43"/>
  <c r="A65" i="43"/>
  <c r="V64" i="43"/>
  <c r="U64" i="43"/>
  <c r="T64" i="43"/>
  <c r="S64" i="43"/>
  <c r="R64" i="43"/>
  <c r="Q64" i="43"/>
  <c r="P64" i="43"/>
  <c r="O64" i="43"/>
  <c r="N64" i="43"/>
  <c r="C64" i="43"/>
  <c r="A64" i="43"/>
  <c r="V63" i="43"/>
  <c r="U63" i="43"/>
  <c r="T63" i="43"/>
  <c r="S63" i="43"/>
  <c r="R63" i="43"/>
  <c r="Q63" i="43"/>
  <c r="P63" i="43"/>
  <c r="O63" i="43"/>
  <c r="N63" i="43"/>
  <c r="A63" i="43"/>
  <c r="V62" i="43"/>
  <c r="U62" i="43"/>
  <c r="T62" i="43"/>
  <c r="S62" i="43"/>
  <c r="R62" i="43"/>
  <c r="Q62" i="43"/>
  <c r="P62" i="43"/>
  <c r="O62" i="43"/>
  <c r="N62" i="43"/>
  <c r="A62" i="43"/>
  <c r="V61" i="43"/>
  <c r="U61" i="43"/>
  <c r="T61" i="43"/>
  <c r="S61" i="43"/>
  <c r="R61" i="43"/>
  <c r="Q61" i="43"/>
  <c r="P61" i="43"/>
  <c r="O61" i="43"/>
  <c r="N61" i="43"/>
  <c r="A61" i="43"/>
  <c r="V60" i="43"/>
  <c r="U60" i="43"/>
  <c r="T60" i="43"/>
  <c r="S60" i="43"/>
  <c r="R60" i="43"/>
  <c r="Q60" i="43"/>
  <c r="P60" i="43"/>
  <c r="O60" i="43"/>
  <c r="N60" i="43"/>
  <c r="A60" i="43"/>
  <c r="V59" i="43"/>
  <c r="U59" i="43"/>
  <c r="T59" i="43"/>
  <c r="S59" i="43"/>
  <c r="R59" i="43"/>
  <c r="Q59" i="43"/>
  <c r="P59" i="43"/>
  <c r="O59" i="43"/>
  <c r="N59" i="43"/>
  <c r="A59" i="43"/>
  <c r="V58" i="43"/>
  <c r="U58" i="43"/>
  <c r="T58" i="43"/>
  <c r="S58" i="43"/>
  <c r="R58" i="43"/>
  <c r="Q58" i="43"/>
  <c r="P58" i="43"/>
  <c r="O58" i="43"/>
  <c r="N58" i="43"/>
  <c r="C58" i="43"/>
  <c r="A58" i="43"/>
  <c r="V57" i="43"/>
  <c r="U57" i="43"/>
  <c r="T57" i="43"/>
  <c r="S57" i="43"/>
  <c r="R57" i="43"/>
  <c r="Q57" i="43"/>
  <c r="P57" i="43"/>
  <c r="O57" i="43"/>
  <c r="N57" i="43"/>
  <c r="C57" i="43"/>
  <c r="A57" i="43"/>
  <c r="V56" i="43"/>
  <c r="U56" i="43"/>
  <c r="T56" i="43"/>
  <c r="S56" i="43"/>
  <c r="R56" i="43"/>
  <c r="Q56" i="43"/>
  <c r="P56" i="43"/>
  <c r="O56" i="43"/>
  <c r="N56" i="43"/>
  <c r="A56" i="43"/>
  <c r="V55" i="43"/>
  <c r="U55" i="43"/>
  <c r="T55" i="43"/>
  <c r="S55" i="43"/>
  <c r="R55" i="43"/>
  <c r="Q55" i="43"/>
  <c r="P55" i="43"/>
  <c r="O55" i="43"/>
  <c r="N55" i="43"/>
  <c r="A55" i="43"/>
  <c r="V54" i="43"/>
  <c r="U54" i="43"/>
  <c r="T54" i="43"/>
  <c r="S54" i="43"/>
  <c r="R54" i="43"/>
  <c r="Q54" i="43"/>
  <c r="P54" i="43"/>
  <c r="O54" i="43"/>
  <c r="N54" i="43"/>
  <c r="C54" i="43"/>
  <c r="A54" i="43"/>
  <c r="V53" i="43"/>
  <c r="U53" i="43"/>
  <c r="T53" i="43"/>
  <c r="S53" i="43"/>
  <c r="R53" i="43"/>
  <c r="Q53" i="43"/>
  <c r="P53" i="43"/>
  <c r="O53" i="43"/>
  <c r="N53" i="43"/>
  <c r="L53" i="43"/>
  <c r="K53" i="43"/>
  <c r="J53" i="43"/>
  <c r="I53" i="43"/>
  <c r="H53" i="43"/>
  <c r="G53" i="43"/>
  <c r="F53" i="43"/>
  <c r="E53" i="43"/>
  <c r="D53" i="43"/>
  <c r="C53" i="43"/>
  <c r="A53" i="43"/>
  <c r="V52" i="43"/>
  <c r="U52" i="43"/>
  <c r="T52" i="43"/>
  <c r="S52" i="43"/>
  <c r="R52" i="43"/>
  <c r="Q52" i="43"/>
  <c r="P52" i="43"/>
  <c r="O52" i="43"/>
  <c r="N52" i="43"/>
  <c r="L52" i="43"/>
  <c r="K52" i="43"/>
  <c r="J52" i="43"/>
  <c r="I52" i="43"/>
  <c r="H52" i="43"/>
  <c r="G52" i="43"/>
  <c r="F52" i="43"/>
  <c r="E52" i="43"/>
  <c r="D52" i="43"/>
  <c r="C52" i="43"/>
  <c r="A52" i="43"/>
  <c r="V51" i="43"/>
  <c r="U51" i="43"/>
  <c r="T51" i="43"/>
  <c r="S51" i="43"/>
  <c r="R51" i="43"/>
  <c r="Q51" i="43"/>
  <c r="P51" i="43"/>
  <c r="O51" i="43"/>
  <c r="N51" i="43"/>
  <c r="A51" i="43"/>
  <c r="V50" i="43"/>
  <c r="U50" i="43"/>
  <c r="T50" i="43"/>
  <c r="S50" i="43"/>
  <c r="R50" i="43"/>
  <c r="Q50" i="43"/>
  <c r="P50" i="43"/>
  <c r="O50" i="43"/>
  <c r="N50" i="43"/>
  <c r="A50" i="43"/>
  <c r="V49" i="43"/>
  <c r="U49" i="43"/>
  <c r="T49" i="43"/>
  <c r="S49" i="43"/>
  <c r="R49" i="43"/>
  <c r="Q49" i="43"/>
  <c r="P49" i="43"/>
  <c r="O49" i="43"/>
  <c r="N49" i="43"/>
  <c r="A49" i="43"/>
  <c r="V48" i="43"/>
  <c r="U48" i="43"/>
  <c r="T48" i="43"/>
  <c r="S48" i="43"/>
  <c r="R48" i="43"/>
  <c r="Q48" i="43"/>
  <c r="P48" i="43"/>
  <c r="O48" i="43"/>
  <c r="N48" i="43"/>
  <c r="A48" i="43"/>
  <c r="V47" i="43"/>
  <c r="U47" i="43"/>
  <c r="T47" i="43"/>
  <c r="S47" i="43"/>
  <c r="R47" i="43"/>
  <c r="Q47" i="43"/>
  <c r="P47" i="43"/>
  <c r="O47" i="43"/>
  <c r="N47" i="43"/>
  <c r="A47" i="43"/>
  <c r="V46" i="43"/>
  <c r="U46" i="43"/>
  <c r="T46" i="43"/>
  <c r="S46" i="43"/>
  <c r="R46" i="43"/>
  <c r="Q46" i="43"/>
  <c r="P46" i="43"/>
  <c r="O46" i="43"/>
  <c r="N46" i="43"/>
  <c r="A46" i="43"/>
  <c r="V45" i="43"/>
  <c r="U45" i="43"/>
  <c r="T45" i="43"/>
  <c r="S45" i="43"/>
  <c r="R45" i="43"/>
  <c r="Q45" i="43"/>
  <c r="P45" i="43"/>
  <c r="O45" i="43"/>
  <c r="N45" i="43"/>
  <c r="A45" i="43"/>
  <c r="V44" i="43"/>
  <c r="U44" i="43"/>
  <c r="T44" i="43"/>
  <c r="S44" i="43"/>
  <c r="R44" i="43"/>
  <c r="Q44" i="43"/>
  <c r="P44" i="43"/>
  <c r="O44" i="43"/>
  <c r="N44" i="43"/>
  <c r="A44" i="43"/>
  <c r="V43" i="43"/>
  <c r="U43" i="43"/>
  <c r="T43" i="43"/>
  <c r="S43" i="43"/>
  <c r="R43" i="43"/>
  <c r="Q43" i="43"/>
  <c r="P43" i="43"/>
  <c r="O43" i="43"/>
  <c r="N43" i="43"/>
  <c r="L43" i="43"/>
  <c r="K43" i="43"/>
  <c r="J43" i="43"/>
  <c r="I43" i="43"/>
  <c r="H43" i="43"/>
  <c r="G43" i="43"/>
  <c r="F43" i="43"/>
  <c r="E43" i="43"/>
  <c r="D43" i="43"/>
  <c r="C43" i="43"/>
  <c r="A43" i="43"/>
  <c r="V42" i="43"/>
  <c r="U42" i="43"/>
  <c r="T42" i="43"/>
  <c r="S42" i="43"/>
  <c r="R42" i="43"/>
  <c r="Q42" i="43"/>
  <c r="P42" i="43"/>
  <c r="O42" i="43"/>
  <c r="N42" i="43"/>
  <c r="L42" i="43"/>
  <c r="K42" i="43"/>
  <c r="J42" i="43"/>
  <c r="I42" i="43"/>
  <c r="H42" i="43"/>
  <c r="G42" i="43"/>
  <c r="F42" i="43"/>
  <c r="E42" i="43"/>
  <c r="D42" i="43"/>
  <c r="C42" i="43"/>
  <c r="A42" i="43"/>
  <c r="V41" i="43"/>
  <c r="U41" i="43"/>
  <c r="T41" i="43"/>
  <c r="S41" i="43"/>
  <c r="R41" i="43"/>
  <c r="Q41" i="43"/>
  <c r="P41" i="43"/>
  <c r="O41" i="43"/>
  <c r="N41" i="43"/>
  <c r="L41" i="43"/>
  <c r="K41" i="43"/>
  <c r="J41" i="43"/>
  <c r="I41" i="43"/>
  <c r="H41" i="43"/>
  <c r="G41" i="43"/>
  <c r="F41" i="43"/>
  <c r="E41" i="43"/>
  <c r="D41" i="43"/>
  <c r="C41" i="43"/>
  <c r="A41" i="43"/>
  <c r="V40" i="43"/>
  <c r="U40" i="43"/>
  <c r="T40" i="43"/>
  <c r="S40" i="43"/>
  <c r="R40" i="43"/>
  <c r="Q40" i="43"/>
  <c r="P40" i="43"/>
  <c r="O40" i="43"/>
  <c r="N40" i="43"/>
  <c r="A40" i="43"/>
  <c r="V39" i="43"/>
  <c r="U39" i="43"/>
  <c r="T39" i="43"/>
  <c r="S39" i="43"/>
  <c r="R39" i="43"/>
  <c r="Q39" i="43"/>
  <c r="P39" i="43"/>
  <c r="O39" i="43"/>
  <c r="N39" i="43"/>
  <c r="L39" i="43"/>
  <c r="K39" i="43"/>
  <c r="J39" i="43"/>
  <c r="I39" i="43"/>
  <c r="H39" i="43"/>
  <c r="G39" i="43"/>
  <c r="F39" i="43"/>
  <c r="E39" i="43"/>
  <c r="D39" i="43"/>
  <c r="C39" i="43"/>
  <c r="A39" i="43"/>
  <c r="V38" i="43"/>
  <c r="U38" i="43"/>
  <c r="T38" i="43"/>
  <c r="S38" i="43"/>
  <c r="R38" i="43"/>
  <c r="Q38" i="43"/>
  <c r="P38" i="43"/>
  <c r="O38" i="43"/>
  <c r="N38" i="43"/>
  <c r="A38" i="43"/>
  <c r="V37" i="43"/>
  <c r="U37" i="43"/>
  <c r="T37" i="43"/>
  <c r="S37" i="43"/>
  <c r="R37" i="43"/>
  <c r="Q37" i="43"/>
  <c r="P37" i="43"/>
  <c r="O37" i="43"/>
  <c r="N37" i="43"/>
  <c r="L37" i="43"/>
  <c r="K37" i="43"/>
  <c r="J37" i="43"/>
  <c r="I37" i="43"/>
  <c r="H37" i="43"/>
  <c r="G37" i="43"/>
  <c r="F37" i="43"/>
  <c r="E37" i="43"/>
  <c r="D37" i="43"/>
  <c r="C37" i="43"/>
  <c r="A37" i="43"/>
  <c r="V36" i="43"/>
  <c r="U36" i="43"/>
  <c r="T36" i="43"/>
  <c r="S36" i="43"/>
  <c r="R36" i="43"/>
  <c r="Q36" i="43"/>
  <c r="P36" i="43"/>
  <c r="O36" i="43"/>
  <c r="N36" i="43"/>
  <c r="F36" i="43"/>
  <c r="E36" i="43"/>
  <c r="D36" i="43"/>
  <c r="C36" i="43"/>
  <c r="A36" i="43"/>
  <c r="V35" i="43"/>
  <c r="U35" i="43"/>
  <c r="T35" i="43"/>
  <c r="S35" i="43"/>
  <c r="R35" i="43"/>
  <c r="Q35" i="43"/>
  <c r="P35" i="43"/>
  <c r="O35" i="43"/>
  <c r="N35" i="43"/>
  <c r="F35" i="43"/>
  <c r="E35" i="43"/>
  <c r="D35" i="43"/>
  <c r="A35" i="43"/>
  <c r="V34" i="43"/>
  <c r="U34" i="43"/>
  <c r="T34" i="43"/>
  <c r="S34" i="43"/>
  <c r="R34" i="43"/>
  <c r="Q34" i="43"/>
  <c r="P34" i="43"/>
  <c r="O34" i="43"/>
  <c r="N34" i="43"/>
  <c r="L34" i="43"/>
  <c r="K34" i="43"/>
  <c r="J34" i="43"/>
  <c r="I34" i="43"/>
  <c r="H34" i="43"/>
  <c r="G34" i="43"/>
  <c r="F34" i="43"/>
  <c r="E34" i="43"/>
  <c r="D34" i="43"/>
  <c r="C34" i="43"/>
  <c r="A34" i="43"/>
  <c r="V33" i="43"/>
  <c r="U33" i="43"/>
  <c r="T33" i="43"/>
  <c r="S33" i="43"/>
  <c r="R33" i="43"/>
  <c r="Q33" i="43"/>
  <c r="P33" i="43"/>
  <c r="O33" i="43"/>
  <c r="N33" i="43"/>
  <c r="L33" i="43"/>
  <c r="K33" i="43"/>
  <c r="J33" i="43"/>
  <c r="I33" i="43"/>
  <c r="H33" i="43"/>
  <c r="G33" i="43"/>
  <c r="F33" i="43"/>
  <c r="E33" i="43"/>
  <c r="D33" i="43"/>
  <c r="T32" i="43"/>
  <c r="S32" i="43"/>
  <c r="V31" i="43"/>
  <c r="U31" i="43"/>
  <c r="T31" i="43"/>
  <c r="S31" i="43"/>
  <c r="R31" i="43"/>
  <c r="Q31" i="43"/>
  <c r="P31" i="43"/>
  <c r="O31" i="43"/>
  <c r="N31" i="43"/>
  <c r="M31" i="43"/>
  <c r="J20" i="43"/>
  <c r="I20" i="43"/>
  <c r="H20" i="43"/>
  <c r="G20" i="43"/>
  <c r="J19" i="43"/>
  <c r="I19" i="43"/>
  <c r="H19" i="43"/>
  <c r="G19" i="43"/>
  <c r="J18" i="43"/>
  <c r="I18" i="43"/>
  <c r="H18" i="43"/>
  <c r="G18" i="43"/>
  <c r="J17" i="43"/>
  <c r="I17" i="43"/>
  <c r="H17" i="43"/>
  <c r="G17" i="43"/>
  <c r="J16" i="43"/>
  <c r="I16" i="43"/>
  <c r="H16" i="43"/>
  <c r="G16" i="43"/>
  <c r="J15" i="43"/>
  <c r="I15" i="43"/>
  <c r="H15" i="43"/>
  <c r="G15" i="43"/>
  <c r="J14" i="43"/>
  <c r="I14" i="43"/>
  <c r="H14" i="43"/>
  <c r="G14" i="43"/>
  <c r="J13" i="43"/>
  <c r="I13" i="43"/>
  <c r="H13" i="43"/>
  <c r="G13" i="43"/>
  <c r="J12" i="43"/>
  <c r="I12" i="43"/>
  <c r="H12" i="43"/>
  <c r="G12" i="43"/>
  <c r="J11" i="43"/>
  <c r="H11" i="43"/>
  <c r="G11" i="43"/>
  <c r="E7" i="43"/>
  <c r="B7" i="43"/>
  <c r="I11" i="43" s="1"/>
  <c r="C33" i="43" s="1"/>
  <c r="I127" i="73"/>
  <c r="H127" i="73"/>
  <c r="G127" i="73"/>
  <c r="F127" i="73"/>
  <c r="E127" i="73"/>
  <c r="J126" i="73"/>
  <c r="I126" i="73"/>
  <c r="G126" i="73"/>
  <c r="F126" i="73"/>
  <c r="E126" i="73"/>
  <c r="J125" i="73"/>
  <c r="I125" i="73"/>
  <c r="G125" i="73"/>
  <c r="F125" i="73"/>
  <c r="E125" i="73"/>
  <c r="J124" i="73"/>
  <c r="I124" i="73"/>
  <c r="G124" i="73"/>
  <c r="F124" i="73"/>
  <c r="E124" i="73"/>
  <c r="V103" i="73"/>
  <c r="U103" i="73"/>
  <c r="T103" i="73"/>
  <c r="S103" i="73"/>
  <c r="R103" i="73"/>
  <c r="Q103" i="73"/>
  <c r="P103" i="73"/>
  <c r="O103" i="73"/>
  <c r="N103" i="73"/>
  <c r="A103" i="73"/>
  <c r="V102" i="73"/>
  <c r="U102" i="73"/>
  <c r="T102" i="73"/>
  <c r="S102" i="73"/>
  <c r="R102" i="73"/>
  <c r="Q102" i="73"/>
  <c r="P102" i="73"/>
  <c r="O102" i="73"/>
  <c r="N102" i="73"/>
  <c r="A102" i="73"/>
  <c r="V101" i="73"/>
  <c r="U101" i="73"/>
  <c r="T101" i="73"/>
  <c r="S101" i="73"/>
  <c r="R101" i="73"/>
  <c r="Q101" i="73"/>
  <c r="P101" i="73"/>
  <c r="O101" i="73"/>
  <c r="N101" i="73"/>
  <c r="A101" i="73"/>
  <c r="V100" i="73"/>
  <c r="U100" i="73"/>
  <c r="T100" i="73"/>
  <c r="S100" i="73"/>
  <c r="R100" i="73"/>
  <c r="Q100" i="73"/>
  <c r="P100" i="73"/>
  <c r="O100" i="73"/>
  <c r="N100" i="73"/>
  <c r="A100" i="73"/>
  <c r="V99" i="73"/>
  <c r="U99" i="73"/>
  <c r="T99" i="73"/>
  <c r="S99" i="73"/>
  <c r="R99" i="73"/>
  <c r="Q99" i="73"/>
  <c r="P99" i="73"/>
  <c r="O99" i="73"/>
  <c r="N99" i="73"/>
  <c r="A99" i="73"/>
  <c r="V98" i="73"/>
  <c r="U98" i="73"/>
  <c r="T98" i="73"/>
  <c r="S98" i="73"/>
  <c r="R98" i="73"/>
  <c r="Q98" i="73"/>
  <c r="P98" i="73"/>
  <c r="O98" i="73"/>
  <c r="N98" i="73"/>
  <c r="A98" i="73"/>
  <c r="V97" i="73"/>
  <c r="U97" i="73"/>
  <c r="T97" i="73"/>
  <c r="S97" i="73"/>
  <c r="R97" i="73"/>
  <c r="Q97" i="73"/>
  <c r="P97" i="73"/>
  <c r="O97" i="73"/>
  <c r="N97" i="73"/>
  <c r="A97" i="73"/>
  <c r="V96" i="73"/>
  <c r="U96" i="73"/>
  <c r="T96" i="73"/>
  <c r="S96" i="73"/>
  <c r="R96" i="73"/>
  <c r="Q96" i="73"/>
  <c r="P96" i="73"/>
  <c r="O96" i="73"/>
  <c r="N96" i="73"/>
  <c r="A96" i="73"/>
  <c r="V95" i="73"/>
  <c r="U95" i="73"/>
  <c r="T95" i="73"/>
  <c r="S95" i="73"/>
  <c r="R95" i="73"/>
  <c r="Q95" i="73"/>
  <c r="P95" i="73"/>
  <c r="O95" i="73"/>
  <c r="N95" i="73"/>
  <c r="A95" i="73"/>
  <c r="V94" i="73"/>
  <c r="U94" i="73"/>
  <c r="T94" i="73"/>
  <c r="S94" i="73"/>
  <c r="R94" i="73"/>
  <c r="Q94" i="73"/>
  <c r="P94" i="73"/>
  <c r="O94" i="73"/>
  <c r="N94" i="73"/>
  <c r="A94" i="73"/>
  <c r="V93" i="73"/>
  <c r="U93" i="73"/>
  <c r="T93" i="73"/>
  <c r="S93" i="73"/>
  <c r="R93" i="73"/>
  <c r="Q93" i="73"/>
  <c r="P93" i="73"/>
  <c r="O93" i="73"/>
  <c r="N93" i="73"/>
  <c r="A93" i="73"/>
  <c r="V92" i="73"/>
  <c r="U92" i="73"/>
  <c r="T92" i="73"/>
  <c r="S92" i="73"/>
  <c r="R92" i="73"/>
  <c r="Q92" i="73"/>
  <c r="P92" i="73"/>
  <c r="O92" i="73"/>
  <c r="N92" i="73"/>
  <c r="A92" i="73"/>
  <c r="V91" i="73"/>
  <c r="U91" i="73"/>
  <c r="T91" i="73"/>
  <c r="S91" i="73"/>
  <c r="R91" i="73"/>
  <c r="Q91" i="73"/>
  <c r="P91" i="73"/>
  <c r="O91" i="73"/>
  <c r="N91" i="73"/>
  <c r="A91" i="73"/>
  <c r="V90" i="73"/>
  <c r="U90" i="73"/>
  <c r="T90" i="73"/>
  <c r="S90" i="73"/>
  <c r="R90" i="73"/>
  <c r="Q90" i="73"/>
  <c r="P90" i="73"/>
  <c r="O90" i="73"/>
  <c r="N90" i="73"/>
  <c r="A90" i="73"/>
  <c r="V89" i="73"/>
  <c r="U89" i="73"/>
  <c r="T89" i="73"/>
  <c r="S89" i="73"/>
  <c r="R89" i="73"/>
  <c r="Q89" i="73"/>
  <c r="P89" i="73"/>
  <c r="O89" i="73"/>
  <c r="N89" i="73"/>
  <c r="A89" i="73"/>
  <c r="V88" i="73"/>
  <c r="U88" i="73"/>
  <c r="T88" i="73"/>
  <c r="S88" i="73"/>
  <c r="R88" i="73"/>
  <c r="Q88" i="73"/>
  <c r="P88" i="73"/>
  <c r="O88" i="73"/>
  <c r="N88" i="73"/>
  <c r="A88" i="73"/>
  <c r="V87" i="73"/>
  <c r="U87" i="73"/>
  <c r="T87" i="73"/>
  <c r="S87" i="73"/>
  <c r="R87" i="73"/>
  <c r="Q87" i="73"/>
  <c r="P87" i="73"/>
  <c r="O87" i="73"/>
  <c r="N87" i="73"/>
  <c r="A87" i="73"/>
  <c r="V86" i="73"/>
  <c r="U86" i="73"/>
  <c r="T86" i="73"/>
  <c r="S86" i="73"/>
  <c r="R86" i="73"/>
  <c r="Q86" i="73"/>
  <c r="P86" i="73"/>
  <c r="O86" i="73"/>
  <c r="N86" i="73"/>
  <c r="A86" i="73"/>
  <c r="V85" i="73"/>
  <c r="U85" i="73"/>
  <c r="T85" i="73"/>
  <c r="S85" i="73"/>
  <c r="R85" i="73"/>
  <c r="Q85" i="73"/>
  <c r="P85" i="73"/>
  <c r="O85" i="73"/>
  <c r="N85" i="73"/>
  <c r="A85" i="73"/>
  <c r="V84" i="73"/>
  <c r="U84" i="73"/>
  <c r="T84" i="73"/>
  <c r="S84" i="73"/>
  <c r="R84" i="73"/>
  <c r="Q84" i="73"/>
  <c r="P84" i="73"/>
  <c r="O84" i="73"/>
  <c r="N84" i="73"/>
  <c r="A84" i="73"/>
  <c r="V83" i="73"/>
  <c r="U83" i="73"/>
  <c r="T83" i="73"/>
  <c r="S83" i="73"/>
  <c r="R83" i="73"/>
  <c r="Q83" i="73"/>
  <c r="P83" i="73"/>
  <c r="O83" i="73"/>
  <c r="N83" i="73"/>
  <c r="A83" i="73"/>
  <c r="V82" i="73"/>
  <c r="U82" i="73"/>
  <c r="T82" i="73"/>
  <c r="S82" i="73"/>
  <c r="R82" i="73"/>
  <c r="Q82" i="73"/>
  <c r="P82" i="73"/>
  <c r="O82" i="73"/>
  <c r="N82" i="73"/>
  <c r="L82" i="73"/>
  <c r="K82" i="73"/>
  <c r="J82" i="73"/>
  <c r="I82" i="73"/>
  <c r="H82" i="73"/>
  <c r="G82" i="73"/>
  <c r="F82" i="73"/>
  <c r="A82" i="73"/>
  <c r="V81" i="73"/>
  <c r="U81" i="73"/>
  <c r="T81" i="73"/>
  <c r="S81" i="73"/>
  <c r="R81" i="73"/>
  <c r="Q81" i="73"/>
  <c r="P81" i="73"/>
  <c r="O81" i="73"/>
  <c r="N81" i="73"/>
  <c r="A81" i="73"/>
  <c r="V80" i="73"/>
  <c r="U80" i="73"/>
  <c r="T80" i="73"/>
  <c r="S80" i="73"/>
  <c r="R80" i="73"/>
  <c r="Q80" i="73"/>
  <c r="P80" i="73"/>
  <c r="O80" i="73"/>
  <c r="N80" i="73"/>
  <c r="A80" i="73"/>
  <c r="V79" i="73"/>
  <c r="U79" i="73"/>
  <c r="T79" i="73"/>
  <c r="S79" i="73"/>
  <c r="R79" i="73"/>
  <c r="Q79" i="73"/>
  <c r="P79" i="73"/>
  <c r="O79" i="73"/>
  <c r="N79" i="73"/>
  <c r="A79" i="73"/>
  <c r="V78" i="73"/>
  <c r="U78" i="73"/>
  <c r="T78" i="73"/>
  <c r="S78" i="73"/>
  <c r="R78" i="73"/>
  <c r="Q78" i="73"/>
  <c r="P78" i="73"/>
  <c r="O78" i="73"/>
  <c r="N78" i="73"/>
  <c r="A78" i="73"/>
  <c r="V77" i="73"/>
  <c r="U77" i="73"/>
  <c r="T77" i="73"/>
  <c r="S77" i="73"/>
  <c r="R77" i="73"/>
  <c r="Q77" i="73"/>
  <c r="P77" i="73"/>
  <c r="O77" i="73"/>
  <c r="N77" i="73"/>
  <c r="A77" i="73"/>
  <c r="V76" i="73"/>
  <c r="U76" i="73"/>
  <c r="T76" i="73"/>
  <c r="S76" i="73"/>
  <c r="R76" i="73"/>
  <c r="Q76" i="73"/>
  <c r="P76" i="73"/>
  <c r="O76" i="73"/>
  <c r="N76" i="73"/>
  <c r="A76" i="73"/>
  <c r="V75" i="73"/>
  <c r="U75" i="73"/>
  <c r="T75" i="73"/>
  <c r="S75" i="73"/>
  <c r="R75" i="73"/>
  <c r="Q75" i="73"/>
  <c r="P75" i="73"/>
  <c r="O75" i="73"/>
  <c r="N75" i="73"/>
  <c r="A75" i="73"/>
  <c r="V74" i="73"/>
  <c r="U74" i="73"/>
  <c r="T74" i="73"/>
  <c r="S74" i="73"/>
  <c r="R74" i="73"/>
  <c r="Q74" i="73"/>
  <c r="P74" i="73"/>
  <c r="O74" i="73"/>
  <c r="N74" i="73"/>
  <c r="A74" i="73"/>
  <c r="V73" i="73"/>
  <c r="U73" i="73"/>
  <c r="T73" i="73"/>
  <c r="S73" i="73"/>
  <c r="R73" i="73"/>
  <c r="Q73" i="73"/>
  <c r="P73" i="73"/>
  <c r="O73" i="73"/>
  <c r="N73" i="73"/>
  <c r="A73" i="73"/>
  <c r="V72" i="73"/>
  <c r="U72" i="73"/>
  <c r="T72" i="73"/>
  <c r="S72" i="73"/>
  <c r="R72" i="73"/>
  <c r="Q72" i="73"/>
  <c r="P72" i="73"/>
  <c r="O72" i="73"/>
  <c r="N72" i="73"/>
  <c r="A72" i="73"/>
  <c r="V71" i="73"/>
  <c r="U71" i="73"/>
  <c r="T71" i="73"/>
  <c r="S71" i="73"/>
  <c r="R71" i="73"/>
  <c r="Q71" i="73"/>
  <c r="P71" i="73"/>
  <c r="O71" i="73"/>
  <c r="N71" i="73"/>
  <c r="L71" i="73"/>
  <c r="K71" i="73"/>
  <c r="J71" i="73"/>
  <c r="I71" i="73"/>
  <c r="H71" i="73"/>
  <c r="G71" i="73"/>
  <c r="F71" i="73"/>
  <c r="E71" i="73"/>
  <c r="D71" i="73"/>
  <c r="C71" i="73"/>
  <c r="A71" i="73"/>
  <c r="V70" i="73"/>
  <c r="U70" i="73"/>
  <c r="T70" i="73"/>
  <c r="S70" i="73"/>
  <c r="R70" i="73"/>
  <c r="Q70" i="73"/>
  <c r="P70" i="73"/>
  <c r="O70" i="73"/>
  <c r="N70" i="73"/>
  <c r="A70" i="73"/>
  <c r="V69" i="73"/>
  <c r="U69" i="73"/>
  <c r="T69" i="73"/>
  <c r="S69" i="73"/>
  <c r="R69" i="73"/>
  <c r="Q69" i="73"/>
  <c r="L69" i="73"/>
  <c r="K69" i="73"/>
  <c r="J69" i="73"/>
  <c r="I69" i="73"/>
  <c r="H69" i="73"/>
  <c r="G69" i="73"/>
  <c r="F69" i="73"/>
  <c r="E69" i="73"/>
  <c r="C69" i="73"/>
  <c r="A69" i="73"/>
  <c r="V68" i="73"/>
  <c r="U68" i="73"/>
  <c r="T68" i="73"/>
  <c r="S68" i="73"/>
  <c r="R68" i="73"/>
  <c r="Q68" i="73"/>
  <c r="P68" i="73"/>
  <c r="O68" i="73"/>
  <c r="N68" i="73"/>
  <c r="C68" i="73"/>
  <c r="A68" i="73"/>
  <c r="V67" i="73"/>
  <c r="U67" i="73"/>
  <c r="T67" i="73"/>
  <c r="S67" i="73"/>
  <c r="R67" i="73"/>
  <c r="Q67" i="73"/>
  <c r="P67" i="73"/>
  <c r="O67" i="73"/>
  <c r="N67" i="73"/>
  <c r="A67" i="73"/>
  <c r="V66" i="73"/>
  <c r="U66" i="73"/>
  <c r="T66" i="73"/>
  <c r="S66" i="73"/>
  <c r="R66" i="73"/>
  <c r="Q66" i="73"/>
  <c r="P66" i="73"/>
  <c r="O66" i="73"/>
  <c r="N66" i="73"/>
  <c r="A66" i="73"/>
  <c r="V65" i="73"/>
  <c r="U65" i="73"/>
  <c r="T65" i="73"/>
  <c r="S65" i="73"/>
  <c r="R65" i="73"/>
  <c r="Q65" i="73"/>
  <c r="C65" i="73"/>
  <c r="A65" i="73"/>
  <c r="V64" i="73"/>
  <c r="U64" i="73"/>
  <c r="T64" i="73"/>
  <c r="S64" i="73"/>
  <c r="R64" i="73"/>
  <c r="Q64" i="73"/>
  <c r="P64" i="73"/>
  <c r="O64" i="73"/>
  <c r="N64" i="73"/>
  <c r="C64" i="73"/>
  <c r="A64" i="73"/>
  <c r="V63" i="73"/>
  <c r="U63" i="73"/>
  <c r="T63" i="73"/>
  <c r="S63" i="73"/>
  <c r="R63" i="73"/>
  <c r="Q63" i="73"/>
  <c r="P63" i="73"/>
  <c r="O63" i="73"/>
  <c r="N63" i="73"/>
  <c r="A63" i="73"/>
  <c r="V62" i="73"/>
  <c r="U62" i="73"/>
  <c r="T62" i="73"/>
  <c r="S62" i="73"/>
  <c r="R62" i="73"/>
  <c r="Q62" i="73"/>
  <c r="P62" i="73"/>
  <c r="O62" i="73"/>
  <c r="N62" i="73"/>
  <c r="A62" i="73"/>
  <c r="V61" i="73"/>
  <c r="U61" i="73"/>
  <c r="T61" i="73"/>
  <c r="S61" i="73"/>
  <c r="R61" i="73"/>
  <c r="Q61" i="73"/>
  <c r="P61" i="73"/>
  <c r="O61" i="73"/>
  <c r="N61" i="73"/>
  <c r="A61" i="73"/>
  <c r="V60" i="73"/>
  <c r="U60" i="73"/>
  <c r="T60" i="73"/>
  <c r="S60" i="73"/>
  <c r="R60" i="73"/>
  <c r="Q60" i="73"/>
  <c r="P60" i="73"/>
  <c r="O60" i="73"/>
  <c r="N60" i="73"/>
  <c r="A60" i="73"/>
  <c r="V59" i="73"/>
  <c r="U59" i="73"/>
  <c r="T59" i="73"/>
  <c r="S59" i="73"/>
  <c r="R59" i="73"/>
  <c r="Q59" i="73"/>
  <c r="P59" i="73"/>
  <c r="O59" i="73"/>
  <c r="N59" i="73"/>
  <c r="A59" i="73"/>
  <c r="V58" i="73"/>
  <c r="U58" i="73"/>
  <c r="T58" i="73"/>
  <c r="S58" i="73"/>
  <c r="R58" i="73"/>
  <c r="Q58" i="73"/>
  <c r="P58" i="73"/>
  <c r="O58" i="73"/>
  <c r="N58" i="73"/>
  <c r="C58" i="73"/>
  <c r="A58" i="73"/>
  <c r="V57" i="73"/>
  <c r="U57" i="73"/>
  <c r="T57" i="73"/>
  <c r="S57" i="73"/>
  <c r="R57" i="73"/>
  <c r="Q57" i="73"/>
  <c r="P57" i="73"/>
  <c r="O57" i="73"/>
  <c r="N57" i="73"/>
  <c r="C57" i="73"/>
  <c r="A57" i="73"/>
  <c r="V56" i="73"/>
  <c r="U56" i="73"/>
  <c r="T56" i="73"/>
  <c r="S56" i="73"/>
  <c r="R56" i="73"/>
  <c r="Q56" i="73"/>
  <c r="P56" i="73"/>
  <c r="O56" i="73"/>
  <c r="N56" i="73"/>
  <c r="A56" i="73"/>
  <c r="V55" i="73"/>
  <c r="U55" i="73"/>
  <c r="T55" i="73"/>
  <c r="S55" i="73"/>
  <c r="R55" i="73"/>
  <c r="Q55" i="73"/>
  <c r="P55" i="73"/>
  <c r="O55" i="73"/>
  <c r="N55" i="73"/>
  <c r="A55" i="73"/>
  <c r="V54" i="73"/>
  <c r="U54" i="73"/>
  <c r="T54" i="73"/>
  <c r="S54" i="73"/>
  <c r="R54" i="73"/>
  <c r="Q54" i="73"/>
  <c r="P54" i="73"/>
  <c r="O54" i="73"/>
  <c r="N54" i="73"/>
  <c r="C54" i="73"/>
  <c r="A54" i="73"/>
  <c r="V53" i="73"/>
  <c r="U53" i="73"/>
  <c r="T53" i="73"/>
  <c r="S53" i="73"/>
  <c r="R53" i="73"/>
  <c r="Q53" i="73"/>
  <c r="P53" i="73"/>
  <c r="O53" i="73"/>
  <c r="N53" i="73"/>
  <c r="L53" i="73"/>
  <c r="K53" i="73"/>
  <c r="J53" i="73"/>
  <c r="I53" i="73"/>
  <c r="H53" i="73"/>
  <c r="G53" i="73"/>
  <c r="F53" i="73"/>
  <c r="E53" i="73"/>
  <c r="D53" i="73"/>
  <c r="C53" i="73"/>
  <c r="A53" i="73"/>
  <c r="V52" i="73"/>
  <c r="U52" i="73"/>
  <c r="T52" i="73"/>
  <c r="S52" i="73"/>
  <c r="R52" i="73"/>
  <c r="Q52" i="73"/>
  <c r="P52" i="73"/>
  <c r="O52" i="73"/>
  <c r="N52" i="73"/>
  <c r="L52" i="73"/>
  <c r="K52" i="73"/>
  <c r="J52" i="73"/>
  <c r="I52" i="73"/>
  <c r="H52" i="73"/>
  <c r="G52" i="73"/>
  <c r="F52" i="73"/>
  <c r="E52" i="73"/>
  <c r="D52" i="73"/>
  <c r="C52" i="73"/>
  <c r="A52" i="73"/>
  <c r="V51" i="73"/>
  <c r="U51" i="73"/>
  <c r="T51" i="73"/>
  <c r="S51" i="73"/>
  <c r="R51" i="73"/>
  <c r="Q51" i="73"/>
  <c r="P51" i="73"/>
  <c r="O51" i="73"/>
  <c r="N51" i="73"/>
  <c r="A51" i="73"/>
  <c r="V50" i="73"/>
  <c r="U50" i="73"/>
  <c r="T50" i="73"/>
  <c r="S50" i="73"/>
  <c r="R50" i="73"/>
  <c r="Q50" i="73"/>
  <c r="P50" i="73"/>
  <c r="O50" i="73"/>
  <c r="N50" i="73"/>
  <c r="A50" i="73"/>
  <c r="V49" i="73"/>
  <c r="U49" i="73"/>
  <c r="T49" i="73"/>
  <c r="S49" i="73"/>
  <c r="R49" i="73"/>
  <c r="Q49" i="73"/>
  <c r="P49" i="73"/>
  <c r="O49" i="73"/>
  <c r="N49" i="73"/>
  <c r="A49" i="73"/>
  <c r="V48" i="73"/>
  <c r="U48" i="73"/>
  <c r="T48" i="73"/>
  <c r="S48" i="73"/>
  <c r="R48" i="73"/>
  <c r="Q48" i="73"/>
  <c r="P48" i="73"/>
  <c r="O48" i="73"/>
  <c r="N48" i="73"/>
  <c r="A48" i="73"/>
  <c r="V47" i="73"/>
  <c r="U47" i="73"/>
  <c r="T47" i="73"/>
  <c r="S47" i="73"/>
  <c r="R47" i="73"/>
  <c r="Q47" i="73"/>
  <c r="P47" i="73"/>
  <c r="O47" i="73"/>
  <c r="N47" i="73"/>
  <c r="A47" i="73"/>
  <c r="V46" i="73"/>
  <c r="U46" i="73"/>
  <c r="T46" i="73"/>
  <c r="S46" i="73"/>
  <c r="R46" i="73"/>
  <c r="Q46" i="73"/>
  <c r="P46" i="73"/>
  <c r="O46" i="73"/>
  <c r="N46" i="73"/>
  <c r="A46" i="73"/>
  <c r="V45" i="73"/>
  <c r="U45" i="73"/>
  <c r="T45" i="73"/>
  <c r="S45" i="73"/>
  <c r="R45" i="73"/>
  <c r="Q45" i="73"/>
  <c r="P45" i="73"/>
  <c r="O45" i="73"/>
  <c r="N45" i="73"/>
  <c r="A45" i="73"/>
  <c r="V44" i="73"/>
  <c r="U44" i="73"/>
  <c r="T44" i="73"/>
  <c r="S44" i="73"/>
  <c r="R44" i="73"/>
  <c r="Q44" i="73"/>
  <c r="P44" i="73"/>
  <c r="O44" i="73"/>
  <c r="N44" i="73"/>
  <c r="A44" i="73"/>
  <c r="V43" i="73"/>
  <c r="U43" i="73"/>
  <c r="T43" i="73"/>
  <c r="S43" i="73"/>
  <c r="R43" i="73"/>
  <c r="Q43" i="73"/>
  <c r="P43" i="73"/>
  <c r="O43" i="73"/>
  <c r="N43" i="73"/>
  <c r="L43" i="73"/>
  <c r="K43" i="73"/>
  <c r="J43" i="73"/>
  <c r="I43" i="73"/>
  <c r="H43" i="73"/>
  <c r="G43" i="73"/>
  <c r="F43" i="73"/>
  <c r="E43" i="73"/>
  <c r="D43" i="73"/>
  <c r="C43" i="73"/>
  <c r="A43" i="73"/>
  <c r="V42" i="73"/>
  <c r="U42" i="73"/>
  <c r="T42" i="73"/>
  <c r="S42" i="73"/>
  <c r="R42" i="73"/>
  <c r="Q42" i="73"/>
  <c r="P42" i="73"/>
  <c r="O42" i="73"/>
  <c r="N42" i="73"/>
  <c r="L42" i="73"/>
  <c r="K42" i="73"/>
  <c r="J42" i="73"/>
  <c r="I42" i="73"/>
  <c r="H42" i="73"/>
  <c r="G42" i="73"/>
  <c r="F42" i="73"/>
  <c r="E42" i="73"/>
  <c r="D42" i="73"/>
  <c r="C42" i="73"/>
  <c r="A42" i="73"/>
  <c r="V41" i="73"/>
  <c r="U41" i="73"/>
  <c r="T41" i="73"/>
  <c r="S41" i="73"/>
  <c r="R41" i="73"/>
  <c r="Q41" i="73"/>
  <c r="P41" i="73"/>
  <c r="O41" i="73"/>
  <c r="N41" i="73"/>
  <c r="L41" i="73"/>
  <c r="K41" i="73"/>
  <c r="J41" i="73"/>
  <c r="I41" i="73"/>
  <c r="H41" i="73"/>
  <c r="G41" i="73"/>
  <c r="F41" i="73"/>
  <c r="E41" i="73"/>
  <c r="D41" i="73"/>
  <c r="C41" i="73"/>
  <c r="A41" i="73"/>
  <c r="V40" i="73"/>
  <c r="U40" i="73"/>
  <c r="T40" i="73"/>
  <c r="S40" i="73"/>
  <c r="R40" i="73"/>
  <c r="Q40" i="73"/>
  <c r="P40" i="73"/>
  <c r="O40" i="73"/>
  <c r="N40" i="73"/>
  <c r="A40" i="73"/>
  <c r="V39" i="73"/>
  <c r="U39" i="73"/>
  <c r="T39" i="73"/>
  <c r="S39" i="73"/>
  <c r="R39" i="73"/>
  <c r="Q39" i="73"/>
  <c r="P39" i="73"/>
  <c r="O39" i="73"/>
  <c r="N39" i="73"/>
  <c r="L39" i="73"/>
  <c r="K39" i="73"/>
  <c r="J39" i="73"/>
  <c r="I39" i="73"/>
  <c r="H39" i="73"/>
  <c r="G39" i="73"/>
  <c r="F39" i="73"/>
  <c r="E39" i="73"/>
  <c r="D39" i="73"/>
  <c r="C39" i="73"/>
  <c r="A39" i="73"/>
  <c r="V38" i="73"/>
  <c r="U38" i="73"/>
  <c r="T38" i="73"/>
  <c r="S38" i="73"/>
  <c r="R38" i="73"/>
  <c r="Q38" i="73"/>
  <c r="P38" i="73"/>
  <c r="O38" i="73"/>
  <c r="N38" i="73"/>
  <c r="A38" i="73"/>
  <c r="V37" i="73"/>
  <c r="U37" i="73"/>
  <c r="T37" i="73"/>
  <c r="S37" i="73"/>
  <c r="R37" i="73"/>
  <c r="Q37" i="73"/>
  <c r="P37" i="73"/>
  <c r="O37" i="73"/>
  <c r="N37" i="73"/>
  <c r="L37" i="73"/>
  <c r="K37" i="73"/>
  <c r="J37" i="73"/>
  <c r="I37" i="73"/>
  <c r="H37" i="73"/>
  <c r="G37" i="73"/>
  <c r="F37" i="73"/>
  <c r="E37" i="73"/>
  <c r="D37" i="73"/>
  <c r="C37" i="73"/>
  <c r="A37" i="73"/>
  <c r="V36" i="73"/>
  <c r="U36" i="73"/>
  <c r="T36" i="73"/>
  <c r="S36" i="73"/>
  <c r="R36" i="73"/>
  <c r="Q36" i="73"/>
  <c r="P36" i="73"/>
  <c r="O36" i="73"/>
  <c r="N36" i="73"/>
  <c r="F36" i="73"/>
  <c r="E36" i="73"/>
  <c r="D36" i="73"/>
  <c r="C36" i="73"/>
  <c r="A36" i="73"/>
  <c r="V35" i="73"/>
  <c r="U35" i="73"/>
  <c r="T35" i="73"/>
  <c r="S35" i="73"/>
  <c r="R35" i="73"/>
  <c r="Q35" i="73"/>
  <c r="P35" i="73"/>
  <c r="O35" i="73"/>
  <c r="N35" i="73"/>
  <c r="F35" i="73"/>
  <c r="E35" i="73"/>
  <c r="D35" i="73"/>
  <c r="A35" i="73"/>
  <c r="V34" i="73"/>
  <c r="U34" i="73"/>
  <c r="T34" i="73"/>
  <c r="S34" i="73"/>
  <c r="R34" i="73"/>
  <c r="Q34" i="73"/>
  <c r="P34" i="73"/>
  <c r="O34" i="73"/>
  <c r="N34" i="73"/>
  <c r="L34" i="73"/>
  <c r="K34" i="73"/>
  <c r="J34" i="73"/>
  <c r="I34" i="73"/>
  <c r="H34" i="73"/>
  <c r="G34" i="73"/>
  <c r="F34" i="73"/>
  <c r="E34" i="73"/>
  <c r="D34" i="73"/>
  <c r="C34" i="73"/>
  <c r="A34" i="73"/>
  <c r="V33" i="73"/>
  <c r="U33" i="73"/>
  <c r="T33" i="73"/>
  <c r="S33" i="73"/>
  <c r="R33" i="73"/>
  <c r="Q33" i="73"/>
  <c r="P33" i="73"/>
  <c r="O33" i="73"/>
  <c r="N33" i="73"/>
  <c r="L33" i="73"/>
  <c r="K33" i="73"/>
  <c r="J33" i="73"/>
  <c r="I33" i="73"/>
  <c r="H33" i="73"/>
  <c r="G33" i="73"/>
  <c r="F33" i="73"/>
  <c r="E33" i="73"/>
  <c r="D33" i="73"/>
  <c r="T32" i="73"/>
  <c r="S32" i="73"/>
  <c r="V31" i="73"/>
  <c r="U31" i="73"/>
  <c r="T31" i="73"/>
  <c r="S31" i="73"/>
  <c r="R31" i="73"/>
  <c r="Q31" i="73"/>
  <c r="P31" i="73"/>
  <c r="O31" i="73"/>
  <c r="N31" i="73"/>
  <c r="M31" i="73"/>
  <c r="J20" i="73"/>
  <c r="I20" i="73"/>
  <c r="H20" i="73"/>
  <c r="G20" i="73"/>
  <c r="J19" i="73"/>
  <c r="I19" i="73"/>
  <c r="H19" i="73"/>
  <c r="G19" i="73"/>
  <c r="J18" i="73"/>
  <c r="I18" i="73"/>
  <c r="H18" i="73"/>
  <c r="G18" i="73"/>
  <c r="J17" i="73"/>
  <c r="I17" i="73"/>
  <c r="H17" i="73"/>
  <c r="G17" i="73"/>
  <c r="J16" i="73"/>
  <c r="I16" i="73"/>
  <c r="H16" i="73"/>
  <c r="G16" i="73"/>
  <c r="J15" i="73"/>
  <c r="I15" i="73"/>
  <c r="H15" i="73"/>
  <c r="G15" i="73"/>
  <c r="J14" i="73"/>
  <c r="I14" i="73"/>
  <c r="H14" i="73"/>
  <c r="G14" i="73"/>
  <c r="J13" i="73"/>
  <c r="I13" i="73"/>
  <c r="H13" i="73"/>
  <c r="G13" i="73"/>
  <c r="J12" i="73"/>
  <c r="I12" i="73"/>
  <c r="H12" i="73"/>
  <c r="G12" i="73"/>
  <c r="J11" i="73"/>
  <c r="H11" i="73"/>
  <c r="G11" i="73"/>
  <c r="E7" i="73"/>
  <c r="B7" i="73"/>
  <c r="I11" i="73" s="1"/>
  <c r="C33" i="73" s="1"/>
  <c r="L126" i="92"/>
  <c r="J126" i="92"/>
  <c r="G126" i="92"/>
  <c r="F126" i="92"/>
  <c r="E126" i="92"/>
  <c r="D126" i="92"/>
  <c r="M125" i="92"/>
  <c r="L125" i="92"/>
  <c r="K125" i="92"/>
  <c r="J125" i="92"/>
  <c r="H125" i="92"/>
  <c r="G125" i="92"/>
  <c r="M124" i="92"/>
  <c r="L124" i="92"/>
  <c r="K124" i="92"/>
  <c r="J124" i="92"/>
  <c r="H124" i="92"/>
  <c r="G124" i="92"/>
  <c r="C113" i="92"/>
  <c r="C112" i="92"/>
  <c r="V103" i="92"/>
  <c r="U103" i="92"/>
  <c r="T103" i="92"/>
  <c r="S103" i="92"/>
  <c r="R103" i="92"/>
  <c r="Q103" i="92"/>
  <c r="P103" i="92"/>
  <c r="O103" i="92"/>
  <c r="N103" i="92"/>
  <c r="A103" i="92"/>
  <c r="V102" i="92"/>
  <c r="U102" i="92"/>
  <c r="T102" i="92"/>
  <c r="S102" i="92"/>
  <c r="R102" i="92"/>
  <c r="Q102" i="92"/>
  <c r="P102" i="92"/>
  <c r="O102" i="92"/>
  <c r="N102" i="92"/>
  <c r="A102" i="92"/>
  <c r="V101" i="92"/>
  <c r="U101" i="92"/>
  <c r="T101" i="92"/>
  <c r="S101" i="92"/>
  <c r="R101" i="92"/>
  <c r="Q101" i="92"/>
  <c r="P101" i="92"/>
  <c r="O101" i="92"/>
  <c r="N101" i="92"/>
  <c r="A101" i="92"/>
  <c r="V100" i="92"/>
  <c r="U100" i="92"/>
  <c r="T100" i="92"/>
  <c r="S100" i="92"/>
  <c r="R100" i="92"/>
  <c r="Q100" i="92"/>
  <c r="P100" i="92"/>
  <c r="O100" i="92"/>
  <c r="N100" i="92"/>
  <c r="A100" i="92"/>
  <c r="V99" i="92"/>
  <c r="U99" i="92"/>
  <c r="T99" i="92"/>
  <c r="S99" i="92"/>
  <c r="R99" i="92"/>
  <c r="Q99" i="92"/>
  <c r="P99" i="92"/>
  <c r="O99" i="92"/>
  <c r="N99" i="92"/>
  <c r="A99" i="92"/>
  <c r="V98" i="92"/>
  <c r="U98" i="92"/>
  <c r="T98" i="92"/>
  <c r="S98" i="92"/>
  <c r="R98" i="92"/>
  <c r="Q98" i="92"/>
  <c r="P98" i="92"/>
  <c r="O98" i="92"/>
  <c r="N98" i="92"/>
  <c r="A98" i="92"/>
  <c r="V97" i="92"/>
  <c r="U97" i="92"/>
  <c r="T97" i="92"/>
  <c r="S97" i="92"/>
  <c r="R97" i="92"/>
  <c r="Q97" i="92"/>
  <c r="P97" i="92"/>
  <c r="O97" i="92"/>
  <c r="N97" i="92"/>
  <c r="A97" i="92"/>
  <c r="V96" i="92"/>
  <c r="U96" i="92"/>
  <c r="T96" i="92"/>
  <c r="S96" i="92"/>
  <c r="R96" i="92"/>
  <c r="Q96" i="92"/>
  <c r="P96" i="92"/>
  <c r="O96" i="92"/>
  <c r="N96" i="92"/>
  <c r="A96" i="92"/>
  <c r="V95" i="92"/>
  <c r="U95" i="92"/>
  <c r="T95" i="92"/>
  <c r="S95" i="92"/>
  <c r="R95" i="92"/>
  <c r="Q95" i="92"/>
  <c r="P95" i="92"/>
  <c r="O95" i="92"/>
  <c r="N95" i="92"/>
  <c r="A95" i="92"/>
  <c r="V94" i="92"/>
  <c r="U94" i="92"/>
  <c r="T94" i="92"/>
  <c r="S94" i="92"/>
  <c r="R94" i="92"/>
  <c r="Q94" i="92"/>
  <c r="P94" i="92"/>
  <c r="O94" i="92"/>
  <c r="N94" i="92"/>
  <c r="A94" i="92"/>
  <c r="V93" i="92"/>
  <c r="U93" i="92"/>
  <c r="T93" i="92"/>
  <c r="S93" i="92"/>
  <c r="R93" i="92"/>
  <c r="Q93" i="92"/>
  <c r="P93" i="92"/>
  <c r="O93" i="92"/>
  <c r="N93" i="92"/>
  <c r="A93" i="92"/>
  <c r="V92" i="92"/>
  <c r="U92" i="92"/>
  <c r="T92" i="92"/>
  <c r="S92" i="92"/>
  <c r="R92" i="92"/>
  <c r="Q92" i="92"/>
  <c r="P92" i="92"/>
  <c r="O92" i="92"/>
  <c r="N92" i="92"/>
  <c r="A92" i="92"/>
  <c r="V91" i="92"/>
  <c r="U91" i="92"/>
  <c r="T91" i="92"/>
  <c r="S91" i="92"/>
  <c r="R91" i="92"/>
  <c r="Q91" i="92"/>
  <c r="P91" i="92"/>
  <c r="O91" i="92"/>
  <c r="N91" i="92"/>
  <c r="A91" i="92"/>
  <c r="V90" i="92"/>
  <c r="U90" i="92"/>
  <c r="T90" i="92"/>
  <c r="S90" i="92"/>
  <c r="R90" i="92"/>
  <c r="Q90" i="92"/>
  <c r="P90" i="92"/>
  <c r="O90" i="92"/>
  <c r="N90" i="92"/>
  <c r="A90" i="92"/>
  <c r="V89" i="92"/>
  <c r="U89" i="92"/>
  <c r="T89" i="92"/>
  <c r="S89" i="92"/>
  <c r="R89" i="92"/>
  <c r="Q89" i="92"/>
  <c r="P89" i="92"/>
  <c r="O89" i="92"/>
  <c r="N89" i="92"/>
  <c r="A89" i="92"/>
  <c r="V88" i="92"/>
  <c r="U88" i="92"/>
  <c r="T88" i="92"/>
  <c r="S88" i="92"/>
  <c r="R88" i="92"/>
  <c r="Q88" i="92"/>
  <c r="P88" i="92"/>
  <c r="O88" i="92"/>
  <c r="N88" i="92"/>
  <c r="A88" i="92"/>
  <c r="V87" i="92"/>
  <c r="U87" i="92"/>
  <c r="T87" i="92"/>
  <c r="S87" i="92"/>
  <c r="R87" i="92"/>
  <c r="Q87" i="92"/>
  <c r="P87" i="92"/>
  <c r="O87" i="92"/>
  <c r="N87" i="92"/>
  <c r="A87" i="92"/>
  <c r="V86" i="92"/>
  <c r="U86" i="92"/>
  <c r="T86" i="92"/>
  <c r="S86" i="92"/>
  <c r="R86" i="92"/>
  <c r="Q86" i="92"/>
  <c r="P86" i="92"/>
  <c r="O86" i="92"/>
  <c r="N86" i="92"/>
  <c r="A86" i="92"/>
  <c r="V85" i="92"/>
  <c r="U85" i="92"/>
  <c r="T85" i="92"/>
  <c r="S85" i="92"/>
  <c r="R85" i="92"/>
  <c r="Q85" i="92"/>
  <c r="P85" i="92"/>
  <c r="O85" i="92"/>
  <c r="N85" i="92"/>
  <c r="A85" i="92"/>
  <c r="V84" i="92"/>
  <c r="U84" i="92"/>
  <c r="T84" i="92"/>
  <c r="S84" i="92"/>
  <c r="R84" i="92"/>
  <c r="Q84" i="92"/>
  <c r="P84" i="92"/>
  <c r="O84" i="92"/>
  <c r="N84" i="92"/>
  <c r="A84" i="92"/>
  <c r="V83" i="92"/>
  <c r="U83" i="92"/>
  <c r="T83" i="92"/>
  <c r="S83" i="92"/>
  <c r="R83" i="92"/>
  <c r="Q83" i="92"/>
  <c r="P83" i="92"/>
  <c r="O83" i="92"/>
  <c r="N83" i="92"/>
  <c r="A83" i="92"/>
  <c r="V82" i="92"/>
  <c r="U82" i="92"/>
  <c r="T82" i="92"/>
  <c r="S82" i="92"/>
  <c r="R82" i="92"/>
  <c r="Q82" i="92"/>
  <c r="P82" i="92"/>
  <c r="O82" i="92"/>
  <c r="N82" i="92"/>
  <c r="L82" i="92"/>
  <c r="K82" i="92"/>
  <c r="J82" i="92"/>
  <c r="I82" i="92"/>
  <c r="H82" i="92"/>
  <c r="G82" i="92"/>
  <c r="F82" i="92"/>
  <c r="A82" i="92"/>
  <c r="V81" i="92"/>
  <c r="U81" i="92"/>
  <c r="T81" i="92"/>
  <c r="S81" i="92"/>
  <c r="R81" i="92"/>
  <c r="Q81" i="92"/>
  <c r="P81" i="92"/>
  <c r="O81" i="92"/>
  <c r="N81" i="92"/>
  <c r="A81" i="92"/>
  <c r="V80" i="92"/>
  <c r="U80" i="92"/>
  <c r="T80" i="92"/>
  <c r="S80" i="92"/>
  <c r="R80" i="92"/>
  <c r="Q80" i="92"/>
  <c r="P80" i="92"/>
  <c r="O80" i="92"/>
  <c r="N80" i="92"/>
  <c r="A80" i="92"/>
  <c r="V79" i="92"/>
  <c r="U79" i="92"/>
  <c r="T79" i="92"/>
  <c r="S79" i="92"/>
  <c r="R79" i="92"/>
  <c r="Q79" i="92"/>
  <c r="P79" i="92"/>
  <c r="O79" i="92"/>
  <c r="N79" i="92"/>
  <c r="A79" i="92"/>
  <c r="V78" i="92"/>
  <c r="U78" i="92"/>
  <c r="T78" i="92"/>
  <c r="S78" i="92"/>
  <c r="R78" i="92"/>
  <c r="Q78" i="92"/>
  <c r="P78" i="92"/>
  <c r="O78" i="92"/>
  <c r="N78" i="92"/>
  <c r="A78" i="92"/>
  <c r="V77" i="92"/>
  <c r="U77" i="92"/>
  <c r="T77" i="92"/>
  <c r="S77" i="92"/>
  <c r="R77" i="92"/>
  <c r="Q77" i="92"/>
  <c r="P77" i="92"/>
  <c r="O77" i="92"/>
  <c r="N77" i="92"/>
  <c r="A77" i="92"/>
  <c r="V76" i="92"/>
  <c r="U76" i="92"/>
  <c r="T76" i="92"/>
  <c r="S76" i="92"/>
  <c r="R76" i="92"/>
  <c r="Q76" i="92"/>
  <c r="P76" i="92"/>
  <c r="O76" i="92"/>
  <c r="N76" i="92"/>
  <c r="A76" i="92"/>
  <c r="V75" i="92"/>
  <c r="U75" i="92"/>
  <c r="T75" i="92"/>
  <c r="S75" i="92"/>
  <c r="R75" i="92"/>
  <c r="Q75" i="92"/>
  <c r="P75" i="92"/>
  <c r="O75" i="92"/>
  <c r="N75" i="92"/>
  <c r="A75" i="92"/>
  <c r="V74" i="92"/>
  <c r="U74" i="92"/>
  <c r="T74" i="92"/>
  <c r="S74" i="92"/>
  <c r="R74" i="92"/>
  <c r="Q74" i="92"/>
  <c r="P74" i="92"/>
  <c r="O74" i="92"/>
  <c r="N74" i="92"/>
  <c r="A74" i="92"/>
  <c r="V73" i="92"/>
  <c r="U73" i="92"/>
  <c r="T73" i="92"/>
  <c r="S73" i="92"/>
  <c r="R73" i="92"/>
  <c r="Q73" i="92"/>
  <c r="P73" i="92"/>
  <c r="O73" i="92"/>
  <c r="N73" i="92"/>
  <c r="A73" i="92"/>
  <c r="V72" i="92"/>
  <c r="U72" i="92"/>
  <c r="T72" i="92"/>
  <c r="S72" i="92"/>
  <c r="R72" i="92"/>
  <c r="Q72" i="92"/>
  <c r="P72" i="92"/>
  <c r="O72" i="92"/>
  <c r="N72" i="92"/>
  <c r="A72" i="92"/>
  <c r="V71" i="92"/>
  <c r="U71" i="92"/>
  <c r="T71" i="92"/>
  <c r="S71" i="92"/>
  <c r="R71" i="92"/>
  <c r="Q71" i="92"/>
  <c r="P71" i="92"/>
  <c r="O71" i="92"/>
  <c r="N71" i="92"/>
  <c r="L71" i="92"/>
  <c r="K71" i="92"/>
  <c r="J71" i="92"/>
  <c r="I71" i="92"/>
  <c r="H71" i="92"/>
  <c r="G71" i="92"/>
  <c r="F71" i="92"/>
  <c r="E71" i="92"/>
  <c r="D71" i="92"/>
  <c r="C71" i="92"/>
  <c r="A71" i="92"/>
  <c r="V70" i="92"/>
  <c r="U70" i="92"/>
  <c r="T70" i="92"/>
  <c r="S70" i="92"/>
  <c r="R70" i="92"/>
  <c r="Q70" i="92"/>
  <c r="P70" i="92"/>
  <c r="O70" i="92"/>
  <c r="N70" i="92"/>
  <c r="A70" i="92"/>
  <c r="L69" i="92"/>
  <c r="K69" i="92"/>
  <c r="J69" i="92"/>
  <c r="I69" i="92"/>
  <c r="H69" i="92"/>
  <c r="G69" i="92"/>
  <c r="F69" i="92"/>
  <c r="E69" i="92"/>
  <c r="D69" i="92"/>
  <c r="C69" i="92"/>
  <c r="A69" i="92"/>
  <c r="V68" i="92"/>
  <c r="U68" i="92"/>
  <c r="T68" i="92"/>
  <c r="S68" i="92"/>
  <c r="R68" i="92"/>
  <c r="Q68" i="92"/>
  <c r="P68" i="92"/>
  <c r="O68" i="92"/>
  <c r="N68" i="92"/>
  <c r="C68" i="92"/>
  <c r="A68" i="92"/>
  <c r="V67" i="92"/>
  <c r="U67" i="92"/>
  <c r="T67" i="92"/>
  <c r="S67" i="92"/>
  <c r="R67" i="92"/>
  <c r="Q67" i="92"/>
  <c r="P67" i="92"/>
  <c r="O67" i="92"/>
  <c r="N67" i="92"/>
  <c r="A67" i="92"/>
  <c r="V66" i="92"/>
  <c r="U66" i="92"/>
  <c r="T66" i="92"/>
  <c r="S66" i="92"/>
  <c r="R66" i="92"/>
  <c r="Q66" i="92"/>
  <c r="P66" i="92"/>
  <c r="O66" i="92"/>
  <c r="N66" i="92"/>
  <c r="A66" i="92"/>
  <c r="C65" i="92"/>
  <c r="A65" i="92"/>
  <c r="V64" i="92"/>
  <c r="U64" i="92"/>
  <c r="T64" i="92"/>
  <c r="S64" i="92"/>
  <c r="R64" i="92"/>
  <c r="Q64" i="92"/>
  <c r="P64" i="92"/>
  <c r="O64" i="92"/>
  <c r="N64" i="92"/>
  <c r="C64" i="92"/>
  <c r="A64" i="92"/>
  <c r="V63" i="92"/>
  <c r="U63" i="92"/>
  <c r="T63" i="92"/>
  <c r="S63" i="92"/>
  <c r="R63" i="92"/>
  <c r="Q63" i="92"/>
  <c r="P63" i="92"/>
  <c r="O63" i="92"/>
  <c r="N63" i="92"/>
  <c r="A63" i="92"/>
  <c r="V62" i="92"/>
  <c r="U62" i="92"/>
  <c r="T62" i="92"/>
  <c r="S62" i="92"/>
  <c r="R62" i="92"/>
  <c r="Q62" i="92"/>
  <c r="P62" i="92"/>
  <c r="O62" i="92"/>
  <c r="N62" i="92"/>
  <c r="A62" i="92"/>
  <c r="V61" i="92"/>
  <c r="U61" i="92"/>
  <c r="T61" i="92"/>
  <c r="S61" i="92"/>
  <c r="R61" i="92"/>
  <c r="Q61" i="92"/>
  <c r="P61" i="92"/>
  <c r="O61" i="92"/>
  <c r="N61" i="92"/>
  <c r="A61" i="92"/>
  <c r="V60" i="92"/>
  <c r="U60" i="92"/>
  <c r="T60" i="92"/>
  <c r="S60" i="92"/>
  <c r="R60" i="92"/>
  <c r="Q60" i="92"/>
  <c r="P60" i="92"/>
  <c r="O60" i="92"/>
  <c r="N60" i="92"/>
  <c r="A60" i="92"/>
  <c r="V59" i="92"/>
  <c r="U59" i="92"/>
  <c r="T59" i="92"/>
  <c r="S59" i="92"/>
  <c r="R59" i="92"/>
  <c r="Q59" i="92"/>
  <c r="P59" i="92"/>
  <c r="O59" i="92"/>
  <c r="N59" i="92"/>
  <c r="A59" i="92"/>
  <c r="V58" i="92"/>
  <c r="U58" i="92"/>
  <c r="T58" i="92"/>
  <c r="S58" i="92"/>
  <c r="R58" i="92"/>
  <c r="Q58" i="92"/>
  <c r="P58" i="92"/>
  <c r="O58" i="92"/>
  <c r="N58" i="92"/>
  <c r="C58" i="92"/>
  <c r="A58" i="92"/>
  <c r="V57" i="92"/>
  <c r="U57" i="92"/>
  <c r="T57" i="92"/>
  <c r="S57" i="92"/>
  <c r="R57" i="92"/>
  <c r="Q57" i="92"/>
  <c r="P57" i="92"/>
  <c r="O57" i="92"/>
  <c r="N57" i="92"/>
  <c r="C57" i="92"/>
  <c r="A57" i="92"/>
  <c r="V56" i="92"/>
  <c r="U56" i="92"/>
  <c r="T56" i="92"/>
  <c r="S56" i="92"/>
  <c r="R56" i="92"/>
  <c r="Q56" i="92"/>
  <c r="P56" i="92"/>
  <c r="O56" i="92"/>
  <c r="N56" i="92"/>
  <c r="A56" i="92"/>
  <c r="V55" i="92"/>
  <c r="U55" i="92"/>
  <c r="T55" i="92"/>
  <c r="S55" i="92"/>
  <c r="R55" i="92"/>
  <c r="Q55" i="92"/>
  <c r="P55" i="92"/>
  <c r="O55" i="92"/>
  <c r="N55" i="92"/>
  <c r="A55" i="92"/>
  <c r="V54" i="92"/>
  <c r="U54" i="92"/>
  <c r="T54" i="92"/>
  <c r="S54" i="92"/>
  <c r="R54" i="92"/>
  <c r="Q54" i="92"/>
  <c r="P54" i="92"/>
  <c r="O54" i="92"/>
  <c r="N54" i="92"/>
  <c r="C54" i="92"/>
  <c r="A54" i="92"/>
  <c r="V53" i="92"/>
  <c r="U53" i="92"/>
  <c r="T53" i="92"/>
  <c r="S53" i="92"/>
  <c r="R53" i="92"/>
  <c r="Q53" i="92"/>
  <c r="P53" i="92"/>
  <c r="O53" i="92"/>
  <c r="N53" i="92"/>
  <c r="L53" i="92"/>
  <c r="K53" i="92"/>
  <c r="J53" i="92"/>
  <c r="I53" i="92"/>
  <c r="H53" i="92"/>
  <c r="G53" i="92"/>
  <c r="F53" i="92"/>
  <c r="E53" i="92"/>
  <c r="D53" i="92"/>
  <c r="C53" i="92"/>
  <c r="A53" i="92"/>
  <c r="V52" i="92"/>
  <c r="U52" i="92"/>
  <c r="T52" i="92"/>
  <c r="S52" i="92"/>
  <c r="R52" i="92"/>
  <c r="Q52" i="92"/>
  <c r="P52" i="92"/>
  <c r="O52" i="92"/>
  <c r="N52" i="92"/>
  <c r="L52" i="92"/>
  <c r="K52" i="92"/>
  <c r="J52" i="92"/>
  <c r="I52" i="92"/>
  <c r="H52" i="92"/>
  <c r="G52" i="92"/>
  <c r="F52" i="92"/>
  <c r="E52" i="92"/>
  <c r="D52" i="92"/>
  <c r="C52" i="92"/>
  <c r="A52" i="92"/>
  <c r="V51" i="92"/>
  <c r="U51" i="92"/>
  <c r="T51" i="92"/>
  <c r="S51" i="92"/>
  <c r="R51" i="92"/>
  <c r="Q51" i="92"/>
  <c r="P51" i="92"/>
  <c r="O51" i="92"/>
  <c r="N51" i="92"/>
  <c r="A51" i="92"/>
  <c r="V50" i="92"/>
  <c r="U50" i="92"/>
  <c r="T50" i="92"/>
  <c r="S50" i="92"/>
  <c r="R50" i="92"/>
  <c r="Q50" i="92"/>
  <c r="P50" i="92"/>
  <c r="O50" i="92"/>
  <c r="N50" i="92"/>
  <c r="A50" i="92"/>
  <c r="V49" i="92"/>
  <c r="U49" i="92"/>
  <c r="T49" i="92"/>
  <c r="S49" i="92"/>
  <c r="R49" i="92"/>
  <c r="Q49" i="92"/>
  <c r="P49" i="92"/>
  <c r="O49" i="92"/>
  <c r="N49" i="92"/>
  <c r="A49" i="92"/>
  <c r="V48" i="92"/>
  <c r="U48" i="92"/>
  <c r="T48" i="92"/>
  <c r="S48" i="92"/>
  <c r="R48" i="92"/>
  <c r="Q48" i="92"/>
  <c r="P48" i="92"/>
  <c r="O48" i="92"/>
  <c r="N48" i="92"/>
  <c r="A48" i="92"/>
  <c r="V47" i="92"/>
  <c r="U47" i="92"/>
  <c r="T47" i="92"/>
  <c r="S47" i="92"/>
  <c r="R47" i="92"/>
  <c r="Q47" i="92"/>
  <c r="P47" i="92"/>
  <c r="O47" i="92"/>
  <c r="N47" i="92"/>
  <c r="A47" i="92"/>
  <c r="V46" i="92"/>
  <c r="U46" i="92"/>
  <c r="T46" i="92"/>
  <c r="S46" i="92"/>
  <c r="R46" i="92"/>
  <c r="Q46" i="92"/>
  <c r="P46" i="92"/>
  <c r="O46" i="92"/>
  <c r="N46" i="92"/>
  <c r="A46" i="92"/>
  <c r="V45" i="92"/>
  <c r="U45" i="92"/>
  <c r="T45" i="92"/>
  <c r="S45" i="92"/>
  <c r="R45" i="92"/>
  <c r="Q45" i="92"/>
  <c r="P45" i="92"/>
  <c r="O45" i="92"/>
  <c r="N45" i="92"/>
  <c r="A45" i="92"/>
  <c r="V44" i="92"/>
  <c r="U44" i="92"/>
  <c r="T44" i="92"/>
  <c r="S44" i="92"/>
  <c r="R44" i="92"/>
  <c r="Q44" i="92"/>
  <c r="P44" i="92"/>
  <c r="O44" i="92"/>
  <c r="N44" i="92"/>
  <c r="A44" i="92"/>
  <c r="V43" i="92"/>
  <c r="U43" i="92"/>
  <c r="T43" i="92"/>
  <c r="S43" i="92"/>
  <c r="R43" i="92"/>
  <c r="Q43" i="92"/>
  <c r="P43" i="92"/>
  <c r="O43" i="92"/>
  <c r="N43" i="92"/>
  <c r="L43" i="92"/>
  <c r="K43" i="92"/>
  <c r="J43" i="92"/>
  <c r="I43" i="92"/>
  <c r="H43" i="92"/>
  <c r="G43" i="92"/>
  <c r="F43" i="92"/>
  <c r="E43" i="92"/>
  <c r="D43" i="92"/>
  <c r="C43" i="92"/>
  <c r="A43" i="92"/>
  <c r="V42" i="92"/>
  <c r="U42" i="92"/>
  <c r="T42" i="92"/>
  <c r="S42" i="92"/>
  <c r="R42" i="92"/>
  <c r="Q42" i="92"/>
  <c r="P42" i="92"/>
  <c r="O42" i="92"/>
  <c r="N42" i="92"/>
  <c r="L42" i="92"/>
  <c r="K42" i="92"/>
  <c r="J42" i="92"/>
  <c r="I42" i="92"/>
  <c r="H42" i="92"/>
  <c r="G42" i="92"/>
  <c r="F42" i="92"/>
  <c r="E42" i="92"/>
  <c r="D42" i="92"/>
  <c r="C42" i="92"/>
  <c r="A42" i="92"/>
  <c r="V41" i="92"/>
  <c r="U41" i="92"/>
  <c r="T41" i="92"/>
  <c r="S41" i="92"/>
  <c r="R41" i="92"/>
  <c r="Q41" i="92"/>
  <c r="P41" i="92"/>
  <c r="O41" i="92"/>
  <c r="N41" i="92"/>
  <c r="L41" i="92"/>
  <c r="K41" i="92"/>
  <c r="J41" i="92"/>
  <c r="I41" i="92"/>
  <c r="H41" i="92"/>
  <c r="G41" i="92"/>
  <c r="F41" i="92"/>
  <c r="E41" i="92"/>
  <c r="D41" i="92"/>
  <c r="C41" i="92"/>
  <c r="A41" i="92"/>
  <c r="V40" i="92"/>
  <c r="U40" i="92"/>
  <c r="T40" i="92"/>
  <c r="S40" i="92"/>
  <c r="R40" i="92"/>
  <c r="Q40" i="92"/>
  <c r="P40" i="92"/>
  <c r="O40" i="92"/>
  <c r="N40" i="92"/>
  <c r="A40" i="92"/>
  <c r="V39" i="92"/>
  <c r="U39" i="92"/>
  <c r="T39" i="92"/>
  <c r="S39" i="92"/>
  <c r="R39" i="92"/>
  <c r="Q39" i="92"/>
  <c r="P39" i="92"/>
  <c r="O39" i="92"/>
  <c r="N39" i="92"/>
  <c r="L39" i="92"/>
  <c r="K39" i="92"/>
  <c r="J39" i="92"/>
  <c r="I39" i="92"/>
  <c r="H39" i="92"/>
  <c r="G39" i="92"/>
  <c r="F39" i="92"/>
  <c r="E39" i="92"/>
  <c r="D39" i="92"/>
  <c r="C39" i="92"/>
  <c r="A39" i="92"/>
  <c r="V38" i="92"/>
  <c r="U38" i="92"/>
  <c r="T38" i="92"/>
  <c r="S38" i="92"/>
  <c r="R38" i="92"/>
  <c r="Q38" i="92"/>
  <c r="P38" i="92"/>
  <c r="O38" i="92"/>
  <c r="N38" i="92"/>
  <c r="A38" i="92"/>
  <c r="V37" i="92"/>
  <c r="U37" i="92"/>
  <c r="T37" i="92"/>
  <c r="S37" i="92"/>
  <c r="R37" i="92"/>
  <c r="Q37" i="92"/>
  <c r="P37" i="92"/>
  <c r="O37" i="92"/>
  <c r="N37" i="92"/>
  <c r="L37" i="92"/>
  <c r="K37" i="92"/>
  <c r="J37" i="92"/>
  <c r="I37" i="92"/>
  <c r="H37" i="92"/>
  <c r="G37" i="92"/>
  <c r="F37" i="92"/>
  <c r="E37" i="92"/>
  <c r="D37" i="92"/>
  <c r="C37" i="92"/>
  <c r="A37" i="92"/>
  <c r="V36" i="92"/>
  <c r="U36" i="92"/>
  <c r="T36" i="92"/>
  <c r="S36" i="92"/>
  <c r="R36" i="92"/>
  <c r="Q36" i="92"/>
  <c r="P36" i="92"/>
  <c r="O36" i="92"/>
  <c r="N36" i="92"/>
  <c r="C36" i="92"/>
  <c r="A36" i="92"/>
  <c r="V35" i="92"/>
  <c r="U35" i="92"/>
  <c r="T35" i="92"/>
  <c r="S35" i="92"/>
  <c r="R35" i="92"/>
  <c r="Q35" i="92"/>
  <c r="P35" i="92"/>
  <c r="O35" i="92"/>
  <c r="N35" i="92"/>
  <c r="A35" i="92"/>
  <c r="V34" i="92"/>
  <c r="U34" i="92"/>
  <c r="T34" i="92"/>
  <c r="S34" i="92"/>
  <c r="R34" i="92"/>
  <c r="Q34" i="92"/>
  <c r="P34" i="92"/>
  <c r="O34" i="92"/>
  <c r="N34" i="92"/>
  <c r="L34" i="92"/>
  <c r="K34" i="92"/>
  <c r="J34" i="92"/>
  <c r="I34" i="92"/>
  <c r="H34" i="92"/>
  <c r="G34" i="92"/>
  <c r="F34" i="92"/>
  <c r="E34" i="92"/>
  <c r="D34" i="92"/>
  <c r="C34" i="92"/>
  <c r="A34" i="92"/>
  <c r="V33" i="92"/>
  <c r="U33" i="92"/>
  <c r="T33" i="92"/>
  <c r="S33" i="92"/>
  <c r="R33" i="92"/>
  <c r="Q33" i="92"/>
  <c r="P33" i="92"/>
  <c r="O33" i="92"/>
  <c r="N33" i="92"/>
  <c r="L33" i="92"/>
  <c r="K33" i="92"/>
  <c r="J33" i="92"/>
  <c r="I33" i="92"/>
  <c r="H33" i="92"/>
  <c r="G33" i="92"/>
  <c r="F33" i="92"/>
  <c r="E33" i="92"/>
  <c r="D33" i="92"/>
  <c r="T32" i="92"/>
  <c r="S32" i="92"/>
  <c r="V31" i="92"/>
  <c r="U31" i="92"/>
  <c r="T31" i="92"/>
  <c r="S31" i="92"/>
  <c r="R31" i="92"/>
  <c r="Q31" i="92"/>
  <c r="P31" i="92"/>
  <c r="O31" i="92"/>
  <c r="N31" i="92"/>
  <c r="M31" i="92"/>
  <c r="J20" i="92"/>
  <c r="I20" i="92"/>
  <c r="H20" i="92"/>
  <c r="G20" i="92"/>
  <c r="J19" i="92"/>
  <c r="I19" i="92"/>
  <c r="H19" i="92"/>
  <c r="G19" i="92"/>
  <c r="J18" i="92"/>
  <c r="I18" i="92"/>
  <c r="H18" i="92"/>
  <c r="G18" i="92"/>
  <c r="J17" i="92"/>
  <c r="I17" i="92"/>
  <c r="H17" i="92"/>
  <c r="G17" i="92"/>
  <c r="J16" i="92"/>
  <c r="I16" i="92"/>
  <c r="H16" i="92"/>
  <c r="G16" i="92"/>
  <c r="J15" i="92"/>
  <c r="I15" i="92"/>
  <c r="H15" i="92"/>
  <c r="G15" i="92"/>
  <c r="J14" i="92"/>
  <c r="I14" i="92"/>
  <c r="H14" i="92"/>
  <c r="G14" i="92"/>
  <c r="J13" i="92"/>
  <c r="I13" i="92"/>
  <c r="H13" i="92"/>
  <c r="G13" i="92"/>
  <c r="J12" i="92"/>
  <c r="I12" i="92"/>
  <c r="H12" i="92"/>
  <c r="G12" i="92"/>
  <c r="J11" i="92"/>
  <c r="H11" i="92"/>
  <c r="G11" i="92"/>
  <c r="E7" i="92"/>
  <c r="B7" i="92"/>
  <c r="I11" i="92" s="1"/>
  <c r="C33" i="92" s="1"/>
  <c r="G134" i="42"/>
  <c r="F134" i="42"/>
  <c r="E134" i="42"/>
  <c r="D134" i="42"/>
  <c r="C134" i="42"/>
  <c r="G132" i="42"/>
  <c r="F132" i="42"/>
  <c r="E132" i="42"/>
  <c r="D132" i="42"/>
  <c r="C132" i="42"/>
  <c r="G130" i="42"/>
  <c r="F130" i="42"/>
  <c r="E130" i="42"/>
  <c r="D130" i="42"/>
  <c r="C130" i="42"/>
  <c r="D125" i="42"/>
  <c r="V103" i="42"/>
  <c r="U103" i="42"/>
  <c r="T103" i="42"/>
  <c r="S103" i="42"/>
  <c r="R103" i="42"/>
  <c r="Q103" i="42"/>
  <c r="P103" i="42"/>
  <c r="A103" i="42"/>
  <c r="V102" i="42"/>
  <c r="U102" i="42"/>
  <c r="T102" i="42"/>
  <c r="S102" i="42"/>
  <c r="R102" i="42"/>
  <c r="Q102" i="42"/>
  <c r="P102" i="42"/>
  <c r="A102" i="42"/>
  <c r="V101" i="42"/>
  <c r="U101" i="42"/>
  <c r="T101" i="42"/>
  <c r="S101" i="42"/>
  <c r="R101" i="42"/>
  <c r="Q101" i="42"/>
  <c r="P101" i="42"/>
  <c r="A101" i="42"/>
  <c r="V100" i="42"/>
  <c r="U100" i="42"/>
  <c r="T100" i="42"/>
  <c r="S100" i="42"/>
  <c r="R100" i="42"/>
  <c r="Q100" i="42"/>
  <c r="P100" i="42"/>
  <c r="A100" i="42"/>
  <c r="V99" i="42"/>
  <c r="U99" i="42"/>
  <c r="T99" i="42"/>
  <c r="S99" i="42"/>
  <c r="R99" i="42"/>
  <c r="Q99" i="42"/>
  <c r="P99" i="42"/>
  <c r="A99" i="42"/>
  <c r="V98" i="42"/>
  <c r="U98" i="42"/>
  <c r="T98" i="42"/>
  <c r="S98" i="42"/>
  <c r="R98" i="42"/>
  <c r="Q98" i="42"/>
  <c r="P98" i="42"/>
  <c r="A98" i="42"/>
  <c r="V97" i="42"/>
  <c r="U97" i="42"/>
  <c r="T97" i="42"/>
  <c r="S97" i="42"/>
  <c r="R97" i="42"/>
  <c r="Q97" i="42"/>
  <c r="P97" i="42"/>
  <c r="A97" i="42"/>
  <c r="V96" i="42"/>
  <c r="U96" i="42"/>
  <c r="T96" i="42"/>
  <c r="S96" i="42"/>
  <c r="R96" i="42"/>
  <c r="Q96" i="42"/>
  <c r="P96" i="42"/>
  <c r="A96" i="42"/>
  <c r="V95" i="42"/>
  <c r="U95" i="42"/>
  <c r="T95" i="42"/>
  <c r="S95" i="42"/>
  <c r="R95" i="42"/>
  <c r="Q95" i="42"/>
  <c r="P95" i="42"/>
  <c r="A95" i="42"/>
  <c r="V94" i="42"/>
  <c r="U94" i="42"/>
  <c r="T94" i="42"/>
  <c r="S94" i="42"/>
  <c r="R94" i="42"/>
  <c r="Q94" i="42"/>
  <c r="P94" i="42"/>
  <c r="A94" i="42"/>
  <c r="V93" i="42"/>
  <c r="U93" i="42"/>
  <c r="T93" i="42"/>
  <c r="S93" i="42"/>
  <c r="R93" i="42"/>
  <c r="Q93" i="42"/>
  <c r="P93" i="42"/>
  <c r="A93" i="42"/>
  <c r="V92" i="42"/>
  <c r="U92" i="42"/>
  <c r="T92" i="42"/>
  <c r="S92" i="42"/>
  <c r="R92" i="42"/>
  <c r="Q92" i="42"/>
  <c r="P92" i="42"/>
  <c r="A92" i="42"/>
  <c r="V91" i="42"/>
  <c r="U91" i="42"/>
  <c r="T91" i="42"/>
  <c r="S91" i="42"/>
  <c r="R91" i="42"/>
  <c r="Q91" i="42"/>
  <c r="P91" i="42"/>
  <c r="A91" i="42"/>
  <c r="V90" i="42"/>
  <c r="U90" i="42"/>
  <c r="T90" i="42"/>
  <c r="S90" i="42"/>
  <c r="R90" i="42"/>
  <c r="Q90" i="42"/>
  <c r="P90" i="42"/>
  <c r="A90" i="42"/>
  <c r="V89" i="42"/>
  <c r="U89" i="42"/>
  <c r="T89" i="42"/>
  <c r="S89" i="42"/>
  <c r="R89" i="42"/>
  <c r="Q89" i="42"/>
  <c r="P89" i="42"/>
  <c r="A89" i="42"/>
  <c r="V88" i="42"/>
  <c r="U88" i="42"/>
  <c r="T88" i="42"/>
  <c r="S88" i="42"/>
  <c r="R88" i="42"/>
  <c r="Q88" i="42"/>
  <c r="P88" i="42"/>
  <c r="A88" i="42"/>
  <c r="V87" i="42"/>
  <c r="U87" i="42"/>
  <c r="T87" i="42"/>
  <c r="S87" i="42"/>
  <c r="R87" i="42"/>
  <c r="Q87" i="42"/>
  <c r="P87" i="42"/>
  <c r="A87" i="42"/>
  <c r="V86" i="42"/>
  <c r="U86" i="42"/>
  <c r="T86" i="42"/>
  <c r="S86" i="42"/>
  <c r="R86" i="42"/>
  <c r="Q86" i="42"/>
  <c r="P86" i="42"/>
  <c r="A86" i="42"/>
  <c r="V85" i="42"/>
  <c r="U85" i="42"/>
  <c r="T85" i="42"/>
  <c r="S85" i="42"/>
  <c r="R85" i="42"/>
  <c r="Q85" i="42"/>
  <c r="P85" i="42"/>
  <c r="A85" i="42"/>
  <c r="V84" i="42"/>
  <c r="U84" i="42"/>
  <c r="T84" i="42"/>
  <c r="S84" i="42"/>
  <c r="R84" i="42"/>
  <c r="Q84" i="42"/>
  <c r="P84" i="42"/>
  <c r="A84" i="42"/>
  <c r="V83" i="42"/>
  <c r="U83" i="42"/>
  <c r="T83" i="42"/>
  <c r="S83" i="42"/>
  <c r="R83" i="42"/>
  <c r="Q83" i="42"/>
  <c r="P83" i="42"/>
  <c r="A83" i="42"/>
  <c r="V82" i="42"/>
  <c r="U82" i="42"/>
  <c r="T82" i="42"/>
  <c r="S82" i="42"/>
  <c r="R82" i="42"/>
  <c r="Q82" i="42"/>
  <c r="P82" i="42"/>
  <c r="L82" i="42"/>
  <c r="K82" i="42"/>
  <c r="J82" i="42"/>
  <c r="I82" i="42"/>
  <c r="H82" i="42"/>
  <c r="G82" i="42"/>
  <c r="F82" i="42"/>
  <c r="A82" i="42"/>
  <c r="V81" i="42"/>
  <c r="U81" i="42"/>
  <c r="T81" i="42"/>
  <c r="S81" i="42"/>
  <c r="R81" i="42"/>
  <c r="Q81" i="42"/>
  <c r="P81" i="42"/>
  <c r="A81" i="42"/>
  <c r="V80" i="42"/>
  <c r="U80" i="42"/>
  <c r="T80" i="42"/>
  <c r="S80" i="42"/>
  <c r="R80" i="42"/>
  <c r="Q80" i="42"/>
  <c r="P80" i="42"/>
  <c r="A80" i="42"/>
  <c r="V79" i="42"/>
  <c r="U79" i="42"/>
  <c r="T79" i="42"/>
  <c r="S79" i="42"/>
  <c r="R79" i="42"/>
  <c r="Q79" i="42"/>
  <c r="P79" i="42"/>
  <c r="A79" i="42"/>
  <c r="V78" i="42"/>
  <c r="U78" i="42"/>
  <c r="T78" i="42"/>
  <c r="S78" i="42"/>
  <c r="R78" i="42"/>
  <c r="Q78" i="42"/>
  <c r="P78" i="42"/>
  <c r="A78" i="42"/>
  <c r="V77" i="42"/>
  <c r="U77" i="42"/>
  <c r="T77" i="42"/>
  <c r="S77" i="42"/>
  <c r="R77" i="42"/>
  <c r="Q77" i="42"/>
  <c r="P77" i="42"/>
  <c r="A77" i="42"/>
  <c r="V76" i="42"/>
  <c r="U76" i="42"/>
  <c r="T76" i="42"/>
  <c r="S76" i="42"/>
  <c r="R76" i="42"/>
  <c r="Q76" i="42"/>
  <c r="P76" i="42"/>
  <c r="A76" i="42"/>
  <c r="V75" i="42"/>
  <c r="U75" i="42"/>
  <c r="T75" i="42"/>
  <c r="S75" i="42"/>
  <c r="R75" i="42"/>
  <c r="Q75" i="42"/>
  <c r="P75" i="42"/>
  <c r="A75" i="42"/>
  <c r="V74" i="42"/>
  <c r="U74" i="42"/>
  <c r="T74" i="42"/>
  <c r="S74" i="42"/>
  <c r="R74" i="42"/>
  <c r="Q74" i="42"/>
  <c r="P74" i="42"/>
  <c r="A74" i="42"/>
  <c r="V73" i="42"/>
  <c r="U73" i="42"/>
  <c r="T73" i="42"/>
  <c r="S73" i="42"/>
  <c r="R73" i="42"/>
  <c r="Q73" i="42"/>
  <c r="P73" i="42"/>
  <c r="A73" i="42"/>
  <c r="V72" i="42"/>
  <c r="U72" i="42"/>
  <c r="T72" i="42"/>
  <c r="S72" i="42"/>
  <c r="R72" i="42"/>
  <c r="Q72" i="42"/>
  <c r="P72" i="42"/>
  <c r="A72" i="42"/>
  <c r="V71" i="42"/>
  <c r="U71" i="42"/>
  <c r="T71" i="42"/>
  <c r="S71" i="42"/>
  <c r="R71" i="42"/>
  <c r="Q71" i="42"/>
  <c r="P71" i="42"/>
  <c r="L71" i="42"/>
  <c r="K71" i="42"/>
  <c r="J71" i="42"/>
  <c r="I71" i="42"/>
  <c r="H71" i="42"/>
  <c r="G71" i="42"/>
  <c r="F71" i="42"/>
  <c r="E71" i="42"/>
  <c r="D71" i="42"/>
  <c r="C71" i="42"/>
  <c r="A71" i="42"/>
  <c r="V70" i="42"/>
  <c r="U70" i="42"/>
  <c r="T70" i="42"/>
  <c r="S70" i="42"/>
  <c r="R70" i="42"/>
  <c r="Q70" i="42"/>
  <c r="P70" i="42"/>
  <c r="A70" i="42"/>
  <c r="V69" i="42"/>
  <c r="U69" i="42"/>
  <c r="T69" i="42"/>
  <c r="S69" i="42"/>
  <c r="R69" i="42"/>
  <c r="Q69" i="42"/>
  <c r="P69" i="42"/>
  <c r="L69" i="42"/>
  <c r="K69" i="42"/>
  <c r="J69" i="42"/>
  <c r="I69" i="42"/>
  <c r="H69" i="42"/>
  <c r="G69" i="42"/>
  <c r="F69" i="42"/>
  <c r="E69" i="42"/>
  <c r="D69" i="42"/>
  <c r="C69" i="42"/>
  <c r="A69" i="42"/>
  <c r="V68" i="42"/>
  <c r="U68" i="42"/>
  <c r="T68" i="42"/>
  <c r="S68" i="42"/>
  <c r="R68" i="42"/>
  <c r="Q68" i="42"/>
  <c r="P68" i="42"/>
  <c r="A68" i="42"/>
  <c r="V67" i="42"/>
  <c r="U67" i="42"/>
  <c r="T67" i="42"/>
  <c r="S67" i="42"/>
  <c r="R67" i="42"/>
  <c r="Q67" i="42"/>
  <c r="P67" i="42"/>
  <c r="A67" i="42"/>
  <c r="V66" i="42"/>
  <c r="U66" i="42"/>
  <c r="T66" i="42"/>
  <c r="S66" i="42"/>
  <c r="R66" i="42"/>
  <c r="Q66" i="42"/>
  <c r="P66" i="42"/>
  <c r="A66" i="42"/>
  <c r="V65" i="42"/>
  <c r="U65" i="42"/>
  <c r="T65" i="42"/>
  <c r="S65" i="42"/>
  <c r="R65" i="42"/>
  <c r="Q65" i="42"/>
  <c r="P65" i="42"/>
  <c r="E65" i="42"/>
  <c r="D65" i="42"/>
  <c r="C65" i="42"/>
  <c r="A65" i="42"/>
  <c r="V64" i="42"/>
  <c r="U64" i="42"/>
  <c r="T64" i="42"/>
  <c r="S64" i="42"/>
  <c r="R64" i="42"/>
  <c r="Q64" i="42"/>
  <c r="P64" i="42"/>
  <c r="E64" i="42"/>
  <c r="D64" i="42"/>
  <c r="C64" i="42"/>
  <c r="A64" i="42"/>
  <c r="V63" i="42"/>
  <c r="U63" i="42"/>
  <c r="T63" i="42"/>
  <c r="S63" i="42"/>
  <c r="R63" i="42"/>
  <c r="Q63" i="42"/>
  <c r="P63" i="42"/>
  <c r="A63" i="42"/>
  <c r="V62" i="42"/>
  <c r="U62" i="42"/>
  <c r="T62" i="42"/>
  <c r="S62" i="42"/>
  <c r="R62" i="42"/>
  <c r="Q62" i="42"/>
  <c r="P62" i="42"/>
  <c r="A62" i="42"/>
  <c r="V61" i="42"/>
  <c r="U61" i="42"/>
  <c r="T61" i="42"/>
  <c r="S61" i="42"/>
  <c r="R61" i="42"/>
  <c r="Q61" i="42"/>
  <c r="P61" i="42"/>
  <c r="A61" i="42"/>
  <c r="V60" i="42"/>
  <c r="U60" i="42"/>
  <c r="T60" i="42"/>
  <c r="S60" i="42"/>
  <c r="R60" i="42"/>
  <c r="Q60" i="42"/>
  <c r="P60" i="42"/>
  <c r="A60" i="42"/>
  <c r="V59" i="42"/>
  <c r="U59" i="42"/>
  <c r="T59" i="42"/>
  <c r="S59" i="42"/>
  <c r="R59" i="42"/>
  <c r="Q59" i="42"/>
  <c r="P59" i="42"/>
  <c r="A59" i="42"/>
  <c r="V58" i="42"/>
  <c r="U58" i="42"/>
  <c r="T58" i="42"/>
  <c r="S58" i="42"/>
  <c r="R58" i="42"/>
  <c r="Q58" i="42"/>
  <c r="P58" i="42"/>
  <c r="C58" i="42"/>
  <c r="D58" i="42" s="1"/>
  <c r="E58" i="42" s="1"/>
  <c r="A58" i="42"/>
  <c r="V57" i="42"/>
  <c r="U57" i="42"/>
  <c r="T57" i="42"/>
  <c r="S57" i="42"/>
  <c r="R57" i="42"/>
  <c r="Q57" i="42"/>
  <c r="P57" i="42"/>
  <c r="E57" i="42"/>
  <c r="D57" i="42"/>
  <c r="C57" i="42"/>
  <c r="A57" i="42"/>
  <c r="V56" i="42"/>
  <c r="U56" i="42"/>
  <c r="T56" i="42"/>
  <c r="S56" i="42"/>
  <c r="R56" i="42"/>
  <c r="Q56" i="42"/>
  <c r="P56" i="42"/>
  <c r="A56" i="42"/>
  <c r="V55" i="42"/>
  <c r="U55" i="42"/>
  <c r="T55" i="42"/>
  <c r="S55" i="42"/>
  <c r="R55" i="42"/>
  <c r="Q55" i="42"/>
  <c r="P55" i="42"/>
  <c r="A55" i="42"/>
  <c r="V54" i="42"/>
  <c r="U54" i="42"/>
  <c r="T54" i="42"/>
  <c r="S54" i="42"/>
  <c r="R54" i="42"/>
  <c r="Q54" i="42"/>
  <c r="P54" i="42"/>
  <c r="E54" i="42"/>
  <c r="D54" i="42"/>
  <c r="C54" i="42"/>
  <c r="A54" i="42"/>
  <c r="V53" i="42"/>
  <c r="U53" i="42"/>
  <c r="T53" i="42"/>
  <c r="S53" i="42"/>
  <c r="R53" i="42"/>
  <c r="Q53" i="42"/>
  <c r="P53" i="42"/>
  <c r="L53" i="42"/>
  <c r="K53" i="42"/>
  <c r="J53" i="42"/>
  <c r="I53" i="42"/>
  <c r="H53" i="42"/>
  <c r="G53" i="42"/>
  <c r="F53" i="42"/>
  <c r="E53" i="42"/>
  <c r="D53" i="42"/>
  <c r="C53" i="42"/>
  <c r="A53" i="42"/>
  <c r="V52" i="42"/>
  <c r="U52" i="42"/>
  <c r="T52" i="42"/>
  <c r="S52" i="42"/>
  <c r="R52" i="42"/>
  <c r="Q52" i="42"/>
  <c r="P52" i="42"/>
  <c r="L52" i="42"/>
  <c r="K52" i="42"/>
  <c r="J52" i="42"/>
  <c r="I52" i="42"/>
  <c r="H52" i="42"/>
  <c r="G52" i="42"/>
  <c r="F52" i="42"/>
  <c r="E52" i="42"/>
  <c r="D52" i="42"/>
  <c r="C52" i="42"/>
  <c r="A52" i="42"/>
  <c r="V51" i="42"/>
  <c r="U51" i="42"/>
  <c r="T51" i="42"/>
  <c r="S51" i="42"/>
  <c r="R51" i="42"/>
  <c r="Q51" i="42"/>
  <c r="P51" i="42"/>
  <c r="A51" i="42"/>
  <c r="V50" i="42"/>
  <c r="U50" i="42"/>
  <c r="T50" i="42"/>
  <c r="S50" i="42"/>
  <c r="R50" i="42"/>
  <c r="Q50" i="42"/>
  <c r="P50" i="42"/>
  <c r="A50" i="42"/>
  <c r="V49" i="42"/>
  <c r="U49" i="42"/>
  <c r="T49" i="42"/>
  <c r="S49" i="42"/>
  <c r="R49" i="42"/>
  <c r="Q49" i="42"/>
  <c r="P49" i="42"/>
  <c r="A49" i="42"/>
  <c r="V48" i="42"/>
  <c r="U48" i="42"/>
  <c r="T48" i="42"/>
  <c r="S48" i="42"/>
  <c r="R48" i="42"/>
  <c r="Q48" i="42"/>
  <c r="P48" i="42"/>
  <c r="A48" i="42"/>
  <c r="V47" i="42"/>
  <c r="U47" i="42"/>
  <c r="T47" i="42"/>
  <c r="S47" i="42"/>
  <c r="R47" i="42"/>
  <c r="Q47" i="42"/>
  <c r="P47" i="42"/>
  <c r="A47" i="42"/>
  <c r="V46" i="42"/>
  <c r="U46" i="42"/>
  <c r="T46" i="42"/>
  <c r="S46" i="42"/>
  <c r="R46" i="42"/>
  <c r="Q46" i="42"/>
  <c r="P46" i="42"/>
  <c r="A46" i="42"/>
  <c r="V45" i="42"/>
  <c r="U45" i="42"/>
  <c r="T45" i="42"/>
  <c r="S45" i="42"/>
  <c r="R45" i="42"/>
  <c r="Q45" i="42"/>
  <c r="P45" i="42"/>
  <c r="A45" i="42"/>
  <c r="V44" i="42"/>
  <c r="U44" i="42"/>
  <c r="T44" i="42"/>
  <c r="S44" i="42"/>
  <c r="R44" i="42"/>
  <c r="Q44" i="42"/>
  <c r="P44" i="42"/>
  <c r="A44" i="42"/>
  <c r="V43" i="42"/>
  <c r="U43" i="42"/>
  <c r="T43" i="42"/>
  <c r="S43" i="42"/>
  <c r="R43" i="42"/>
  <c r="Q43" i="42"/>
  <c r="P43" i="42"/>
  <c r="L43" i="42"/>
  <c r="K43" i="42"/>
  <c r="J43" i="42"/>
  <c r="I43" i="42"/>
  <c r="H43" i="42"/>
  <c r="G43" i="42"/>
  <c r="F43" i="42"/>
  <c r="E43" i="42"/>
  <c r="D43" i="42"/>
  <c r="C43" i="42"/>
  <c r="A43" i="42"/>
  <c r="V42" i="42"/>
  <c r="U42" i="42"/>
  <c r="T42" i="42"/>
  <c r="S42" i="42"/>
  <c r="R42" i="42"/>
  <c r="Q42" i="42"/>
  <c r="P42" i="42"/>
  <c r="L42" i="42"/>
  <c r="K42" i="42"/>
  <c r="J42" i="42"/>
  <c r="I42" i="42"/>
  <c r="H42" i="42"/>
  <c r="G42" i="42"/>
  <c r="F42" i="42"/>
  <c r="E42" i="42"/>
  <c r="D42" i="42"/>
  <c r="C42" i="42"/>
  <c r="A42" i="42"/>
  <c r="V41" i="42"/>
  <c r="U41" i="42"/>
  <c r="T41" i="42"/>
  <c r="S41" i="42"/>
  <c r="R41" i="42"/>
  <c r="Q41" i="42"/>
  <c r="P41" i="42"/>
  <c r="L41" i="42"/>
  <c r="K41" i="42"/>
  <c r="J41" i="42"/>
  <c r="I41" i="42"/>
  <c r="H41" i="42"/>
  <c r="G41" i="42"/>
  <c r="F41" i="42"/>
  <c r="E41" i="42"/>
  <c r="D41" i="42"/>
  <c r="C41" i="42"/>
  <c r="A41" i="42"/>
  <c r="V40" i="42"/>
  <c r="U40" i="42"/>
  <c r="T40" i="42"/>
  <c r="S40" i="42"/>
  <c r="R40" i="42"/>
  <c r="Q40" i="42"/>
  <c r="P40" i="42"/>
  <c r="A40" i="42"/>
  <c r="V39" i="42"/>
  <c r="U39" i="42"/>
  <c r="T39" i="42"/>
  <c r="S39" i="42"/>
  <c r="R39" i="42"/>
  <c r="Q39" i="42"/>
  <c r="P39" i="42"/>
  <c r="L39" i="42"/>
  <c r="K39" i="42"/>
  <c r="J39" i="42"/>
  <c r="I39" i="42"/>
  <c r="H39" i="42"/>
  <c r="G39" i="42"/>
  <c r="F39" i="42"/>
  <c r="E39" i="42"/>
  <c r="D39" i="42"/>
  <c r="C39" i="42"/>
  <c r="A39" i="42"/>
  <c r="V38" i="42"/>
  <c r="U38" i="42"/>
  <c r="T38" i="42"/>
  <c r="S38" i="42"/>
  <c r="R38" i="42"/>
  <c r="Q38" i="42"/>
  <c r="P38" i="42"/>
  <c r="A38" i="42"/>
  <c r="V37" i="42"/>
  <c r="U37" i="42"/>
  <c r="T37" i="42"/>
  <c r="S37" i="42"/>
  <c r="R37" i="42"/>
  <c r="Q37" i="42"/>
  <c r="P37" i="42"/>
  <c r="L37" i="42"/>
  <c r="K37" i="42"/>
  <c r="J37" i="42"/>
  <c r="I37" i="42"/>
  <c r="H37" i="42"/>
  <c r="G37" i="42"/>
  <c r="F37" i="42"/>
  <c r="E37" i="42"/>
  <c r="D37" i="42"/>
  <c r="C37" i="42"/>
  <c r="A37" i="42"/>
  <c r="V36" i="42"/>
  <c r="U36" i="42"/>
  <c r="T36" i="42"/>
  <c r="S36" i="42"/>
  <c r="R36" i="42"/>
  <c r="Q36" i="42"/>
  <c r="P36" i="42"/>
  <c r="C36" i="42"/>
  <c r="A36" i="42"/>
  <c r="V35" i="42"/>
  <c r="U35" i="42"/>
  <c r="T35" i="42"/>
  <c r="S35" i="42"/>
  <c r="R35" i="42"/>
  <c r="Q35" i="42"/>
  <c r="P35" i="42"/>
  <c r="A35" i="42"/>
  <c r="V34" i="42"/>
  <c r="U34" i="42"/>
  <c r="T34" i="42"/>
  <c r="S34" i="42"/>
  <c r="R34" i="42"/>
  <c r="Q34" i="42"/>
  <c r="P34" i="42"/>
  <c r="L34" i="42"/>
  <c r="K34" i="42"/>
  <c r="J34" i="42"/>
  <c r="I34" i="42"/>
  <c r="H34" i="42"/>
  <c r="G34" i="42"/>
  <c r="F34" i="42"/>
  <c r="E34" i="42"/>
  <c r="D34" i="42"/>
  <c r="C34" i="42"/>
  <c r="A34" i="42"/>
  <c r="V33" i="42"/>
  <c r="U33" i="42"/>
  <c r="T33" i="42"/>
  <c r="S33" i="42"/>
  <c r="R33" i="42"/>
  <c r="Q33" i="42"/>
  <c r="P33" i="42"/>
  <c r="L33" i="42"/>
  <c r="K33" i="42"/>
  <c r="J33" i="42"/>
  <c r="I33" i="42"/>
  <c r="H33" i="42"/>
  <c r="G33" i="42"/>
  <c r="F33" i="42"/>
  <c r="T32" i="42"/>
  <c r="S32" i="42"/>
  <c r="V31" i="42"/>
  <c r="U31" i="42"/>
  <c r="T31" i="42"/>
  <c r="S31" i="42"/>
  <c r="R31" i="42"/>
  <c r="Q31" i="42"/>
  <c r="P31" i="42"/>
  <c r="O31" i="42"/>
  <c r="N31" i="42"/>
  <c r="M31" i="42"/>
  <c r="J20" i="42"/>
  <c r="I20" i="42"/>
  <c r="H20" i="42"/>
  <c r="G20" i="42"/>
  <c r="J19" i="42"/>
  <c r="I19" i="42"/>
  <c r="H19" i="42"/>
  <c r="G19" i="42"/>
  <c r="J18" i="42"/>
  <c r="I18" i="42"/>
  <c r="H18" i="42"/>
  <c r="G18" i="42"/>
  <c r="J17" i="42"/>
  <c r="I17" i="42"/>
  <c r="H17" i="42"/>
  <c r="G17" i="42"/>
  <c r="J16" i="42"/>
  <c r="I16" i="42"/>
  <c r="H16" i="42"/>
  <c r="G16" i="42"/>
  <c r="J15" i="42"/>
  <c r="I15" i="42"/>
  <c r="H15" i="42"/>
  <c r="G15" i="42"/>
  <c r="J14" i="42"/>
  <c r="I14" i="42"/>
  <c r="H14" i="42"/>
  <c r="G14" i="42"/>
  <c r="J13" i="42"/>
  <c r="H13" i="42"/>
  <c r="G13" i="42"/>
  <c r="J12" i="42"/>
  <c r="H12" i="42"/>
  <c r="G12" i="42"/>
  <c r="J11" i="42"/>
  <c r="H11" i="42"/>
  <c r="G11" i="42"/>
  <c r="E7" i="42"/>
  <c r="B7" i="42"/>
  <c r="I12" i="42" s="1"/>
  <c r="D33" i="42" s="1"/>
  <c r="N33" i="42" s="1"/>
  <c r="N84" i="42" s="1"/>
  <c r="I143" i="41"/>
  <c r="H143" i="41"/>
  <c r="G143" i="41"/>
  <c r="F143" i="41"/>
  <c r="E143" i="41"/>
  <c r="J142" i="41"/>
  <c r="I142" i="41"/>
  <c r="G142" i="41"/>
  <c r="E142" i="41"/>
  <c r="D142" i="41"/>
  <c r="C142" i="41"/>
  <c r="J141" i="41"/>
  <c r="I141" i="41"/>
  <c r="G141" i="41"/>
  <c r="E141" i="41"/>
  <c r="D141" i="41"/>
  <c r="C141" i="41"/>
  <c r="J140" i="41"/>
  <c r="I140" i="41"/>
  <c r="G140" i="41"/>
  <c r="E140" i="41"/>
  <c r="D140" i="41"/>
  <c r="C140" i="41"/>
  <c r="J139" i="41"/>
  <c r="I139" i="41"/>
  <c r="G139" i="41"/>
  <c r="E139" i="41"/>
  <c r="D139" i="41"/>
  <c r="C139" i="41"/>
  <c r="I135" i="41"/>
  <c r="H135" i="41"/>
  <c r="G135" i="41"/>
  <c r="F135" i="41"/>
  <c r="E135" i="41"/>
  <c r="J134" i="41"/>
  <c r="I134" i="41"/>
  <c r="H134" i="41"/>
  <c r="E134" i="41"/>
  <c r="D134" i="41"/>
  <c r="C134" i="41"/>
  <c r="J133" i="41"/>
  <c r="I133" i="41"/>
  <c r="H133" i="41"/>
  <c r="E133" i="41"/>
  <c r="D133" i="41"/>
  <c r="C133" i="41"/>
  <c r="J132" i="41"/>
  <c r="I132" i="41"/>
  <c r="H132" i="41"/>
  <c r="E132" i="41"/>
  <c r="D132" i="41"/>
  <c r="C132" i="41"/>
  <c r="J131" i="41"/>
  <c r="I131" i="41"/>
  <c r="H131" i="41"/>
  <c r="E131" i="41"/>
  <c r="D131" i="41"/>
  <c r="C131" i="41"/>
  <c r="V103" i="41"/>
  <c r="U103" i="41"/>
  <c r="T103" i="41"/>
  <c r="S103" i="41"/>
  <c r="R103" i="41"/>
  <c r="Q103" i="41"/>
  <c r="P103" i="41"/>
  <c r="O103" i="41"/>
  <c r="A103" i="41"/>
  <c r="V102" i="41"/>
  <c r="U102" i="41"/>
  <c r="T102" i="41"/>
  <c r="S102" i="41"/>
  <c r="R102" i="41"/>
  <c r="Q102" i="41"/>
  <c r="P102" i="41"/>
  <c r="O102" i="41"/>
  <c r="A102" i="41"/>
  <c r="V101" i="41"/>
  <c r="U101" i="41"/>
  <c r="T101" i="41"/>
  <c r="S101" i="41"/>
  <c r="R101" i="41"/>
  <c r="Q101" i="41"/>
  <c r="P101" i="41"/>
  <c r="O101" i="41"/>
  <c r="A101" i="41"/>
  <c r="V100" i="41"/>
  <c r="U100" i="41"/>
  <c r="T100" i="41"/>
  <c r="S100" i="41"/>
  <c r="R100" i="41"/>
  <c r="Q100" i="41"/>
  <c r="P100" i="41"/>
  <c r="O100" i="41"/>
  <c r="A100" i="41"/>
  <c r="V99" i="41"/>
  <c r="U99" i="41"/>
  <c r="T99" i="41"/>
  <c r="S99" i="41"/>
  <c r="R99" i="41"/>
  <c r="Q99" i="41"/>
  <c r="P99" i="41"/>
  <c r="O99" i="41"/>
  <c r="A99" i="41"/>
  <c r="V98" i="41"/>
  <c r="U98" i="41"/>
  <c r="T98" i="41"/>
  <c r="S98" i="41"/>
  <c r="R98" i="41"/>
  <c r="Q98" i="41"/>
  <c r="P98" i="41"/>
  <c r="O98" i="41"/>
  <c r="A98" i="41"/>
  <c r="V97" i="41"/>
  <c r="U97" i="41"/>
  <c r="T97" i="41"/>
  <c r="S97" i="41"/>
  <c r="R97" i="41"/>
  <c r="Q97" i="41"/>
  <c r="P97" i="41"/>
  <c r="O97" i="41"/>
  <c r="A97" i="41"/>
  <c r="V96" i="41"/>
  <c r="U96" i="41"/>
  <c r="T96" i="41"/>
  <c r="S96" i="41"/>
  <c r="R96" i="41"/>
  <c r="Q96" i="41"/>
  <c r="P96" i="41"/>
  <c r="O96" i="41"/>
  <c r="A96" i="41"/>
  <c r="V95" i="41"/>
  <c r="U95" i="41"/>
  <c r="T95" i="41"/>
  <c r="S95" i="41"/>
  <c r="R95" i="41"/>
  <c r="Q95" i="41"/>
  <c r="P95" i="41"/>
  <c r="O95" i="41"/>
  <c r="A95" i="41"/>
  <c r="V94" i="41"/>
  <c r="U94" i="41"/>
  <c r="T94" i="41"/>
  <c r="S94" i="41"/>
  <c r="R94" i="41"/>
  <c r="Q94" i="41"/>
  <c r="P94" i="41"/>
  <c r="O94" i="41"/>
  <c r="A94" i="41"/>
  <c r="V93" i="41"/>
  <c r="U93" i="41"/>
  <c r="T93" i="41"/>
  <c r="S93" i="41"/>
  <c r="R93" i="41"/>
  <c r="Q93" i="41"/>
  <c r="P93" i="41"/>
  <c r="O93" i="41"/>
  <c r="A93" i="41"/>
  <c r="V92" i="41"/>
  <c r="U92" i="41"/>
  <c r="T92" i="41"/>
  <c r="S92" i="41"/>
  <c r="R92" i="41"/>
  <c r="Q92" i="41"/>
  <c r="P92" i="41"/>
  <c r="O92" i="41"/>
  <c r="A92" i="41"/>
  <c r="V91" i="41"/>
  <c r="U91" i="41"/>
  <c r="T91" i="41"/>
  <c r="S91" i="41"/>
  <c r="R91" i="41"/>
  <c r="Q91" i="41"/>
  <c r="P91" i="41"/>
  <c r="O91" i="41"/>
  <c r="A91" i="41"/>
  <c r="V90" i="41"/>
  <c r="U90" i="41"/>
  <c r="T90" i="41"/>
  <c r="S90" i="41"/>
  <c r="R90" i="41"/>
  <c r="Q90" i="41"/>
  <c r="P90" i="41"/>
  <c r="O90" i="41"/>
  <c r="A90" i="41"/>
  <c r="V89" i="41"/>
  <c r="U89" i="41"/>
  <c r="T89" i="41"/>
  <c r="S89" i="41"/>
  <c r="R89" i="41"/>
  <c r="Q89" i="41"/>
  <c r="P89" i="41"/>
  <c r="O89" i="41"/>
  <c r="A89" i="41"/>
  <c r="V88" i="41"/>
  <c r="U88" i="41"/>
  <c r="T88" i="41"/>
  <c r="S88" i="41"/>
  <c r="R88" i="41"/>
  <c r="Q88" i="41"/>
  <c r="P88" i="41"/>
  <c r="O88" i="41"/>
  <c r="A88" i="41"/>
  <c r="V87" i="41"/>
  <c r="U87" i="41"/>
  <c r="T87" i="41"/>
  <c r="S87" i="41"/>
  <c r="R87" i="41"/>
  <c r="Q87" i="41"/>
  <c r="P87" i="41"/>
  <c r="O87" i="41"/>
  <c r="A87" i="41"/>
  <c r="V86" i="41"/>
  <c r="U86" i="41"/>
  <c r="T86" i="41"/>
  <c r="S86" i="41"/>
  <c r="R86" i="41"/>
  <c r="Q86" i="41"/>
  <c r="P86" i="41"/>
  <c r="O86" i="41"/>
  <c r="A86" i="41"/>
  <c r="V85" i="41"/>
  <c r="U85" i="41"/>
  <c r="T85" i="41"/>
  <c r="S85" i="41"/>
  <c r="R85" i="41"/>
  <c r="Q85" i="41"/>
  <c r="P85" i="41"/>
  <c r="O85" i="41"/>
  <c r="A85" i="41"/>
  <c r="V84" i="41"/>
  <c r="U84" i="41"/>
  <c r="T84" i="41"/>
  <c r="S84" i="41"/>
  <c r="R84" i="41"/>
  <c r="Q84" i="41"/>
  <c r="P84" i="41"/>
  <c r="O84" i="41"/>
  <c r="A84" i="41"/>
  <c r="V83" i="41"/>
  <c r="U83" i="41"/>
  <c r="T83" i="41"/>
  <c r="S83" i="41"/>
  <c r="R83" i="41"/>
  <c r="Q83" i="41"/>
  <c r="P83" i="41"/>
  <c r="O83" i="41"/>
  <c r="A83" i="41"/>
  <c r="V82" i="41"/>
  <c r="U82" i="41"/>
  <c r="T82" i="41"/>
  <c r="S82" i="41"/>
  <c r="R82" i="41"/>
  <c r="Q82" i="41"/>
  <c r="P82" i="41"/>
  <c r="O82" i="41"/>
  <c r="L82" i="41"/>
  <c r="K82" i="41"/>
  <c r="J82" i="41"/>
  <c r="I82" i="41"/>
  <c r="H82" i="41"/>
  <c r="G82" i="41"/>
  <c r="F82" i="41"/>
  <c r="A82" i="41"/>
  <c r="V81" i="41"/>
  <c r="U81" i="41"/>
  <c r="T81" i="41"/>
  <c r="S81" i="41"/>
  <c r="R81" i="41"/>
  <c r="Q81" i="41"/>
  <c r="P81" i="41"/>
  <c r="O81" i="41"/>
  <c r="A81" i="41"/>
  <c r="V80" i="41"/>
  <c r="U80" i="41"/>
  <c r="T80" i="41"/>
  <c r="S80" i="41"/>
  <c r="R80" i="41"/>
  <c r="Q80" i="41"/>
  <c r="P80" i="41"/>
  <c r="O80" i="41"/>
  <c r="A80" i="41"/>
  <c r="V79" i="41"/>
  <c r="U79" i="41"/>
  <c r="T79" i="41"/>
  <c r="S79" i="41"/>
  <c r="R79" i="41"/>
  <c r="Q79" i="41"/>
  <c r="P79" i="41"/>
  <c r="O79" i="41"/>
  <c r="A79" i="41"/>
  <c r="V78" i="41"/>
  <c r="U78" i="41"/>
  <c r="T78" i="41"/>
  <c r="S78" i="41"/>
  <c r="R78" i="41"/>
  <c r="Q78" i="41"/>
  <c r="P78" i="41"/>
  <c r="O78" i="41"/>
  <c r="A78" i="41"/>
  <c r="V77" i="41"/>
  <c r="U77" i="41"/>
  <c r="T77" i="41"/>
  <c r="S77" i="41"/>
  <c r="R77" i="41"/>
  <c r="Q77" i="41"/>
  <c r="P77" i="41"/>
  <c r="O77" i="41"/>
  <c r="A77" i="41"/>
  <c r="V76" i="41"/>
  <c r="U76" i="41"/>
  <c r="T76" i="41"/>
  <c r="S76" i="41"/>
  <c r="R76" i="41"/>
  <c r="Q76" i="41"/>
  <c r="P76" i="41"/>
  <c r="O76" i="41"/>
  <c r="A76" i="41"/>
  <c r="V75" i="41"/>
  <c r="U75" i="41"/>
  <c r="T75" i="41"/>
  <c r="S75" i="41"/>
  <c r="R75" i="41"/>
  <c r="Q75" i="41"/>
  <c r="P75" i="41"/>
  <c r="O75" i="41"/>
  <c r="A75" i="41"/>
  <c r="V74" i="41"/>
  <c r="U74" i="41"/>
  <c r="T74" i="41"/>
  <c r="S74" i="41"/>
  <c r="R74" i="41"/>
  <c r="Q74" i="41"/>
  <c r="P74" i="41"/>
  <c r="O74" i="41"/>
  <c r="A74" i="41"/>
  <c r="V73" i="41"/>
  <c r="U73" i="41"/>
  <c r="T73" i="41"/>
  <c r="S73" i="41"/>
  <c r="R73" i="41"/>
  <c r="Q73" i="41"/>
  <c r="P73" i="41"/>
  <c r="O73" i="41"/>
  <c r="A73" i="41"/>
  <c r="V72" i="41"/>
  <c r="U72" i="41"/>
  <c r="T72" i="41"/>
  <c r="S72" i="41"/>
  <c r="R72" i="41"/>
  <c r="Q72" i="41"/>
  <c r="P72" i="41"/>
  <c r="O72" i="41"/>
  <c r="A72" i="41"/>
  <c r="V71" i="41"/>
  <c r="U71" i="41"/>
  <c r="T71" i="41"/>
  <c r="S71" i="41"/>
  <c r="R71" i="41"/>
  <c r="Q71" i="41"/>
  <c r="P71" i="41"/>
  <c r="O71" i="41"/>
  <c r="L71" i="41"/>
  <c r="K71" i="41"/>
  <c r="J71" i="41"/>
  <c r="I71" i="41"/>
  <c r="H71" i="41"/>
  <c r="G71" i="41"/>
  <c r="F71" i="41"/>
  <c r="E71" i="41"/>
  <c r="D71" i="41"/>
  <c r="C71" i="41"/>
  <c r="A71" i="41"/>
  <c r="V70" i="41"/>
  <c r="U70" i="41"/>
  <c r="T70" i="41"/>
  <c r="S70" i="41"/>
  <c r="R70" i="41"/>
  <c r="Q70" i="41"/>
  <c r="P70" i="41"/>
  <c r="O70" i="41"/>
  <c r="A70" i="41"/>
  <c r="V69" i="41"/>
  <c r="U69" i="41"/>
  <c r="T69" i="41"/>
  <c r="S69" i="41"/>
  <c r="R69" i="41"/>
  <c r="Q69" i="41"/>
  <c r="P69" i="41"/>
  <c r="O69" i="41"/>
  <c r="L69" i="41"/>
  <c r="K69" i="41"/>
  <c r="J69" i="41"/>
  <c r="I69" i="41"/>
  <c r="H69" i="41"/>
  <c r="G69" i="41"/>
  <c r="F69" i="41"/>
  <c r="E69" i="41"/>
  <c r="D69" i="41"/>
  <c r="C69" i="41"/>
  <c r="A69" i="41"/>
  <c r="V68" i="41"/>
  <c r="U68" i="41"/>
  <c r="T68" i="41"/>
  <c r="S68" i="41"/>
  <c r="R68" i="41"/>
  <c r="Q68" i="41"/>
  <c r="P68" i="41"/>
  <c r="O68" i="41"/>
  <c r="D68" i="41"/>
  <c r="C68" i="41"/>
  <c r="A68" i="41"/>
  <c r="V67" i="41"/>
  <c r="U67" i="41"/>
  <c r="T67" i="41"/>
  <c r="S67" i="41"/>
  <c r="R67" i="41"/>
  <c r="Q67" i="41"/>
  <c r="P67" i="41"/>
  <c r="O67" i="41"/>
  <c r="A67" i="41"/>
  <c r="V66" i="41"/>
  <c r="U66" i="41"/>
  <c r="T66" i="41"/>
  <c r="S66" i="41"/>
  <c r="R66" i="41"/>
  <c r="Q66" i="41"/>
  <c r="P66" i="41"/>
  <c r="O66" i="41"/>
  <c r="A66" i="41"/>
  <c r="V65" i="41"/>
  <c r="U65" i="41"/>
  <c r="T65" i="41"/>
  <c r="S65" i="41"/>
  <c r="R65" i="41"/>
  <c r="Q65" i="41"/>
  <c r="P65" i="41"/>
  <c r="O65" i="41"/>
  <c r="D65" i="41"/>
  <c r="C65" i="41"/>
  <c r="A65" i="41"/>
  <c r="V64" i="41"/>
  <c r="U64" i="41"/>
  <c r="T64" i="41"/>
  <c r="S64" i="41"/>
  <c r="R64" i="41"/>
  <c r="Q64" i="41"/>
  <c r="P64" i="41"/>
  <c r="O64" i="41"/>
  <c r="D64" i="41"/>
  <c r="C64" i="41"/>
  <c r="A64" i="41"/>
  <c r="V63" i="41"/>
  <c r="U63" i="41"/>
  <c r="T63" i="41"/>
  <c r="S63" i="41"/>
  <c r="R63" i="41"/>
  <c r="Q63" i="41"/>
  <c r="P63" i="41"/>
  <c r="O63" i="41"/>
  <c r="A63" i="41"/>
  <c r="V62" i="41"/>
  <c r="U62" i="41"/>
  <c r="T62" i="41"/>
  <c r="S62" i="41"/>
  <c r="R62" i="41"/>
  <c r="Q62" i="41"/>
  <c r="P62" i="41"/>
  <c r="O62" i="41"/>
  <c r="A62" i="41"/>
  <c r="V61" i="41"/>
  <c r="U61" i="41"/>
  <c r="T61" i="41"/>
  <c r="S61" i="41"/>
  <c r="R61" i="41"/>
  <c r="Q61" i="41"/>
  <c r="P61" i="41"/>
  <c r="O61" i="41"/>
  <c r="A61" i="41"/>
  <c r="V60" i="41"/>
  <c r="U60" i="41"/>
  <c r="T60" i="41"/>
  <c r="S60" i="41"/>
  <c r="R60" i="41"/>
  <c r="Q60" i="41"/>
  <c r="P60" i="41"/>
  <c r="O60" i="41"/>
  <c r="A60" i="41"/>
  <c r="V59" i="41"/>
  <c r="U59" i="41"/>
  <c r="T59" i="41"/>
  <c r="S59" i="41"/>
  <c r="R59" i="41"/>
  <c r="Q59" i="41"/>
  <c r="P59" i="41"/>
  <c r="O59" i="41"/>
  <c r="A59" i="41"/>
  <c r="V58" i="41"/>
  <c r="U58" i="41"/>
  <c r="T58" i="41"/>
  <c r="S58" i="41"/>
  <c r="R58" i="41"/>
  <c r="Q58" i="41"/>
  <c r="P58" i="41"/>
  <c r="O58" i="41"/>
  <c r="C58" i="41"/>
  <c r="D58" i="41" s="1"/>
  <c r="A58" i="41"/>
  <c r="V57" i="41"/>
  <c r="U57" i="41"/>
  <c r="T57" i="41"/>
  <c r="S57" i="41"/>
  <c r="R57" i="41"/>
  <c r="Q57" i="41"/>
  <c r="P57" i="41"/>
  <c r="O57" i="41"/>
  <c r="C57" i="41"/>
  <c r="D57" i="41" s="1"/>
  <c r="A57" i="41"/>
  <c r="V56" i="41"/>
  <c r="U56" i="41"/>
  <c r="T56" i="41"/>
  <c r="S56" i="41"/>
  <c r="R56" i="41"/>
  <c r="Q56" i="41"/>
  <c r="P56" i="41"/>
  <c r="O56" i="41"/>
  <c r="A56" i="41"/>
  <c r="V55" i="41"/>
  <c r="U55" i="41"/>
  <c r="T55" i="41"/>
  <c r="S55" i="41"/>
  <c r="R55" i="41"/>
  <c r="Q55" i="41"/>
  <c r="P55" i="41"/>
  <c r="O55" i="41"/>
  <c r="A55" i="41"/>
  <c r="V54" i="41"/>
  <c r="U54" i="41"/>
  <c r="T54" i="41"/>
  <c r="S54" i="41"/>
  <c r="R54" i="41"/>
  <c r="Q54" i="41"/>
  <c r="P54" i="41"/>
  <c r="O54" i="41"/>
  <c r="D54" i="41"/>
  <c r="C54" i="41"/>
  <c r="A54" i="41"/>
  <c r="V53" i="41"/>
  <c r="U53" i="41"/>
  <c r="T53" i="41"/>
  <c r="S53" i="41"/>
  <c r="R53" i="41"/>
  <c r="Q53" i="41"/>
  <c r="P53" i="41"/>
  <c r="O53" i="41"/>
  <c r="L53" i="41"/>
  <c r="K53" i="41"/>
  <c r="J53" i="41"/>
  <c r="I53" i="41"/>
  <c r="H53" i="41"/>
  <c r="G53" i="41"/>
  <c r="F53" i="41"/>
  <c r="E53" i="41"/>
  <c r="D53" i="41"/>
  <c r="C53" i="41"/>
  <c r="A53" i="41"/>
  <c r="V52" i="41"/>
  <c r="U52" i="41"/>
  <c r="T52" i="41"/>
  <c r="S52" i="41"/>
  <c r="R52" i="41"/>
  <c r="Q52" i="41"/>
  <c r="P52" i="41"/>
  <c r="O52" i="41"/>
  <c r="L52" i="41"/>
  <c r="K52" i="41"/>
  <c r="J52" i="41"/>
  <c r="I52" i="41"/>
  <c r="H52" i="41"/>
  <c r="G52" i="41"/>
  <c r="F52" i="41"/>
  <c r="E52" i="41"/>
  <c r="D52" i="41"/>
  <c r="C52" i="41"/>
  <c r="A52" i="41"/>
  <c r="V51" i="41"/>
  <c r="U51" i="41"/>
  <c r="T51" i="41"/>
  <c r="S51" i="41"/>
  <c r="R51" i="41"/>
  <c r="Q51" i="41"/>
  <c r="P51" i="41"/>
  <c r="O51" i="41"/>
  <c r="A51" i="41"/>
  <c r="V50" i="41"/>
  <c r="U50" i="41"/>
  <c r="T50" i="41"/>
  <c r="S50" i="41"/>
  <c r="R50" i="41"/>
  <c r="Q50" i="41"/>
  <c r="P50" i="41"/>
  <c r="O50" i="41"/>
  <c r="A50" i="41"/>
  <c r="V49" i="41"/>
  <c r="U49" i="41"/>
  <c r="T49" i="41"/>
  <c r="S49" i="41"/>
  <c r="R49" i="41"/>
  <c r="Q49" i="41"/>
  <c r="P49" i="41"/>
  <c r="O49" i="41"/>
  <c r="A49" i="41"/>
  <c r="V48" i="41"/>
  <c r="U48" i="41"/>
  <c r="T48" i="41"/>
  <c r="S48" i="41"/>
  <c r="R48" i="41"/>
  <c r="Q48" i="41"/>
  <c r="P48" i="41"/>
  <c r="O48" i="41"/>
  <c r="A48" i="41"/>
  <c r="V47" i="41"/>
  <c r="U47" i="41"/>
  <c r="T47" i="41"/>
  <c r="S47" i="41"/>
  <c r="R47" i="41"/>
  <c r="Q47" i="41"/>
  <c r="P47" i="41"/>
  <c r="O47" i="41"/>
  <c r="A47" i="41"/>
  <c r="V46" i="41"/>
  <c r="U46" i="41"/>
  <c r="T46" i="41"/>
  <c r="S46" i="41"/>
  <c r="R46" i="41"/>
  <c r="Q46" i="41"/>
  <c r="P46" i="41"/>
  <c r="O46" i="41"/>
  <c r="A46" i="41"/>
  <c r="V45" i="41"/>
  <c r="U45" i="41"/>
  <c r="T45" i="41"/>
  <c r="S45" i="41"/>
  <c r="R45" i="41"/>
  <c r="Q45" i="41"/>
  <c r="P45" i="41"/>
  <c r="O45" i="41"/>
  <c r="A45" i="41"/>
  <c r="V44" i="41"/>
  <c r="U44" i="41"/>
  <c r="T44" i="41"/>
  <c r="S44" i="41"/>
  <c r="R44" i="41"/>
  <c r="Q44" i="41"/>
  <c r="P44" i="41"/>
  <c r="O44" i="41"/>
  <c r="A44" i="41"/>
  <c r="V43" i="41"/>
  <c r="U43" i="41"/>
  <c r="T43" i="41"/>
  <c r="S43" i="41"/>
  <c r="R43" i="41"/>
  <c r="Q43" i="41"/>
  <c r="P43" i="41"/>
  <c r="O43" i="41"/>
  <c r="L43" i="41"/>
  <c r="K43" i="41"/>
  <c r="J43" i="41"/>
  <c r="I43" i="41"/>
  <c r="H43" i="41"/>
  <c r="G43" i="41"/>
  <c r="F43" i="41"/>
  <c r="E43" i="41"/>
  <c r="D43" i="41"/>
  <c r="C43" i="41"/>
  <c r="A43" i="41"/>
  <c r="V42" i="41"/>
  <c r="U42" i="41"/>
  <c r="T42" i="41"/>
  <c r="S42" i="41"/>
  <c r="R42" i="41"/>
  <c r="Q42" i="41"/>
  <c r="P42" i="41"/>
  <c r="O42" i="41"/>
  <c r="L42" i="41"/>
  <c r="K42" i="41"/>
  <c r="J42" i="41"/>
  <c r="I42" i="41"/>
  <c r="H42" i="41"/>
  <c r="G42" i="41"/>
  <c r="F42" i="41"/>
  <c r="E42" i="41"/>
  <c r="D42" i="41"/>
  <c r="C42" i="41"/>
  <c r="A42" i="41"/>
  <c r="V41" i="41"/>
  <c r="U41" i="41"/>
  <c r="T41" i="41"/>
  <c r="S41" i="41"/>
  <c r="R41" i="41"/>
  <c r="Q41" i="41"/>
  <c r="P41" i="41"/>
  <c r="O41" i="41"/>
  <c r="L41" i="41"/>
  <c r="K41" i="41"/>
  <c r="J41" i="41"/>
  <c r="I41" i="41"/>
  <c r="H41" i="41"/>
  <c r="G41" i="41"/>
  <c r="F41" i="41"/>
  <c r="E41" i="41"/>
  <c r="D41" i="41"/>
  <c r="C41" i="41"/>
  <c r="A41" i="41"/>
  <c r="V40" i="41"/>
  <c r="U40" i="41"/>
  <c r="T40" i="41"/>
  <c r="S40" i="41"/>
  <c r="R40" i="41"/>
  <c r="Q40" i="41"/>
  <c r="P40" i="41"/>
  <c r="O40" i="41"/>
  <c r="A40" i="41"/>
  <c r="V39" i="41"/>
  <c r="U39" i="41"/>
  <c r="T39" i="41"/>
  <c r="S39" i="41"/>
  <c r="R39" i="41"/>
  <c r="Q39" i="41"/>
  <c r="P39" i="41"/>
  <c r="O39" i="41"/>
  <c r="L39" i="41"/>
  <c r="K39" i="41"/>
  <c r="J39" i="41"/>
  <c r="I39" i="41"/>
  <c r="H39" i="41"/>
  <c r="G39" i="41"/>
  <c r="F39" i="41"/>
  <c r="E39" i="41"/>
  <c r="D39" i="41"/>
  <c r="C39" i="41"/>
  <c r="A39" i="41"/>
  <c r="V38" i="41"/>
  <c r="U38" i="41"/>
  <c r="T38" i="41"/>
  <c r="S38" i="41"/>
  <c r="R38" i="41"/>
  <c r="Q38" i="41"/>
  <c r="P38" i="41"/>
  <c r="O38" i="41"/>
  <c r="A38" i="41"/>
  <c r="V37" i="41"/>
  <c r="U37" i="41"/>
  <c r="T37" i="41"/>
  <c r="S37" i="41"/>
  <c r="R37" i="41"/>
  <c r="Q37" i="41"/>
  <c r="P37" i="41"/>
  <c r="O37" i="41"/>
  <c r="L37" i="41"/>
  <c r="K37" i="41"/>
  <c r="J37" i="41"/>
  <c r="I37" i="41"/>
  <c r="H37" i="41"/>
  <c r="G37" i="41"/>
  <c r="F37" i="41"/>
  <c r="E37" i="41"/>
  <c r="D37" i="41"/>
  <c r="C37" i="41"/>
  <c r="A37" i="41"/>
  <c r="V36" i="41"/>
  <c r="U36" i="41"/>
  <c r="T36" i="41"/>
  <c r="S36" i="41"/>
  <c r="R36" i="41"/>
  <c r="Q36" i="41"/>
  <c r="P36" i="41"/>
  <c r="O36" i="41"/>
  <c r="D36" i="41"/>
  <c r="C36" i="41"/>
  <c r="A36" i="41"/>
  <c r="V35" i="41"/>
  <c r="U35" i="41"/>
  <c r="T35" i="41"/>
  <c r="S35" i="41"/>
  <c r="R35" i="41"/>
  <c r="Q35" i="41"/>
  <c r="P35" i="41"/>
  <c r="O35" i="41"/>
  <c r="A35" i="41"/>
  <c r="V34" i="41"/>
  <c r="U34" i="41"/>
  <c r="T34" i="41"/>
  <c r="S34" i="41"/>
  <c r="R34" i="41"/>
  <c r="Q34" i="41"/>
  <c r="P34" i="41"/>
  <c r="O34" i="41"/>
  <c r="L34" i="41"/>
  <c r="K34" i="41"/>
  <c r="J34" i="41"/>
  <c r="I34" i="41"/>
  <c r="H34" i="41"/>
  <c r="G34" i="41"/>
  <c r="F34" i="41"/>
  <c r="E34" i="41"/>
  <c r="D34" i="41"/>
  <c r="C34" i="41"/>
  <c r="A34" i="41"/>
  <c r="V33" i="41"/>
  <c r="U33" i="41"/>
  <c r="T33" i="41"/>
  <c r="S33" i="41"/>
  <c r="R33" i="41"/>
  <c r="Q33" i="41"/>
  <c r="P33" i="41"/>
  <c r="O33" i="41"/>
  <c r="L33" i="41"/>
  <c r="K33" i="41"/>
  <c r="J33" i="41"/>
  <c r="I33" i="41"/>
  <c r="H33" i="41"/>
  <c r="G33" i="41"/>
  <c r="F33" i="41"/>
  <c r="E33" i="41"/>
  <c r="T32" i="41"/>
  <c r="S32" i="41"/>
  <c r="V31" i="41"/>
  <c r="U31" i="41"/>
  <c r="T31" i="41"/>
  <c r="S31" i="41"/>
  <c r="R31" i="41"/>
  <c r="Q31" i="41"/>
  <c r="P31" i="41"/>
  <c r="O31" i="41"/>
  <c r="N31" i="41"/>
  <c r="M31" i="41"/>
  <c r="J20" i="41"/>
  <c r="I20" i="41"/>
  <c r="H20" i="41"/>
  <c r="G20" i="41"/>
  <c r="J19" i="41"/>
  <c r="I19" i="41"/>
  <c r="H19" i="41"/>
  <c r="G19" i="41"/>
  <c r="J18" i="41"/>
  <c r="I18" i="41"/>
  <c r="H18" i="41"/>
  <c r="G18" i="41"/>
  <c r="J17" i="41"/>
  <c r="I17" i="41"/>
  <c r="H17" i="41"/>
  <c r="G17" i="41"/>
  <c r="J16" i="41"/>
  <c r="I16" i="41"/>
  <c r="H16" i="41"/>
  <c r="G16" i="41"/>
  <c r="J15" i="41"/>
  <c r="I15" i="41"/>
  <c r="H15" i="41"/>
  <c r="G15" i="41"/>
  <c r="J14" i="41"/>
  <c r="I14" i="41"/>
  <c r="H14" i="41"/>
  <c r="G14" i="41"/>
  <c r="J13" i="41"/>
  <c r="I13" i="41"/>
  <c r="H13" i="41"/>
  <c r="G13" i="41"/>
  <c r="J12" i="41"/>
  <c r="H12" i="41"/>
  <c r="G12" i="41"/>
  <c r="J11" i="41"/>
  <c r="H11" i="41"/>
  <c r="G11" i="41"/>
  <c r="E7" i="41"/>
  <c r="B7" i="41"/>
  <c r="I12" i="41" s="1"/>
  <c r="D33" i="41" s="1"/>
  <c r="G124" i="91"/>
  <c r="F124" i="91"/>
  <c r="E124" i="91"/>
  <c r="D124" i="91"/>
  <c r="C124" i="91"/>
  <c r="H123" i="91"/>
  <c r="G123" i="91"/>
  <c r="F123" i="91"/>
  <c r="C123" i="91"/>
  <c r="H122" i="91"/>
  <c r="G122" i="91"/>
  <c r="F122" i="91"/>
  <c r="C122" i="91"/>
  <c r="H121" i="91"/>
  <c r="G121" i="91"/>
  <c r="F121" i="91"/>
  <c r="C121" i="91"/>
  <c r="H120" i="91"/>
  <c r="G120" i="91"/>
  <c r="F120" i="91"/>
  <c r="C120" i="91"/>
  <c r="H119" i="91"/>
  <c r="G119" i="91"/>
  <c r="F119" i="91"/>
  <c r="C119" i="91"/>
  <c r="V103" i="91"/>
  <c r="U103" i="91"/>
  <c r="T103" i="91"/>
  <c r="S103" i="91"/>
  <c r="R103" i="91"/>
  <c r="Q103" i="91"/>
  <c r="P103" i="91"/>
  <c r="O103" i="91"/>
  <c r="N103" i="91"/>
  <c r="A103" i="91"/>
  <c r="V102" i="91"/>
  <c r="U102" i="91"/>
  <c r="T102" i="91"/>
  <c r="S102" i="91"/>
  <c r="R102" i="91"/>
  <c r="Q102" i="91"/>
  <c r="P102" i="91"/>
  <c r="O102" i="91"/>
  <c r="N102" i="91"/>
  <c r="A102" i="91"/>
  <c r="V101" i="91"/>
  <c r="U101" i="91"/>
  <c r="T101" i="91"/>
  <c r="S101" i="91"/>
  <c r="R101" i="91"/>
  <c r="Q101" i="91"/>
  <c r="P101" i="91"/>
  <c r="O101" i="91"/>
  <c r="N101" i="91"/>
  <c r="A101" i="91"/>
  <c r="V100" i="91"/>
  <c r="U100" i="91"/>
  <c r="T100" i="91"/>
  <c r="S100" i="91"/>
  <c r="R100" i="91"/>
  <c r="Q100" i="91"/>
  <c r="P100" i="91"/>
  <c r="O100" i="91"/>
  <c r="N100" i="91"/>
  <c r="A100" i="91"/>
  <c r="V99" i="91"/>
  <c r="U99" i="91"/>
  <c r="T99" i="91"/>
  <c r="S99" i="91"/>
  <c r="R99" i="91"/>
  <c r="Q99" i="91"/>
  <c r="P99" i="91"/>
  <c r="O99" i="91"/>
  <c r="N99" i="91"/>
  <c r="A99" i="91"/>
  <c r="V98" i="91"/>
  <c r="U98" i="91"/>
  <c r="T98" i="91"/>
  <c r="S98" i="91"/>
  <c r="R98" i="91"/>
  <c r="Q98" i="91"/>
  <c r="P98" i="91"/>
  <c r="O98" i="91"/>
  <c r="N98" i="91"/>
  <c r="A98" i="91"/>
  <c r="V97" i="91"/>
  <c r="U97" i="91"/>
  <c r="T97" i="91"/>
  <c r="S97" i="91"/>
  <c r="R97" i="91"/>
  <c r="Q97" i="91"/>
  <c r="P97" i="91"/>
  <c r="O97" i="91"/>
  <c r="N97" i="91"/>
  <c r="A97" i="91"/>
  <c r="V96" i="91"/>
  <c r="U96" i="91"/>
  <c r="T96" i="91"/>
  <c r="S96" i="91"/>
  <c r="R96" i="91"/>
  <c r="Q96" i="91"/>
  <c r="P96" i="91"/>
  <c r="O96" i="91"/>
  <c r="N96" i="91"/>
  <c r="A96" i="91"/>
  <c r="V95" i="91"/>
  <c r="U95" i="91"/>
  <c r="T95" i="91"/>
  <c r="S95" i="91"/>
  <c r="R95" i="91"/>
  <c r="Q95" i="91"/>
  <c r="P95" i="91"/>
  <c r="O95" i="91"/>
  <c r="N95" i="91"/>
  <c r="A95" i="91"/>
  <c r="V94" i="91"/>
  <c r="U94" i="91"/>
  <c r="T94" i="91"/>
  <c r="S94" i="91"/>
  <c r="R94" i="91"/>
  <c r="Q94" i="91"/>
  <c r="P94" i="91"/>
  <c r="O94" i="91"/>
  <c r="N94" i="91"/>
  <c r="A94" i="91"/>
  <c r="V93" i="91"/>
  <c r="U93" i="91"/>
  <c r="T93" i="91"/>
  <c r="S93" i="91"/>
  <c r="R93" i="91"/>
  <c r="Q93" i="91"/>
  <c r="P93" i="91"/>
  <c r="O93" i="91"/>
  <c r="N93" i="91"/>
  <c r="A93" i="91"/>
  <c r="V92" i="91"/>
  <c r="U92" i="91"/>
  <c r="T92" i="91"/>
  <c r="S92" i="91"/>
  <c r="R92" i="91"/>
  <c r="Q92" i="91"/>
  <c r="P92" i="91"/>
  <c r="O92" i="91"/>
  <c r="N92" i="91"/>
  <c r="A92" i="91"/>
  <c r="V91" i="91"/>
  <c r="U91" i="91"/>
  <c r="T91" i="91"/>
  <c r="S91" i="91"/>
  <c r="R91" i="91"/>
  <c r="Q91" i="91"/>
  <c r="P91" i="91"/>
  <c r="O91" i="91"/>
  <c r="N91" i="91"/>
  <c r="A91" i="91"/>
  <c r="V90" i="91"/>
  <c r="U90" i="91"/>
  <c r="T90" i="91"/>
  <c r="S90" i="91"/>
  <c r="R90" i="91"/>
  <c r="Q90" i="91"/>
  <c r="P90" i="91"/>
  <c r="O90" i="91"/>
  <c r="N90" i="91"/>
  <c r="A90" i="91"/>
  <c r="V89" i="91"/>
  <c r="U89" i="91"/>
  <c r="T89" i="91"/>
  <c r="S89" i="91"/>
  <c r="R89" i="91"/>
  <c r="Q89" i="91"/>
  <c r="P89" i="91"/>
  <c r="O89" i="91"/>
  <c r="N89" i="91"/>
  <c r="A89" i="91"/>
  <c r="V88" i="91"/>
  <c r="U88" i="91"/>
  <c r="T88" i="91"/>
  <c r="S88" i="91"/>
  <c r="R88" i="91"/>
  <c r="Q88" i="91"/>
  <c r="P88" i="91"/>
  <c r="O88" i="91"/>
  <c r="N88" i="91"/>
  <c r="A88" i="91"/>
  <c r="V87" i="91"/>
  <c r="U87" i="91"/>
  <c r="T87" i="91"/>
  <c r="S87" i="91"/>
  <c r="R87" i="91"/>
  <c r="Q87" i="91"/>
  <c r="P87" i="91"/>
  <c r="O87" i="91"/>
  <c r="N87" i="91"/>
  <c r="A87" i="91"/>
  <c r="V86" i="91"/>
  <c r="U86" i="91"/>
  <c r="T86" i="91"/>
  <c r="S86" i="91"/>
  <c r="R86" i="91"/>
  <c r="Q86" i="91"/>
  <c r="P86" i="91"/>
  <c r="O86" i="91"/>
  <c r="N86" i="91"/>
  <c r="A86" i="91"/>
  <c r="V85" i="91"/>
  <c r="U85" i="91"/>
  <c r="T85" i="91"/>
  <c r="S85" i="91"/>
  <c r="R85" i="91"/>
  <c r="Q85" i="91"/>
  <c r="P85" i="91"/>
  <c r="O85" i="91"/>
  <c r="N85" i="91"/>
  <c r="A85" i="91"/>
  <c r="V84" i="91"/>
  <c r="U84" i="91"/>
  <c r="T84" i="91"/>
  <c r="S84" i="91"/>
  <c r="R84" i="91"/>
  <c r="Q84" i="91"/>
  <c r="P84" i="91"/>
  <c r="O84" i="91"/>
  <c r="N84" i="91"/>
  <c r="A84" i="91"/>
  <c r="V83" i="91"/>
  <c r="U83" i="91"/>
  <c r="T83" i="91"/>
  <c r="S83" i="91"/>
  <c r="R83" i="91"/>
  <c r="Q83" i="91"/>
  <c r="P83" i="91"/>
  <c r="O83" i="91"/>
  <c r="N83" i="91"/>
  <c r="A83" i="91"/>
  <c r="V82" i="91"/>
  <c r="U82" i="91"/>
  <c r="T82" i="91"/>
  <c r="S82" i="91"/>
  <c r="R82" i="91"/>
  <c r="Q82" i="91"/>
  <c r="P82" i="91"/>
  <c r="O82" i="91"/>
  <c r="N82" i="91"/>
  <c r="L82" i="91"/>
  <c r="K82" i="91"/>
  <c r="J82" i="91"/>
  <c r="I82" i="91"/>
  <c r="H82" i="91"/>
  <c r="G82" i="91"/>
  <c r="F82" i="91"/>
  <c r="A82" i="91"/>
  <c r="V81" i="91"/>
  <c r="U81" i="91"/>
  <c r="T81" i="91"/>
  <c r="S81" i="91"/>
  <c r="R81" i="91"/>
  <c r="Q81" i="91"/>
  <c r="P81" i="91"/>
  <c r="O81" i="91"/>
  <c r="N81" i="91"/>
  <c r="A81" i="91"/>
  <c r="V80" i="91"/>
  <c r="U80" i="91"/>
  <c r="T80" i="91"/>
  <c r="S80" i="91"/>
  <c r="R80" i="91"/>
  <c r="Q80" i="91"/>
  <c r="P80" i="91"/>
  <c r="O80" i="91"/>
  <c r="N80" i="91"/>
  <c r="A80" i="91"/>
  <c r="V79" i="91"/>
  <c r="U79" i="91"/>
  <c r="T79" i="91"/>
  <c r="S79" i="91"/>
  <c r="R79" i="91"/>
  <c r="Q79" i="91"/>
  <c r="P79" i="91"/>
  <c r="O79" i="91"/>
  <c r="N79" i="91"/>
  <c r="C79" i="91"/>
  <c r="A79" i="91"/>
  <c r="V78" i="91"/>
  <c r="U78" i="91"/>
  <c r="T78" i="91"/>
  <c r="S78" i="91"/>
  <c r="R78" i="91"/>
  <c r="Q78" i="91"/>
  <c r="P78" i="91"/>
  <c r="O78" i="91"/>
  <c r="N78" i="91"/>
  <c r="C78" i="91"/>
  <c r="A78" i="91"/>
  <c r="V77" i="91"/>
  <c r="U77" i="91"/>
  <c r="T77" i="91"/>
  <c r="S77" i="91"/>
  <c r="R77" i="91"/>
  <c r="Q77" i="91"/>
  <c r="P77" i="91"/>
  <c r="O77" i="91"/>
  <c r="N77" i="91"/>
  <c r="C77" i="91"/>
  <c r="A77" i="91"/>
  <c r="V76" i="91"/>
  <c r="U76" i="91"/>
  <c r="T76" i="91"/>
  <c r="S76" i="91"/>
  <c r="R76" i="91"/>
  <c r="Q76" i="91"/>
  <c r="P76" i="91"/>
  <c r="O76" i="91"/>
  <c r="N76" i="91"/>
  <c r="C76" i="91"/>
  <c r="A76" i="91"/>
  <c r="V75" i="91"/>
  <c r="U75" i="91"/>
  <c r="T75" i="91"/>
  <c r="S75" i="91"/>
  <c r="R75" i="91"/>
  <c r="Q75" i="91"/>
  <c r="P75" i="91"/>
  <c r="O75" i="91"/>
  <c r="N75" i="91"/>
  <c r="A75" i="91"/>
  <c r="V74" i="91"/>
  <c r="U74" i="91"/>
  <c r="T74" i="91"/>
  <c r="S74" i="91"/>
  <c r="R74" i="91"/>
  <c r="Q74" i="91"/>
  <c r="P74" i="91"/>
  <c r="O74" i="91"/>
  <c r="N74" i="91"/>
  <c r="A74" i="91"/>
  <c r="V73" i="91"/>
  <c r="U73" i="91"/>
  <c r="T73" i="91"/>
  <c r="S73" i="91"/>
  <c r="R73" i="91"/>
  <c r="Q73" i="91"/>
  <c r="P73" i="91"/>
  <c r="O73" i="91"/>
  <c r="N73" i="91"/>
  <c r="A73" i="91"/>
  <c r="V72" i="91"/>
  <c r="U72" i="91"/>
  <c r="T72" i="91"/>
  <c r="S72" i="91"/>
  <c r="R72" i="91"/>
  <c r="Q72" i="91"/>
  <c r="P72" i="91"/>
  <c r="O72" i="91"/>
  <c r="N72" i="91"/>
  <c r="A72" i="91"/>
  <c r="V71" i="91"/>
  <c r="U71" i="91"/>
  <c r="T71" i="91"/>
  <c r="S71" i="91"/>
  <c r="R71" i="91"/>
  <c r="Q71" i="91"/>
  <c r="P71" i="91"/>
  <c r="O71" i="91"/>
  <c r="N71" i="91"/>
  <c r="L71" i="91"/>
  <c r="K71" i="91"/>
  <c r="J71" i="91"/>
  <c r="I71" i="91"/>
  <c r="H71" i="91"/>
  <c r="G71" i="91"/>
  <c r="F71" i="91"/>
  <c r="E71" i="91"/>
  <c r="D71" i="91"/>
  <c r="C71" i="91"/>
  <c r="A71" i="91"/>
  <c r="V70" i="91"/>
  <c r="U70" i="91"/>
  <c r="T70" i="91"/>
  <c r="S70" i="91"/>
  <c r="R70" i="91"/>
  <c r="Q70" i="91"/>
  <c r="P70" i="91"/>
  <c r="O70" i="91"/>
  <c r="N70" i="91"/>
  <c r="A70" i="91"/>
  <c r="L69" i="91"/>
  <c r="K69" i="91"/>
  <c r="J69" i="91"/>
  <c r="I69" i="91"/>
  <c r="H69" i="91"/>
  <c r="G69" i="91"/>
  <c r="F69" i="91"/>
  <c r="E69" i="91"/>
  <c r="D69" i="91"/>
  <c r="C69" i="91"/>
  <c r="A69" i="91"/>
  <c r="V68" i="91"/>
  <c r="U68" i="91"/>
  <c r="T68" i="91"/>
  <c r="S68" i="91"/>
  <c r="R68" i="91"/>
  <c r="Q68" i="91"/>
  <c r="P68" i="91"/>
  <c r="O68" i="91"/>
  <c r="N68" i="91"/>
  <c r="C68" i="91"/>
  <c r="A68" i="91"/>
  <c r="V67" i="91"/>
  <c r="U67" i="91"/>
  <c r="T67" i="91"/>
  <c r="S67" i="91"/>
  <c r="R67" i="91"/>
  <c r="Q67" i="91"/>
  <c r="P67" i="91"/>
  <c r="O67" i="91"/>
  <c r="N67" i="91"/>
  <c r="C67" i="91"/>
  <c r="A67" i="91"/>
  <c r="V66" i="91"/>
  <c r="U66" i="91"/>
  <c r="T66" i="91"/>
  <c r="S66" i="91"/>
  <c r="R66" i="91"/>
  <c r="Q66" i="91"/>
  <c r="P66" i="91"/>
  <c r="O66" i="91"/>
  <c r="N66" i="91"/>
  <c r="A66" i="91"/>
  <c r="C65" i="91"/>
  <c r="A65" i="91"/>
  <c r="V64" i="91"/>
  <c r="U64" i="91"/>
  <c r="T64" i="91"/>
  <c r="S64" i="91"/>
  <c r="R64" i="91"/>
  <c r="Q64" i="91"/>
  <c r="P64" i="91"/>
  <c r="O64" i="91"/>
  <c r="N64" i="91"/>
  <c r="C64" i="91"/>
  <c r="A64" i="91"/>
  <c r="V63" i="91"/>
  <c r="U63" i="91"/>
  <c r="T63" i="91"/>
  <c r="S63" i="91"/>
  <c r="R63" i="91"/>
  <c r="Q63" i="91"/>
  <c r="P63" i="91"/>
  <c r="O63" i="91"/>
  <c r="N63" i="91"/>
  <c r="A63" i="91"/>
  <c r="V62" i="91"/>
  <c r="U62" i="91"/>
  <c r="T62" i="91"/>
  <c r="S62" i="91"/>
  <c r="R62" i="91"/>
  <c r="Q62" i="91"/>
  <c r="P62" i="91"/>
  <c r="O62" i="91"/>
  <c r="N62" i="91"/>
  <c r="A62" i="91"/>
  <c r="V61" i="91"/>
  <c r="U61" i="91"/>
  <c r="T61" i="91"/>
  <c r="S61" i="91"/>
  <c r="R61" i="91"/>
  <c r="Q61" i="91"/>
  <c r="P61" i="91"/>
  <c r="O61" i="91"/>
  <c r="N61" i="91"/>
  <c r="A61" i="91"/>
  <c r="V60" i="91"/>
  <c r="U60" i="91"/>
  <c r="T60" i="91"/>
  <c r="S60" i="91"/>
  <c r="R60" i="91"/>
  <c r="Q60" i="91"/>
  <c r="P60" i="91"/>
  <c r="O60" i="91"/>
  <c r="N60" i="91"/>
  <c r="A60" i="91"/>
  <c r="V59" i="91"/>
  <c r="U59" i="91"/>
  <c r="T59" i="91"/>
  <c r="S59" i="91"/>
  <c r="R59" i="91"/>
  <c r="Q59" i="91"/>
  <c r="P59" i="91"/>
  <c r="O59" i="91"/>
  <c r="N59" i="91"/>
  <c r="A59" i="91"/>
  <c r="V58" i="91"/>
  <c r="U58" i="91"/>
  <c r="T58" i="91"/>
  <c r="S58" i="91"/>
  <c r="R58" i="91"/>
  <c r="Q58" i="91"/>
  <c r="P58" i="91"/>
  <c r="O58" i="91"/>
  <c r="N58" i="91"/>
  <c r="C58" i="91"/>
  <c r="A58" i="91"/>
  <c r="V57" i="91"/>
  <c r="U57" i="91"/>
  <c r="T57" i="91"/>
  <c r="S57" i="91"/>
  <c r="R57" i="91"/>
  <c r="Q57" i="91"/>
  <c r="P57" i="91"/>
  <c r="O57" i="91"/>
  <c r="N57" i="91"/>
  <c r="C57" i="91"/>
  <c r="A57" i="91"/>
  <c r="V56" i="91"/>
  <c r="U56" i="91"/>
  <c r="T56" i="91"/>
  <c r="S56" i="91"/>
  <c r="R56" i="91"/>
  <c r="Q56" i="91"/>
  <c r="P56" i="91"/>
  <c r="O56" i="91"/>
  <c r="N56" i="91"/>
  <c r="A56" i="91"/>
  <c r="V55" i="91"/>
  <c r="U55" i="91"/>
  <c r="T55" i="91"/>
  <c r="S55" i="91"/>
  <c r="R55" i="91"/>
  <c r="Q55" i="91"/>
  <c r="P55" i="91"/>
  <c r="O55" i="91"/>
  <c r="N55" i="91"/>
  <c r="A55" i="91"/>
  <c r="V54" i="91"/>
  <c r="U54" i="91"/>
  <c r="T54" i="91"/>
  <c r="S54" i="91"/>
  <c r="R54" i="91"/>
  <c r="Q54" i="91"/>
  <c r="P54" i="91"/>
  <c r="O54" i="91"/>
  <c r="N54" i="91"/>
  <c r="C54" i="91"/>
  <c r="A54" i="91"/>
  <c r="V53" i="91"/>
  <c r="U53" i="91"/>
  <c r="T53" i="91"/>
  <c r="S53" i="91"/>
  <c r="R53" i="91"/>
  <c r="Q53" i="91"/>
  <c r="P53" i="91"/>
  <c r="O53" i="91"/>
  <c r="N53" i="91"/>
  <c r="L53" i="91"/>
  <c r="K53" i="91"/>
  <c r="J53" i="91"/>
  <c r="I53" i="91"/>
  <c r="H53" i="91"/>
  <c r="G53" i="91"/>
  <c r="F53" i="91"/>
  <c r="E53" i="91"/>
  <c r="D53" i="91"/>
  <c r="C53" i="91"/>
  <c r="A53" i="91"/>
  <c r="V52" i="91"/>
  <c r="U52" i="91"/>
  <c r="T52" i="91"/>
  <c r="S52" i="91"/>
  <c r="R52" i="91"/>
  <c r="Q52" i="91"/>
  <c r="P52" i="91"/>
  <c r="O52" i="91"/>
  <c r="N52" i="91"/>
  <c r="L52" i="91"/>
  <c r="K52" i="91"/>
  <c r="J52" i="91"/>
  <c r="I52" i="91"/>
  <c r="H52" i="91"/>
  <c r="G52" i="91"/>
  <c r="F52" i="91"/>
  <c r="E52" i="91"/>
  <c r="D52" i="91"/>
  <c r="C52" i="91"/>
  <c r="A52" i="91"/>
  <c r="V51" i="91"/>
  <c r="U51" i="91"/>
  <c r="T51" i="91"/>
  <c r="S51" i="91"/>
  <c r="R51" i="91"/>
  <c r="Q51" i="91"/>
  <c r="P51" i="91"/>
  <c r="O51" i="91"/>
  <c r="N51" i="91"/>
  <c r="A51" i="91"/>
  <c r="V50" i="91"/>
  <c r="U50" i="91"/>
  <c r="T50" i="91"/>
  <c r="S50" i="91"/>
  <c r="R50" i="91"/>
  <c r="Q50" i="91"/>
  <c r="P50" i="91"/>
  <c r="O50" i="91"/>
  <c r="N50" i="91"/>
  <c r="A50" i="91"/>
  <c r="V49" i="91"/>
  <c r="U49" i="91"/>
  <c r="T49" i="91"/>
  <c r="S49" i="91"/>
  <c r="R49" i="91"/>
  <c r="Q49" i="91"/>
  <c r="P49" i="91"/>
  <c r="O49" i="91"/>
  <c r="N49" i="91"/>
  <c r="A49" i="91"/>
  <c r="V48" i="91"/>
  <c r="U48" i="91"/>
  <c r="T48" i="91"/>
  <c r="S48" i="91"/>
  <c r="R48" i="91"/>
  <c r="Q48" i="91"/>
  <c r="P48" i="91"/>
  <c r="O48" i="91"/>
  <c r="N48" i="91"/>
  <c r="A48" i="91"/>
  <c r="V47" i="91"/>
  <c r="U47" i="91"/>
  <c r="T47" i="91"/>
  <c r="S47" i="91"/>
  <c r="R47" i="91"/>
  <c r="Q47" i="91"/>
  <c r="P47" i="91"/>
  <c r="O47" i="91"/>
  <c r="N47" i="91"/>
  <c r="A47" i="91"/>
  <c r="V46" i="91"/>
  <c r="U46" i="91"/>
  <c r="T46" i="91"/>
  <c r="S46" i="91"/>
  <c r="R46" i="91"/>
  <c r="Q46" i="91"/>
  <c r="P46" i="91"/>
  <c r="O46" i="91"/>
  <c r="N46" i="91"/>
  <c r="A46" i="91"/>
  <c r="V45" i="91"/>
  <c r="U45" i="91"/>
  <c r="T45" i="91"/>
  <c r="S45" i="91"/>
  <c r="R45" i="91"/>
  <c r="Q45" i="91"/>
  <c r="P45" i="91"/>
  <c r="O45" i="91"/>
  <c r="N45" i="91"/>
  <c r="A45" i="91"/>
  <c r="V44" i="91"/>
  <c r="U44" i="91"/>
  <c r="T44" i="91"/>
  <c r="S44" i="91"/>
  <c r="R44" i="91"/>
  <c r="Q44" i="91"/>
  <c r="P44" i="91"/>
  <c r="O44" i="91"/>
  <c r="N44" i="91"/>
  <c r="A44" i="91"/>
  <c r="V43" i="91"/>
  <c r="U43" i="91"/>
  <c r="T43" i="91"/>
  <c r="S43" i="91"/>
  <c r="R43" i="91"/>
  <c r="Q43" i="91"/>
  <c r="P43" i="91"/>
  <c r="O43" i="91"/>
  <c r="N43" i="91"/>
  <c r="L43" i="91"/>
  <c r="K43" i="91"/>
  <c r="J43" i="91"/>
  <c r="I43" i="91"/>
  <c r="H43" i="91"/>
  <c r="G43" i="91"/>
  <c r="F43" i="91"/>
  <c r="E43" i="91"/>
  <c r="D43" i="91"/>
  <c r="C43" i="91"/>
  <c r="A43" i="91"/>
  <c r="V42" i="91"/>
  <c r="U42" i="91"/>
  <c r="T42" i="91"/>
  <c r="S42" i="91"/>
  <c r="R42" i="91"/>
  <c r="Q42" i="91"/>
  <c r="P42" i="91"/>
  <c r="O42" i="91"/>
  <c r="N42" i="91"/>
  <c r="L42" i="91"/>
  <c r="K42" i="91"/>
  <c r="J42" i="91"/>
  <c r="I42" i="91"/>
  <c r="H42" i="91"/>
  <c r="G42" i="91"/>
  <c r="F42" i="91"/>
  <c r="E42" i="91"/>
  <c r="D42" i="91"/>
  <c r="C42" i="91"/>
  <c r="A42" i="91"/>
  <c r="V41" i="91"/>
  <c r="U41" i="91"/>
  <c r="T41" i="91"/>
  <c r="S41" i="91"/>
  <c r="R41" i="91"/>
  <c r="Q41" i="91"/>
  <c r="P41" i="91"/>
  <c r="O41" i="91"/>
  <c r="N41" i="91"/>
  <c r="L41" i="91"/>
  <c r="K41" i="91"/>
  <c r="J41" i="91"/>
  <c r="I41" i="91"/>
  <c r="H41" i="91"/>
  <c r="G41" i="91"/>
  <c r="F41" i="91"/>
  <c r="E41" i="91"/>
  <c r="D41" i="91"/>
  <c r="C41" i="91"/>
  <c r="A41" i="91"/>
  <c r="V40" i="91"/>
  <c r="U40" i="91"/>
  <c r="T40" i="91"/>
  <c r="S40" i="91"/>
  <c r="R40" i="91"/>
  <c r="Q40" i="91"/>
  <c r="P40" i="91"/>
  <c r="O40" i="91"/>
  <c r="N40" i="91"/>
  <c r="A40" i="91"/>
  <c r="V39" i="91"/>
  <c r="U39" i="91"/>
  <c r="T39" i="91"/>
  <c r="S39" i="91"/>
  <c r="R39" i="91"/>
  <c r="Q39" i="91"/>
  <c r="P39" i="91"/>
  <c r="O39" i="91"/>
  <c r="N39" i="91"/>
  <c r="L39" i="91"/>
  <c r="K39" i="91"/>
  <c r="J39" i="91"/>
  <c r="I39" i="91"/>
  <c r="H39" i="91"/>
  <c r="G39" i="91"/>
  <c r="F39" i="91"/>
  <c r="E39" i="91"/>
  <c r="D39" i="91"/>
  <c r="A39" i="91"/>
  <c r="V38" i="91"/>
  <c r="U38" i="91"/>
  <c r="T38" i="91"/>
  <c r="S38" i="91"/>
  <c r="R38" i="91"/>
  <c r="Q38" i="91"/>
  <c r="P38" i="91"/>
  <c r="O38" i="91"/>
  <c r="N38" i="91"/>
  <c r="A38" i="91"/>
  <c r="V37" i="91"/>
  <c r="U37" i="91"/>
  <c r="T37" i="91"/>
  <c r="S37" i="91"/>
  <c r="R37" i="91"/>
  <c r="Q37" i="91"/>
  <c r="P37" i="91"/>
  <c r="O37" i="91"/>
  <c r="N37" i="91"/>
  <c r="L37" i="91"/>
  <c r="K37" i="91"/>
  <c r="J37" i="91"/>
  <c r="I37" i="91"/>
  <c r="H37" i="91"/>
  <c r="G37" i="91"/>
  <c r="F37" i="91"/>
  <c r="E37" i="91"/>
  <c r="D37" i="91"/>
  <c r="C37" i="91"/>
  <c r="A37" i="91"/>
  <c r="V36" i="91"/>
  <c r="U36" i="91"/>
  <c r="T36" i="91"/>
  <c r="S36" i="91"/>
  <c r="R36" i="91"/>
  <c r="Q36" i="91"/>
  <c r="P36" i="91"/>
  <c r="O36" i="91"/>
  <c r="N36" i="91"/>
  <c r="C36" i="91"/>
  <c r="A36" i="91"/>
  <c r="V35" i="91"/>
  <c r="U35" i="91"/>
  <c r="T35" i="91"/>
  <c r="S35" i="91"/>
  <c r="R35" i="91"/>
  <c r="Q35" i="91"/>
  <c r="P35" i="91"/>
  <c r="O35" i="91"/>
  <c r="N35" i="91"/>
  <c r="A35" i="91"/>
  <c r="V34" i="91"/>
  <c r="U34" i="91"/>
  <c r="T34" i="91"/>
  <c r="S34" i="91"/>
  <c r="R34" i="91"/>
  <c r="Q34" i="91"/>
  <c r="P34" i="91"/>
  <c r="O34" i="91"/>
  <c r="N34" i="91"/>
  <c r="L34" i="91"/>
  <c r="K34" i="91"/>
  <c r="J34" i="91"/>
  <c r="I34" i="91"/>
  <c r="H34" i="91"/>
  <c r="G34" i="91"/>
  <c r="F34" i="91"/>
  <c r="E34" i="91"/>
  <c r="D34" i="91"/>
  <c r="C34" i="91"/>
  <c r="A34" i="91"/>
  <c r="V33" i="91"/>
  <c r="U33" i="91"/>
  <c r="T33" i="91"/>
  <c r="S33" i="91"/>
  <c r="R33" i="91"/>
  <c r="Q33" i="91"/>
  <c r="P33" i="91"/>
  <c r="O33" i="91"/>
  <c r="N33" i="91"/>
  <c r="L33" i="91"/>
  <c r="K33" i="91"/>
  <c r="J33" i="91"/>
  <c r="I33" i="91"/>
  <c r="H33" i="91"/>
  <c r="G33" i="91"/>
  <c r="F33" i="91"/>
  <c r="E33" i="91"/>
  <c r="D33" i="91"/>
  <c r="T32" i="91"/>
  <c r="S32" i="91"/>
  <c r="V31" i="91"/>
  <c r="U31" i="91"/>
  <c r="T31" i="91"/>
  <c r="S31" i="91"/>
  <c r="R31" i="91"/>
  <c r="Q31" i="91"/>
  <c r="P31" i="91"/>
  <c r="O31" i="91"/>
  <c r="N31" i="91"/>
  <c r="M31" i="91"/>
  <c r="J20" i="91"/>
  <c r="I20" i="91"/>
  <c r="H20" i="91"/>
  <c r="G20" i="91"/>
  <c r="J19" i="91"/>
  <c r="I19" i="91"/>
  <c r="H19" i="91"/>
  <c r="G19" i="91"/>
  <c r="J18" i="91"/>
  <c r="I18" i="91"/>
  <c r="H18" i="91"/>
  <c r="G18" i="91"/>
  <c r="J17" i="91"/>
  <c r="I17" i="91"/>
  <c r="H17" i="91"/>
  <c r="G17" i="91"/>
  <c r="J16" i="91"/>
  <c r="I16" i="91"/>
  <c r="H16" i="91"/>
  <c r="G16" i="91"/>
  <c r="J15" i="91"/>
  <c r="I15" i="91"/>
  <c r="H15" i="91"/>
  <c r="G15" i="91"/>
  <c r="J14" i="91"/>
  <c r="I14" i="91"/>
  <c r="H14" i="91"/>
  <c r="G14" i="91"/>
  <c r="J13" i="91"/>
  <c r="I13" i="91"/>
  <c r="H13" i="91"/>
  <c r="G13" i="91"/>
  <c r="J12" i="91"/>
  <c r="I12" i="91"/>
  <c r="H12" i="91"/>
  <c r="G12" i="91"/>
  <c r="J11" i="91"/>
  <c r="H11" i="91"/>
  <c r="G11" i="91"/>
  <c r="B7" i="91"/>
  <c r="I11" i="91" s="1"/>
  <c r="C33" i="91" s="1"/>
  <c r="G124" i="72"/>
  <c r="F124" i="72"/>
  <c r="E124" i="72"/>
  <c r="D124" i="72"/>
  <c r="C124" i="72"/>
  <c r="H123" i="72"/>
  <c r="G123" i="72"/>
  <c r="F123" i="72"/>
  <c r="C123" i="72"/>
  <c r="H122" i="72"/>
  <c r="G122" i="72"/>
  <c r="F122" i="72"/>
  <c r="C122" i="72"/>
  <c r="H121" i="72"/>
  <c r="G121" i="72"/>
  <c r="F121" i="72"/>
  <c r="C121" i="72"/>
  <c r="H120" i="72"/>
  <c r="G120" i="72"/>
  <c r="F120" i="72"/>
  <c r="C120" i="72"/>
  <c r="H119" i="72"/>
  <c r="G119" i="72"/>
  <c r="F119" i="72"/>
  <c r="C119" i="72"/>
  <c r="V103" i="72"/>
  <c r="U103" i="72"/>
  <c r="T103" i="72"/>
  <c r="S103" i="72"/>
  <c r="R103" i="72"/>
  <c r="Q103" i="72"/>
  <c r="P103" i="72"/>
  <c r="O103" i="72"/>
  <c r="N103" i="72"/>
  <c r="A103" i="72"/>
  <c r="V102" i="72"/>
  <c r="U102" i="72"/>
  <c r="T102" i="72"/>
  <c r="S102" i="72"/>
  <c r="R102" i="72"/>
  <c r="Q102" i="72"/>
  <c r="P102" i="72"/>
  <c r="O102" i="72"/>
  <c r="N102" i="72"/>
  <c r="A102" i="72"/>
  <c r="V101" i="72"/>
  <c r="U101" i="72"/>
  <c r="T101" i="72"/>
  <c r="S101" i="72"/>
  <c r="R101" i="72"/>
  <c r="Q101" i="72"/>
  <c r="P101" i="72"/>
  <c r="O101" i="72"/>
  <c r="N101" i="72"/>
  <c r="A101" i="72"/>
  <c r="V100" i="72"/>
  <c r="U100" i="72"/>
  <c r="T100" i="72"/>
  <c r="S100" i="72"/>
  <c r="R100" i="72"/>
  <c r="Q100" i="72"/>
  <c r="P100" i="72"/>
  <c r="O100" i="72"/>
  <c r="N100" i="72"/>
  <c r="A100" i="72"/>
  <c r="V99" i="72"/>
  <c r="U99" i="72"/>
  <c r="T99" i="72"/>
  <c r="S99" i="72"/>
  <c r="R99" i="72"/>
  <c r="Q99" i="72"/>
  <c r="P99" i="72"/>
  <c r="O99" i="72"/>
  <c r="N99" i="72"/>
  <c r="A99" i="72"/>
  <c r="V98" i="72"/>
  <c r="U98" i="72"/>
  <c r="T98" i="72"/>
  <c r="S98" i="72"/>
  <c r="R98" i="72"/>
  <c r="Q98" i="72"/>
  <c r="P98" i="72"/>
  <c r="O98" i="72"/>
  <c r="N98" i="72"/>
  <c r="A98" i="72"/>
  <c r="V97" i="72"/>
  <c r="U97" i="72"/>
  <c r="T97" i="72"/>
  <c r="S97" i="72"/>
  <c r="R97" i="72"/>
  <c r="Q97" i="72"/>
  <c r="P97" i="72"/>
  <c r="O97" i="72"/>
  <c r="N97" i="72"/>
  <c r="A97" i="72"/>
  <c r="V96" i="72"/>
  <c r="U96" i="72"/>
  <c r="T96" i="72"/>
  <c r="S96" i="72"/>
  <c r="R96" i="72"/>
  <c r="Q96" i="72"/>
  <c r="P96" i="72"/>
  <c r="O96" i="72"/>
  <c r="N96" i="72"/>
  <c r="A96" i="72"/>
  <c r="V95" i="72"/>
  <c r="U95" i="72"/>
  <c r="T95" i="72"/>
  <c r="S95" i="72"/>
  <c r="R95" i="72"/>
  <c r="Q95" i="72"/>
  <c r="P95" i="72"/>
  <c r="O95" i="72"/>
  <c r="N95" i="72"/>
  <c r="A95" i="72"/>
  <c r="V94" i="72"/>
  <c r="U94" i="72"/>
  <c r="T94" i="72"/>
  <c r="S94" i="72"/>
  <c r="R94" i="72"/>
  <c r="Q94" i="72"/>
  <c r="P94" i="72"/>
  <c r="O94" i="72"/>
  <c r="N94" i="72"/>
  <c r="A94" i="72"/>
  <c r="V93" i="72"/>
  <c r="U93" i="72"/>
  <c r="T93" i="72"/>
  <c r="S93" i="72"/>
  <c r="R93" i="72"/>
  <c r="Q93" i="72"/>
  <c r="P93" i="72"/>
  <c r="O93" i="72"/>
  <c r="N93" i="72"/>
  <c r="A93" i="72"/>
  <c r="V92" i="72"/>
  <c r="U92" i="72"/>
  <c r="T92" i="72"/>
  <c r="S92" i="72"/>
  <c r="R92" i="72"/>
  <c r="Q92" i="72"/>
  <c r="P92" i="72"/>
  <c r="O92" i="72"/>
  <c r="N92" i="72"/>
  <c r="A92" i="72"/>
  <c r="V91" i="72"/>
  <c r="U91" i="72"/>
  <c r="T91" i="72"/>
  <c r="S91" i="72"/>
  <c r="R91" i="72"/>
  <c r="Q91" i="72"/>
  <c r="P91" i="72"/>
  <c r="O91" i="72"/>
  <c r="N91" i="72"/>
  <c r="A91" i="72"/>
  <c r="V90" i="72"/>
  <c r="U90" i="72"/>
  <c r="T90" i="72"/>
  <c r="S90" i="72"/>
  <c r="R90" i="72"/>
  <c r="Q90" i="72"/>
  <c r="P90" i="72"/>
  <c r="O90" i="72"/>
  <c r="N90" i="72"/>
  <c r="A90" i="72"/>
  <c r="V89" i="72"/>
  <c r="U89" i="72"/>
  <c r="T89" i="72"/>
  <c r="S89" i="72"/>
  <c r="R89" i="72"/>
  <c r="Q89" i="72"/>
  <c r="P89" i="72"/>
  <c r="O89" i="72"/>
  <c r="N89" i="72"/>
  <c r="A89" i="72"/>
  <c r="V88" i="72"/>
  <c r="U88" i="72"/>
  <c r="T88" i="72"/>
  <c r="S88" i="72"/>
  <c r="R88" i="72"/>
  <c r="Q88" i="72"/>
  <c r="P88" i="72"/>
  <c r="O88" i="72"/>
  <c r="N88" i="72"/>
  <c r="A88" i="72"/>
  <c r="V87" i="72"/>
  <c r="U87" i="72"/>
  <c r="T87" i="72"/>
  <c r="S87" i="72"/>
  <c r="R87" i="72"/>
  <c r="Q87" i="72"/>
  <c r="P87" i="72"/>
  <c r="O87" i="72"/>
  <c r="N87" i="72"/>
  <c r="A87" i="72"/>
  <c r="V86" i="72"/>
  <c r="U86" i="72"/>
  <c r="T86" i="72"/>
  <c r="S86" i="72"/>
  <c r="R86" i="72"/>
  <c r="Q86" i="72"/>
  <c r="P86" i="72"/>
  <c r="O86" i="72"/>
  <c r="N86" i="72"/>
  <c r="A86" i="72"/>
  <c r="V85" i="72"/>
  <c r="U85" i="72"/>
  <c r="T85" i="72"/>
  <c r="S85" i="72"/>
  <c r="R85" i="72"/>
  <c r="Q85" i="72"/>
  <c r="P85" i="72"/>
  <c r="O85" i="72"/>
  <c r="N85" i="72"/>
  <c r="A85" i="72"/>
  <c r="V84" i="72"/>
  <c r="U84" i="72"/>
  <c r="T84" i="72"/>
  <c r="S84" i="72"/>
  <c r="R84" i="72"/>
  <c r="Q84" i="72"/>
  <c r="P84" i="72"/>
  <c r="O84" i="72"/>
  <c r="N84" i="72"/>
  <c r="A84" i="72"/>
  <c r="V83" i="72"/>
  <c r="U83" i="72"/>
  <c r="T83" i="72"/>
  <c r="S83" i="72"/>
  <c r="R83" i="72"/>
  <c r="Q83" i="72"/>
  <c r="P83" i="72"/>
  <c r="O83" i="72"/>
  <c r="N83" i="72"/>
  <c r="A83" i="72"/>
  <c r="V82" i="72"/>
  <c r="U82" i="72"/>
  <c r="T82" i="72"/>
  <c r="S82" i="72"/>
  <c r="R82" i="72"/>
  <c r="Q82" i="72"/>
  <c r="P82" i="72"/>
  <c r="O82" i="72"/>
  <c r="N82" i="72"/>
  <c r="L82" i="72"/>
  <c r="K82" i="72"/>
  <c r="J82" i="72"/>
  <c r="I82" i="72"/>
  <c r="H82" i="72"/>
  <c r="G82" i="72"/>
  <c r="F82" i="72"/>
  <c r="A82" i="72"/>
  <c r="V81" i="72"/>
  <c r="U81" i="72"/>
  <c r="T81" i="72"/>
  <c r="S81" i="72"/>
  <c r="R81" i="72"/>
  <c r="Q81" i="72"/>
  <c r="P81" i="72"/>
  <c r="O81" i="72"/>
  <c r="N81" i="72"/>
  <c r="A81" i="72"/>
  <c r="V80" i="72"/>
  <c r="U80" i="72"/>
  <c r="T80" i="72"/>
  <c r="S80" i="72"/>
  <c r="R80" i="72"/>
  <c r="Q80" i="72"/>
  <c r="P80" i="72"/>
  <c r="O80" i="72"/>
  <c r="N80" i="72"/>
  <c r="A80" i="72"/>
  <c r="V79" i="72"/>
  <c r="U79" i="72"/>
  <c r="T79" i="72"/>
  <c r="S79" i="72"/>
  <c r="R79" i="72"/>
  <c r="Q79" i="72"/>
  <c r="P79" i="72"/>
  <c r="O79" i="72"/>
  <c r="N79" i="72"/>
  <c r="C79" i="72"/>
  <c r="A79" i="72"/>
  <c r="V78" i="72"/>
  <c r="U78" i="72"/>
  <c r="T78" i="72"/>
  <c r="S78" i="72"/>
  <c r="R78" i="72"/>
  <c r="Q78" i="72"/>
  <c r="P78" i="72"/>
  <c r="O78" i="72"/>
  <c r="N78" i="72"/>
  <c r="C78" i="72"/>
  <c r="A78" i="72"/>
  <c r="V77" i="72"/>
  <c r="U77" i="72"/>
  <c r="T77" i="72"/>
  <c r="S77" i="72"/>
  <c r="R77" i="72"/>
  <c r="Q77" i="72"/>
  <c r="P77" i="72"/>
  <c r="O77" i="72"/>
  <c r="N77" i="72"/>
  <c r="C77" i="72"/>
  <c r="A77" i="72"/>
  <c r="V76" i="72"/>
  <c r="U76" i="72"/>
  <c r="T76" i="72"/>
  <c r="S76" i="72"/>
  <c r="R76" i="72"/>
  <c r="Q76" i="72"/>
  <c r="P76" i="72"/>
  <c r="O76" i="72"/>
  <c r="N76" i="72"/>
  <c r="C76" i="72"/>
  <c r="A76" i="72"/>
  <c r="V75" i="72"/>
  <c r="U75" i="72"/>
  <c r="T75" i="72"/>
  <c r="S75" i="72"/>
  <c r="R75" i="72"/>
  <c r="Q75" i="72"/>
  <c r="P75" i="72"/>
  <c r="O75" i="72"/>
  <c r="N75" i="72"/>
  <c r="A75" i="72"/>
  <c r="V74" i="72"/>
  <c r="U74" i="72"/>
  <c r="T74" i="72"/>
  <c r="S74" i="72"/>
  <c r="R74" i="72"/>
  <c r="Q74" i="72"/>
  <c r="P74" i="72"/>
  <c r="O74" i="72"/>
  <c r="N74" i="72"/>
  <c r="A74" i="72"/>
  <c r="V73" i="72"/>
  <c r="U73" i="72"/>
  <c r="T73" i="72"/>
  <c r="S73" i="72"/>
  <c r="R73" i="72"/>
  <c r="Q73" i="72"/>
  <c r="P73" i="72"/>
  <c r="O73" i="72"/>
  <c r="N73" i="72"/>
  <c r="A73" i="72"/>
  <c r="V72" i="72"/>
  <c r="U72" i="72"/>
  <c r="T72" i="72"/>
  <c r="S72" i="72"/>
  <c r="R72" i="72"/>
  <c r="Q72" i="72"/>
  <c r="P72" i="72"/>
  <c r="O72" i="72"/>
  <c r="N72" i="72"/>
  <c r="A72" i="72"/>
  <c r="V71" i="72"/>
  <c r="U71" i="72"/>
  <c r="T71" i="72"/>
  <c r="S71" i="72"/>
  <c r="R71" i="72"/>
  <c r="Q71" i="72"/>
  <c r="P71" i="72"/>
  <c r="O71" i="72"/>
  <c r="N71" i="72"/>
  <c r="L71" i="72"/>
  <c r="K71" i="72"/>
  <c r="J71" i="72"/>
  <c r="I71" i="72"/>
  <c r="H71" i="72"/>
  <c r="G71" i="72"/>
  <c r="F71" i="72"/>
  <c r="E71" i="72"/>
  <c r="D71" i="72"/>
  <c r="C71" i="72"/>
  <c r="A71" i="72"/>
  <c r="V70" i="72"/>
  <c r="U70" i="72"/>
  <c r="T70" i="72"/>
  <c r="S70" i="72"/>
  <c r="R70" i="72"/>
  <c r="Q70" i="72"/>
  <c r="P70" i="72"/>
  <c r="O70" i="72"/>
  <c r="N70" i="72"/>
  <c r="A70" i="72"/>
  <c r="L69" i="72"/>
  <c r="K69" i="72"/>
  <c r="J69" i="72"/>
  <c r="I69" i="72"/>
  <c r="H69" i="72"/>
  <c r="G69" i="72"/>
  <c r="F69" i="72"/>
  <c r="E69" i="72"/>
  <c r="D69" i="72"/>
  <c r="C69" i="72"/>
  <c r="A69" i="72"/>
  <c r="V68" i="72"/>
  <c r="U68" i="72"/>
  <c r="T68" i="72"/>
  <c r="S68" i="72"/>
  <c r="R68" i="72"/>
  <c r="Q68" i="72"/>
  <c r="P68" i="72"/>
  <c r="O68" i="72"/>
  <c r="N68" i="72"/>
  <c r="C68" i="72"/>
  <c r="A68" i="72"/>
  <c r="V67" i="72"/>
  <c r="U67" i="72"/>
  <c r="T67" i="72"/>
  <c r="S67" i="72"/>
  <c r="R67" i="72"/>
  <c r="Q67" i="72"/>
  <c r="P67" i="72"/>
  <c r="O67" i="72"/>
  <c r="N67" i="72"/>
  <c r="C67" i="72"/>
  <c r="A67" i="72"/>
  <c r="V66" i="72"/>
  <c r="U66" i="72"/>
  <c r="T66" i="72"/>
  <c r="S66" i="72"/>
  <c r="R66" i="72"/>
  <c r="Q66" i="72"/>
  <c r="P66" i="72"/>
  <c r="O66" i="72"/>
  <c r="N66" i="72"/>
  <c r="A66" i="72"/>
  <c r="C65" i="72"/>
  <c r="A65" i="72"/>
  <c r="V64" i="72"/>
  <c r="U64" i="72"/>
  <c r="T64" i="72"/>
  <c r="S64" i="72"/>
  <c r="R64" i="72"/>
  <c r="Q64" i="72"/>
  <c r="P64" i="72"/>
  <c r="O64" i="72"/>
  <c r="N64" i="72"/>
  <c r="C64" i="72"/>
  <c r="A64" i="72"/>
  <c r="V63" i="72"/>
  <c r="U63" i="72"/>
  <c r="T63" i="72"/>
  <c r="S63" i="72"/>
  <c r="R63" i="72"/>
  <c r="Q63" i="72"/>
  <c r="P63" i="72"/>
  <c r="O63" i="72"/>
  <c r="N63" i="72"/>
  <c r="A63" i="72"/>
  <c r="V62" i="72"/>
  <c r="U62" i="72"/>
  <c r="T62" i="72"/>
  <c r="S62" i="72"/>
  <c r="R62" i="72"/>
  <c r="Q62" i="72"/>
  <c r="P62" i="72"/>
  <c r="O62" i="72"/>
  <c r="N62" i="72"/>
  <c r="A62" i="72"/>
  <c r="V61" i="72"/>
  <c r="U61" i="72"/>
  <c r="T61" i="72"/>
  <c r="S61" i="72"/>
  <c r="R61" i="72"/>
  <c r="Q61" i="72"/>
  <c r="P61" i="72"/>
  <c r="O61" i="72"/>
  <c r="N61" i="72"/>
  <c r="A61" i="72"/>
  <c r="V60" i="72"/>
  <c r="U60" i="72"/>
  <c r="T60" i="72"/>
  <c r="S60" i="72"/>
  <c r="R60" i="72"/>
  <c r="Q60" i="72"/>
  <c r="P60" i="72"/>
  <c r="O60" i="72"/>
  <c r="N60" i="72"/>
  <c r="A60" i="72"/>
  <c r="V59" i="72"/>
  <c r="U59" i="72"/>
  <c r="T59" i="72"/>
  <c r="S59" i="72"/>
  <c r="R59" i="72"/>
  <c r="Q59" i="72"/>
  <c r="P59" i="72"/>
  <c r="O59" i="72"/>
  <c r="N59" i="72"/>
  <c r="A59" i="72"/>
  <c r="V58" i="72"/>
  <c r="U58" i="72"/>
  <c r="T58" i="72"/>
  <c r="S58" i="72"/>
  <c r="R58" i="72"/>
  <c r="Q58" i="72"/>
  <c r="P58" i="72"/>
  <c r="O58" i="72"/>
  <c r="N58" i="72"/>
  <c r="C58" i="72"/>
  <c r="A58" i="72"/>
  <c r="V57" i="72"/>
  <c r="U57" i="72"/>
  <c r="T57" i="72"/>
  <c r="S57" i="72"/>
  <c r="R57" i="72"/>
  <c r="Q57" i="72"/>
  <c r="P57" i="72"/>
  <c r="O57" i="72"/>
  <c r="N57" i="72"/>
  <c r="C57" i="72"/>
  <c r="A57" i="72"/>
  <c r="V56" i="72"/>
  <c r="U56" i="72"/>
  <c r="T56" i="72"/>
  <c r="S56" i="72"/>
  <c r="R56" i="72"/>
  <c r="Q56" i="72"/>
  <c r="P56" i="72"/>
  <c r="O56" i="72"/>
  <c r="N56" i="72"/>
  <c r="A56" i="72"/>
  <c r="V55" i="72"/>
  <c r="U55" i="72"/>
  <c r="T55" i="72"/>
  <c r="S55" i="72"/>
  <c r="R55" i="72"/>
  <c r="Q55" i="72"/>
  <c r="P55" i="72"/>
  <c r="O55" i="72"/>
  <c r="N55" i="72"/>
  <c r="A55" i="72"/>
  <c r="V54" i="72"/>
  <c r="U54" i="72"/>
  <c r="T54" i="72"/>
  <c r="S54" i="72"/>
  <c r="R54" i="72"/>
  <c r="Q54" i="72"/>
  <c r="P54" i="72"/>
  <c r="O54" i="72"/>
  <c r="N54" i="72"/>
  <c r="C54" i="72"/>
  <c r="A54" i="72"/>
  <c r="V53" i="72"/>
  <c r="U53" i="72"/>
  <c r="T53" i="72"/>
  <c r="S53" i="72"/>
  <c r="R53" i="72"/>
  <c r="Q53" i="72"/>
  <c r="P53" i="72"/>
  <c r="O53" i="72"/>
  <c r="N53" i="72"/>
  <c r="L53" i="72"/>
  <c r="K53" i="72"/>
  <c r="J53" i="72"/>
  <c r="I53" i="72"/>
  <c r="H53" i="72"/>
  <c r="G53" i="72"/>
  <c r="F53" i="72"/>
  <c r="E53" i="72"/>
  <c r="D53" i="72"/>
  <c r="C53" i="72"/>
  <c r="A53" i="72"/>
  <c r="V52" i="72"/>
  <c r="U52" i="72"/>
  <c r="T52" i="72"/>
  <c r="S52" i="72"/>
  <c r="R52" i="72"/>
  <c r="Q52" i="72"/>
  <c r="P52" i="72"/>
  <c r="O52" i="72"/>
  <c r="N52" i="72"/>
  <c r="L52" i="72"/>
  <c r="K52" i="72"/>
  <c r="J52" i="72"/>
  <c r="I52" i="72"/>
  <c r="H52" i="72"/>
  <c r="G52" i="72"/>
  <c r="F52" i="72"/>
  <c r="E52" i="72"/>
  <c r="D52" i="72"/>
  <c r="C52" i="72"/>
  <c r="A52" i="72"/>
  <c r="V51" i="72"/>
  <c r="U51" i="72"/>
  <c r="T51" i="72"/>
  <c r="S51" i="72"/>
  <c r="R51" i="72"/>
  <c r="Q51" i="72"/>
  <c r="P51" i="72"/>
  <c r="O51" i="72"/>
  <c r="N51" i="72"/>
  <c r="A51" i="72"/>
  <c r="V50" i="72"/>
  <c r="U50" i="72"/>
  <c r="T50" i="72"/>
  <c r="S50" i="72"/>
  <c r="R50" i="72"/>
  <c r="Q50" i="72"/>
  <c r="P50" i="72"/>
  <c r="O50" i="72"/>
  <c r="N50" i="72"/>
  <c r="A50" i="72"/>
  <c r="V49" i="72"/>
  <c r="U49" i="72"/>
  <c r="T49" i="72"/>
  <c r="S49" i="72"/>
  <c r="R49" i="72"/>
  <c r="Q49" i="72"/>
  <c r="P49" i="72"/>
  <c r="O49" i="72"/>
  <c r="N49" i="72"/>
  <c r="A49" i="72"/>
  <c r="V48" i="72"/>
  <c r="U48" i="72"/>
  <c r="T48" i="72"/>
  <c r="S48" i="72"/>
  <c r="R48" i="72"/>
  <c r="Q48" i="72"/>
  <c r="P48" i="72"/>
  <c r="O48" i="72"/>
  <c r="N48" i="72"/>
  <c r="A48" i="72"/>
  <c r="V47" i="72"/>
  <c r="U47" i="72"/>
  <c r="T47" i="72"/>
  <c r="S47" i="72"/>
  <c r="R47" i="72"/>
  <c r="Q47" i="72"/>
  <c r="P47" i="72"/>
  <c r="O47" i="72"/>
  <c r="N47" i="72"/>
  <c r="A47" i="72"/>
  <c r="V46" i="72"/>
  <c r="U46" i="72"/>
  <c r="T46" i="72"/>
  <c r="S46" i="72"/>
  <c r="R46" i="72"/>
  <c r="Q46" i="72"/>
  <c r="P46" i="72"/>
  <c r="O46" i="72"/>
  <c r="N46" i="72"/>
  <c r="A46" i="72"/>
  <c r="V45" i="72"/>
  <c r="U45" i="72"/>
  <c r="T45" i="72"/>
  <c r="S45" i="72"/>
  <c r="R45" i="72"/>
  <c r="Q45" i="72"/>
  <c r="P45" i="72"/>
  <c r="O45" i="72"/>
  <c r="N45" i="72"/>
  <c r="A45" i="72"/>
  <c r="V44" i="72"/>
  <c r="U44" i="72"/>
  <c r="T44" i="72"/>
  <c r="S44" i="72"/>
  <c r="R44" i="72"/>
  <c r="Q44" i="72"/>
  <c r="P44" i="72"/>
  <c r="O44" i="72"/>
  <c r="N44" i="72"/>
  <c r="A44" i="72"/>
  <c r="V43" i="72"/>
  <c r="U43" i="72"/>
  <c r="T43" i="72"/>
  <c r="S43" i="72"/>
  <c r="R43" i="72"/>
  <c r="Q43" i="72"/>
  <c r="P43" i="72"/>
  <c r="O43" i="72"/>
  <c r="N43" i="72"/>
  <c r="L43" i="72"/>
  <c r="K43" i="72"/>
  <c r="J43" i="72"/>
  <c r="I43" i="72"/>
  <c r="H43" i="72"/>
  <c r="G43" i="72"/>
  <c r="F43" i="72"/>
  <c r="E43" i="72"/>
  <c r="D43" i="72"/>
  <c r="C43" i="72"/>
  <c r="A43" i="72"/>
  <c r="V42" i="72"/>
  <c r="U42" i="72"/>
  <c r="T42" i="72"/>
  <c r="S42" i="72"/>
  <c r="R42" i="72"/>
  <c r="Q42" i="72"/>
  <c r="P42" i="72"/>
  <c r="O42" i="72"/>
  <c r="N42" i="72"/>
  <c r="L42" i="72"/>
  <c r="K42" i="72"/>
  <c r="J42" i="72"/>
  <c r="I42" i="72"/>
  <c r="H42" i="72"/>
  <c r="G42" i="72"/>
  <c r="F42" i="72"/>
  <c r="E42" i="72"/>
  <c r="D42" i="72"/>
  <c r="C42" i="72"/>
  <c r="A42" i="72"/>
  <c r="V41" i="72"/>
  <c r="U41" i="72"/>
  <c r="T41" i="72"/>
  <c r="S41" i="72"/>
  <c r="R41" i="72"/>
  <c r="Q41" i="72"/>
  <c r="P41" i="72"/>
  <c r="O41" i="72"/>
  <c r="N41" i="72"/>
  <c r="L41" i="72"/>
  <c r="K41" i="72"/>
  <c r="J41" i="72"/>
  <c r="I41" i="72"/>
  <c r="H41" i="72"/>
  <c r="G41" i="72"/>
  <c r="F41" i="72"/>
  <c r="E41" i="72"/>
  <c r="D41" i="72"/>
  <c r="C41" i="72"/>
  <c r="A41" i="72"/>
  <c r="V40" i="72"/>
  <c r="U40" i="72"/>
  <c r="T40" i="72"/>
  <c r="S40" i="72"/>
  <c r="R40" i="72"/>
  <c r="Q40" i="72"/>
  <c r="P40" i="72"/>
  <c r="O40" i="72"/>
  <c r="N40" i="72"/>
  <c r="A40" i="72"/>
  <c r="V39" i="72"/>
  <c r="U39" i="72"/>
  <c r="T39" i="72"/>
  <c r="S39" i="72"/>
  <c r="R39" i="72"/>
  <c r="Q39" i="72"/>
  <c r="P39" i="72"/>
  <c r="O39" i="72"/>
  <c r="N39" i="72"/>
  <c r="L39" i="72"/>
  <c r="K39" i="72"/>
  <c r="J39" i="72"/>
  <c r="I39" i="72"/>
  <c r="H39" i="72"/>
  <c r="G39" i="72"/>
  <c r="F39" i="72"/>
  <c r="E39" i="72"/>
  <c r="D39" i="72"/>
  <c r="A39" i="72"/>
  <c r="V38" i="72"/>
  <c r="U38" i="72"/>
  <c r="T38" i="72"/>
  <c r="S38" i="72"/>
  <c r="R38" i="72"/>
  <c r="Q38" i="72"/>
  <c r="P38" i="72"/>
  <c r="O38" i="72"/>
  <c r="N38" i="72"/>
  <c r="A38" i="72"/>
  <c r="V37" i="72"/>
  <c r="U37" i="72"/>
  <c r="T37" i="72"/>
  <c r="S37" i="72"/>
  <c r="R37" i="72"/>
  <c r="Q37" i="72"/>
  <c r="P37" i="72"/>
  <c r="O37" i="72"/>
  <c r="N37" i="72"/>
  <c r="L37" i="72"/>
  <c r="K37" i="72"/>
  <c r="J37" i="72"/>
  <c r="I37" i="72"/>
  <c r="H37" i="72"/>
  <c r="G37" i="72"/>
  <c r="F37" i="72"/>
  <c r="E37" i="72"/>
  <c r="D37" i="72"/>
  <c r="C37" i="72"/>
  <c r="A37" i="72"/>
  <c r="V36" i="72"/>
  <c r="U36" i="72"/>
  <c r="T36" i="72"/>
  <c r="S36" i="72"/>
  <c r="R36" i="72"/>
  <c r="Q36" i="72"/>
  <c r="P36" i="72"/>
  <c r="O36" i="72"/>
  <c r="N36" i="72"/>
  <c r="C36" i="72"/>
  <c r="A36" i="72"/>
  <c r="V35" i="72"/>
  <c r="U35" i="72"/>
  <c r="T35" i="72"/>
  <c r="S35" i="72"/>
  <c r="R35" i="72"/>
  <c r="Q35" i="72"/>
  <c r="P35" i="72"/>
  <c r="O35" i="72"/>
  <c r="N35" i="72"/>
  <c r="A35" i="72"/>
  <c r="V34" i="72"/>
  <c r="U34" i="72"/>
  <c r="T34" i="72"/>
  <c r="S34" i="72"/>
  <c r="R34" i="72"/>
  <c r="Q34" i="72"/>
  <c r="P34" i="72"/>
  <c r="O34" i="72"/>
  <c r="N34" i="72"/>
  <c r="L34" i="72"/>
  <c r="K34" i="72"/>
  <c r="J34" i="72"/>
  <c r="I34" i="72"/>
  <c r="H34" i="72"/>
  <c r="G34" i="72"/>
  <c r="F34" i="72"/>
  <c r="E34" i="72"/>
  <c r="D34" i="72"/>
  <c r="C34" i="72"/>
  <c r="A34" i="72"/>
  <c r="V33" i="72"/>
  <c r="U33" i="72"/>
  <c r="T33" i="72"/>
  <c r="S33" i="72"/>
  <c r="R33" i="72"/>
  <c r="Q33" i="72"/>
  <c r="P33" i="72"/>
  <c r="O33" i="72"/>
  <c r="N33" i="72"/>
  <c r="L33" i="72"/>
  <c r="K33" i="72"/>
  <c r="J33" i="72"/>
  <c r="I33" i="72"/>
  <c r="H33" i="72"/>
  <c r="G33" i="72"/>
  <c r="F33" i="72"/>
  <c r="E33" i="72"/>
  <c r="D33" i="72"/>
  <c r="T32" i="72"/>
  <c r="S32" i="72"/>
  <c r="V31" i="72"/>
  <c r="U31" i="72"/>
  <c r="T31" i="72"/>
  <c r="S31" i="72"/>
  <c r="R31" i="72"/>
  <c r="Q31" i="72"/>
  <c r="P31" i="72"/>
  <c r="O31" i="72"/>
  <c r="N31" i="72"/>
  <c r="M31" i="72"/>
  <c r="J20" i="72"/>
  <c r="I20" i="72"/>
  <c r="H20" i="72"/>
  <c r="G20" i="72"/>
  <c r="J19" i="72"/>
  <c r="I19" i="72"/>
  <c r="H19" i="72"/>
  <c r="G19" i="72"/>
  <c r="J18" i="72"/>
  <c r="I18" i="72"/>
  <c r="H18" i="72"/>
  <c r="G18" i="72"/>
  <c r="J17" i="72"/>
  <c r="I17" i="72"/>
  <c r="H17" i="72"/>
  <c r="G17" i="72"/>
  <c r="J16" i="72"/>
  <c r="I16" i="72"/>
  <c r="H16" i="72"/>
  <c r="G16" i="72"/>
  <c r="J15" i="72"/>
  <c r="I15" i="72"/>
  <c r="H15" i="72"/>
  <c r="G15" i="72"/>
  <c r="J14" i="72"/>
  <c r="I14" i="72"/>
  <c r="H14" i="72"/>
  <c r="G14" i="72"/>
  <c r="J13" i="72"/>
  <c r="I13" i="72"/>
  <c r="H13" i="72"/>
  <c r="G13" i="72"/>
  <c r="J12" i="72"/>
  <c r="I12" i="72"/>
  <c r="H12" i="72"/>
  <c r="G12" i="72"/>
  <c r="J11" i="72"/>
  <c r="H11" i="72"/>
  <c r="G11" i="72"/>
  <c r="B7" i="72"/>
  <c r="I11" i="72" s="1"/>
  <c r="C33" i="72" s="1"/>
  <c r="G124" i="71"/>
  <c r="F124" i="71"/>
  <c r="E124" i="71"/>
  <c r="D124" i="71"/>
  <c r="C124" i="71"/>
  <c r="H123" i="71"/>
  <c r="G123" i="71"/>
  <c r="F123" i="71"/>
  <c r="C123" i="71"/>
  <c r="H122" i="71"/>
  <c r="G122" i="71"/>
  <c r="F122" i="71"/>
  <c r="C122" i="71"/>
  <c r="H121" i="71"/>
  <c r="G121" i="71"/>
  <c r="F121" i="71"/>
  <c r="C121" i="71"/>
  <c r="H120" i="71"/>
  <c r="G120" i="71"/>
  <c r="F120" i="71"/>
  <c r="C120" i="71"/>
  <c r="H119" i="71"/>
  <c r="G119" i="71"/>
  <c r="F119" i="71"/>
  <c r="C119" i="71"/>
  <c r="V103" i="71"/>
  <c r="U103" i="71"/>
  <c r="T103" i="71"/>
  <c r="S103" i="71"/>
  <c r="R103" i="71"/>
  <c r="Q103" i="71"/>
  <c r="P103" i="71"/>
  <c r="O103" i="71"/>
  <c r="N103" i="71"/>
  <c r="A103" i="71"/>
  <c r="V102" i="71"/>
  <c r="U102" i="71"/>
  <c r="T102" i="71"/>
  <c r="S102" i="71"/>
  <c r="R102" i="71"/>
  <c r="Q102" i="71"/>
  <c r="P102" i="71"/>
  <c r="O102" i="71"/>
  <c r="N102" i="71"/>
  <c r="A102" i="71"/>
  <c r="V101" i="71"/>
  <c r="U101" i="71"/>
  <c r="T101" i="71"/>
  <c r="S101" i="71"/>
  <c r="R101" i="71"/>
  <c r="Q101" i="71"/>
  <c r="P101" i="71"/>
  <c r="O101" i="71"/>
  <c r="N101" i="71"/>
  <c r="A101" i="71"/>
  <c r="V100" i="71"/>
  <c r="U100" i="71"/>
  <c r="T100" i="71"/>
  <c r="S100" i="71"/>
  <c r="R100" i="71"/>
  <c r="Q100" i="71"/>
  <c r="P100" i="71"/>
  <c r="O100" i="71"/>
  <c r="N100" i="71"/>
  <c r="A100" i="71"/>
  <c r="V99" i="71"/>
  <c r="U99" i="71"/>
  <c r="T99" i="71"/>
  <c r="S99" i="71"/>
  <c r="R99" i="71"/>
  <c r="Q99" i="71"/>
  <c r="P99" i="71"/>
  <c r="O99" i="71"/>
  <c r="N99" i="71"/>
  <c r="A99" i="71"/>
  <c r="V98" i="71"/>
  <c r="U98" i="71"/>
  <c r="T98" i="71"/>
  <c r="S98" i="71"/>
  <c r="R98" i="71"/>
  <c r="Q98" i="71"/>
  <c r="P98" i="71"/>
  <c r="O98" i="71"/>
  <c r="N98" i="71"/>
  <c r="A98" i="71"/>
  <c r="V97" i="71"/>
  <c r="U97" i="71"/>
  <c r="T97" i="71"/>
  <c r="S97" i="71"/>
  <c r="R97" i="71"/>
  <c r="Q97" i="71"/>
  <c r="P97" i="71"/>
  <c r="O97" i="71"/>
  <c r="N97" i="71"/>
  <c r="A97" i="71"/>
  <c r="V96" i="71"/>
  <c r="U96" i="71"/>
  <c r="T96" i="71"/>
  <c r="S96" i="71"/>
  <c r="R96" i="71"/>
  <c r="Q96" i="71"/>
  <c r="P96" i="71"/>
  <c r="O96" i="71"/>
  <c r="N96" i="71"/>
  <c r="A96" i="71"/>
  <c r="V95" i="71"/>
  <c r="U95" i="71"/>
  <c r="T95" i="71"/>
  <c r="S95" i="71"/>
  <c r="R95" i="71"/>
  <c r="Q95" i="71"/>
  <c r="P95" i="71"/>
  <c r="O95" i="71"/>
  <c r="N95" i="71"/>
  <c r="A95" i="71"/>
  <c r="V94" i="71"/>
  <c r="U94" i="71"/>
  <c r="T94" i="71"/>
  <c r="S94" i="71"/>
  <c r="R94" i="71"/>
  <c r="Q94" i="71"/>
  <c r="P94" i="71"/>
  <c r="O94" i="71"/>
  <c r="N94" i="71"/>
  <c r="A94" i="71"/>
  <c r="V93" i="71"/>
  <c r="U93" i="71"/>
  <c r="T93" i="71"/>
  <c r="S93" i="71"/>
  <c r="R93" i="71"/>
  <c r="Q93" i="71"/>
  <c r="P93" i="71"/>
  <c r="O93" i="71"/>
  <c r="N93" i="71"/>
  <c r="A93" i="71"/>
  <c r="V92" i="71"/>
  <c r="U92" i="71"/>
  <c r="T92" i="71"/>
  <c r="S92" i="71"/>
  <c r="R92" i="71"/>
  <c r="Q92" i="71"/>
  <c r="P92" i="71"/>
  <c r="O92" i="71"/>
  <c r="N92" i="71"/>
  <c r="A92" i="71"/>
  <c r="V91" i="71"/>
  <c r="U91" i="71"/>
  <c r="T91" i="71"/>
  <c r="S91" i="71"/>
  <c r="R91" i="71"/>
  <c r="Q91" i="71"/>
  <c r="P91" i="71"/>
  <c r="O91" i="71"/>
  <c r="N91" i="71"/>
  <c r="A91" i="71"/>
  <c r="V90" i="71"/>
  <c r="U90" i="71"/>
  <c r="T90" i="71"/>
  <c r="S90" i="71"/>
  <c r="R90" i="71"/>
  <c r="Q90" i="71"/>
  <c r="P90" i="71"/>
  <c r="O90" i="71"/>
  <c r="N90" i="71"/>
  <c r="A90" i="71"/>
  <c r="V89" i="71"/>
  <c r="U89" i="71"/>
  <c r="T89" i="71"/>
  <c r="S89" i="71"/>
  <c r="R89" i="71"/>
  <c r="Q89" i="71"/>
  <c r="P89" i="71"/>
  <c r="O89" i="71"/>
  <c r="N89" i="71"/>
  <c r="A89" i="71"/>
  <c r="V88" i="71"/>
  <c r="U88" i="71"/>
  <c r="T88" i="71"/>
  <c r="S88" i="71"/>
  <c r="R88" i="71"/>
  <c r="Q88" i="71"/>
  <c r="P88" i="71"/>
  <c r="O88" i="71"/>
  <c r="N88" i="71"/>
  <c r="A88" i="71"/>
  <c r="V87" i="71"/>
  <c r="U87" i="71"/>
  <c r="T87" i="71"/>
  <c r="S87" i="71"/>
  <c r="R87" i="71"/>
  <c r="Q87" i="71"/>
  <c r="P87" i="71"/>
  <c r="O87" i="71"/>
  <c r="N87" i="71"/>
  <c r="A87" i="71"/>
  <c r="V86" i="71"/>
  <c r="U86" i="71"/>
  <c r="T86" i="71"/>
  <c r="S86" i="71"/>
  <c r="R86" i="71"/>
  <c r="Q86" i="71"/>
  <c r="P86" i="71"/>
  <c r="O86" i="71"/>
  <c r="N86" i="71"/>
  <c r="A86" i="71"/>
  <c r="V85" i="71"/>
  <c r="U85" i="71"/>
  <c r="T85" i="71"/>
  <c r="S85" i="71"/>
  <c r="R85" i="71"/>
  <c r="Q85" i="71"/>
  <c r="P85" i="71"/>
  <c r="O85" i="71"/>
  <c r="N85" i="71"/>
  <c r="A85" i="71"/>
  <c r="V84" i="71"/>
  <c r="U84" i="71"/>
  <c r="T84" i="71"/>
  <c r="S84" i="71"/>
  <c r="R84" i="71"/>
  <c r="Q84" i="71"/>
  <c r="P84" i="71"/>
  <c r="O84" i="71"/>
  <c r="N84" i="71"/>
  <c r="A84" i="71"/>
  <c r="V83" i="71"/>
  <c r="U83" i="71"/>
  <c r="T83" i="71"/>
  <c r="S83" i="71"/>
  <c r="R83" i="71"/>
  <c r="Q83" i="71"/>
  <c r="P83" i="71"/>
  <c r="O83" i="71"/>
  <c r="N83" i="71"/>
  <c r="A83" i="71"/>
  <c r="V82" i="71"/>
  <c r="U82" i="71"/>
  <c r="T82" i="71"/>
  <c r="S82" i="71"/>
  <c r="R82" i="71"/>
  <c r="Q82" i="71"/>
  <c r="P82" i="71"/>
  <c r="O82" i="71"/>
  <c r="N82" i="71"/>
  <c r="L82" i="71"/>
  <c r="K82" i="71"/>
  <c r="J82" i="71"/>
  <c r="I82" i="71"/>
  <c r="H82" i="71"/>
  <c r="G82" i="71"/>
  <c r="F82" i="71"/>
  <c r="A82" i="71"/>
  <c r="V81" i="71"/>
  <c r="U81" i="71"/>
  <c r="T81" i="71"/>
  <c r="S81" i="71"/>
  <c r="R81" i="71"/>
  <c r="Q81" i="71"/>
  <c r="P81" i="71"/>
  <c r="O81" i="71"/>
  <c r="N81" i="71"/>
  <c r="A81" i="71"/>
  <c r="V80" i="71"/>
  <c r="U80" i="71"/>
  <c r="T80" i="71"/>
  <c r="S80" i="71"/>
  <c r="R80" i="71"/>
  <c r="Q80" i="71"/>
  <c r="P80" i="71"/>
  <c r="O80" i="71"/>
  <c r="N80" i="71"/>
  <c r="A80" i="71"/>
  <c r="V79" i="71"/>
  <c r="U79" i="71"/>
  <c r="T79" i="71"/>
  <c r="S79" i="71"/>
  <c r="R79" i="71"/>
  <c r="Q79" i="71"/>
  <c r="P79" i="71"/>
  <c r="O79" i="71"/>
  <c r="N79" i="71"/>
  <c r="C79" i="71"/>
  <c r="A79" i="71"/>
  <c r="V78" i="71"/>
  <c r="U78" i="71"/>
  <c r="T78" i="71"/>
  <c r="S78" i="71"/>
  <c r="R78" i="71"/>
  <c r="Q78" i="71"/>
  <c r="P78" i="71"/>
  <c r="O78" i="71"/>
  <c r="N78" i="71"/>
  <c r="C78" i="71"/>
  <c r="A78" i="71"/>
  <c r="V77" i="71"/>
  <c r="U77" i="71"/>
  <c r="T77" i="71"/>
  <c r="S77" i="71"/>
  <c r="R77" i="71"/>
  <c r="Q77" i="71"/>
  <c r="P77" i="71"/>
  <c r="O77" i="71"/>
  <c r="N77" i="71"/>
  <c r="C77" i="71"/>
  <c r="A77" i="71"/>
  <c r="V76" i="71"/>
  <c r="U76" i="71"/>
  <c r="T76" i="71"/>
  <c r="S76" i="71"/>
  <c r="R76" i="71"/>
  <c r="Q76" i="71"/>
  <c r="P76" i="71"/>
  <c r="O76" i="71"/>
  <c r="N76" i="71"/>
  <c r="C76" i="71"/>
  <c r="A76" i="71"/>
  <c r="V75" i="71"/>
  <c r="U75" i="71"/>
  <c r="T75" i="71"/>
  <c r="S75" i="71"/>
  <c r="R75" i="71"/>
  <c r="Q75" i="71"/>
  <c r="P75" i="71"/>
  <c r="O75" i="71"/>
  <c r="N75" i="71"/>
  <c r="A75" i="71"/>
  <c r="V74" i="71"/>
  <c r="U74" i="71"/>
  <c r="T74" i="71"/>
  <c r="S74" i="71"/>
  <c r="R74" i="71"/>
  <c r="Q74" i="71"/>
  <c r="P74" i="71"/>
  <c r="O74" i="71"/>
  <c r="N74" i="71"/>
  <c r="A74" i="71"/>
  <c r="V73" i="71"/>
  <c r="U73" i="71"/>
  <c r="T73" i="71"/>
  <c r="S73" i="71"/>
  <c r="R73" i="71"/>
  <c r="Q73" i="71"/>
  <c r="P73" i="71"/>
  <c r="O73" i="71"/>
  <c r="N73" i="71"/>
  <c r="A73" i="71"/>
  <c r="V72" i="71"/>
  <c r="U72" i="71"/>
  <c r="T72" i="71"/>
  <c r="S72" i="71"/>
  <c r="R72" i="71"/>
  <c r="Q72" i="71"/>
  <c r="P72" i="71"/>
  <c r="O72" i="71"/>
  <c r="N72" i="71"/>
  <c r="A72" i="71"/>
  <c r="V71" i="71"/>
  <c r="U71" i="71"/>
  <c r="T71" i="71"/>
  <c r="S71" i="71"/>
  <c r="R71" i="71"/>
  <c r="Q71" i="71"/>
  <c r="P71" i="71"/>
  <c r="O71" i="71"/>
  <c r="N71" i="71"/>
  <c r="L71" i="71"/>
  <c r="K71" i="71"/>
  <c r="J71" i="71"/>
  <c r="I71" i="71"/>
  <c r="H71" i="71"/>
  <c r="G71" i="71"/>
  <c r="F71" i="71"/>
  <c r="E71" i="71"/>
  <c r="D71" i="71"/>
  <c r="C71" i="71"/>
  <c r="A71" i="71"/>
  <c r="V70" i="71"/>
  <c r="U70" i="71"/>
  <c r="T70" i="71"/>
  <c r="S70" i="71"/>
  <c r="R70" i="71"/>
  <c r="Q70" i="71"/>
  <c r="P70" i="71"/>
  <c r="O70" i="71"/>
  <c r="N70" i="71"/>
  <c r="A70" i="71"/>
  <c r="L69" i="71"/>
  <c r="K69" i="71"/>
  <c r="J69" i="71"/>
  <c r="I69" i="71"/>
  <c r="H69" i="71"/>
  <c r="G69" i="71"/>
  <c r="F69" i="71"/>
  <c r="E69" i="71"/>
  <c r="D69" i="71"/>
  <c r="C69" i="71"/>
  <c r="A69" i="71"/>
  <c r="V68" i="71"/>
  <c r="U68" i="71"/>
  <c r="T68" i="71"/>
  <c r="S68" i="71"/>
  <c r="R68" i="71"/>
  <c r="Q68" i="71"/>
  <c r="P68" i="71"/>
  <c r="O68" i="71"/>
  <c r="N68" i="71"/>
  <c r="C68" i="71"/>
  <c r="A68" i="71"/>
  <c r="V67" i="71"/>
  <c r="U67" i="71"/>
  <c r="T67" i="71"/>
  <c r="S67" i="71"/>
  <c r="R67" i="71"/>
  <c r="Q67" i="71"/>
  <c r="P67" i="71"/>
  <c r="O67" i="71"/>
  <c r="N67" i="71"/>
  <c r="C67" i="71"/>
  <c r="A67" i="71"/>
  <c r="V66" i="71"/>
  <c r="U66" i="71"/>
  <c r="T66" i="71"/>
  <c r="S66" i="71"/>
  <c r="R66" i="71"/>
  <c r="Q66" i="71"/>
  <c r="P66" i="71"/>
  <c r="O66" i="71"/>
  <c r="N66" i="71"/>
  <c r="A66" i="71"/>
  <c r="C65" i="71"/>
  <c r="A65" i="71"/>
  <c r="V64" i="71"/>
  <c r="U64" i="71"/>
  <c r="T64" i="71"/>
  <c r="S64" i="71"/>
  <c r="R64" i="71"/>
  <c r="Q64" i="71"/>
  <c r="P64" i="71"/>
  <c r="O64" i="71"/>
  <c r="N64" i="71"/>
  <c r="C64" i="71"/>
  <c r="A64" i="71"/>
  <c r="V63" i="71"/>
  <c r="U63" i="71"/>
  <c r="T63" i="71"/>
  <c r="S63" i="71"/>
  <c r="R63" i="71"/>
  <c r="Q63" i="71"/>
  <c r="P63" i="71"/>
  <c r="O63" i="71"/>
  <c r="N63" i="71"/>
  <c r="A63" i="71"/>
  <c r="V62" i="71"/>
  <c r="U62" i="71"/>
  <c r="T62" i="71"/>
  <c r="S62" i="71"/>
  <c r="R62" i="71"/>
  <c r="Q62" i="71"/>
  <c r="P62" i="71"/>
  <c r="O62" i="71"/>
  <c r="N62" i="71"/>
  <c r="A62" i="71"/>
  <c r="V61" i="71"/>
  <c r="U61" i="71"/>
  <c r="T61" i="71"/>
  <c r="S61" i="71"/>
  <c r="R61" i="71"/>
  <c r="Q61" i="71"/>
  <c r="P61" i="71"/>
  <c r="O61" i="71"/>
  <c r="N61" i="71"/>
  <c r="A61" i="71"/>
  <c r="V60" i="71"/>
  <c r="U60" i="71"/>
  <c r="T60" i="71"/>
  <c r="S60" i="71"/>
  <c r="R60" i="71"/>
  <c r="Q60" i="71"/>
  <c r="P60" i="71"/>
  <c r="O60" i="71"/>
  <c r="N60" i="71"/>
  <c r="A60" i="71"/>
  <c r="V59" i="71"/>
  <c r="U59" i="71"/>
  <c r="T59" i="71"/>
  <c r="S59" i="71"/>
  <c r="R59" i="71"/>
  <c r="Q59" i="71"/>
  <c r="P59" i="71"/>
  <c r="O59" i="71"/>
  <c r="N59" i="71"/>
  <c r="A59" i="71"/>
  <c r="V58" i="71"/>
  <c r="U58" i="71"/>
  <c r="T58" i="71"/>
  <c r="S58" i="71"/>
  <c r="R58" i="71"/>
  <c r="Q58" i="71"/>
  <c r="P58" i="71"/>
  <c r="O58" i="71"/>
  <c r="N58" i="71"/>
  <c r="C58" i="71"/>
  <c r="A58" i="71"/>
  <c r="V57" i="71"/>
  <c r="U57" i="71"/>
  <c r="T57" i="71"/>
  <c r="S57" i="71"/>
  <c r="R57" i="71"/>
  <c r="Q57" i="71"/>
  <c r="P57" i="71"/>
  <c r="O57" i="71"/>
  <c r="N57" i="71"/>
  <c r="C57" i="71"/>
  <c r="A57" i="71"/>
  <c r="V56" i="71"/>
  <c r="U56" i="71"/>
  <c r="T56" i="71"/>
  <c r="S56" i="71"/>
  <c r="R56" i="71"/>
  <c r="Q56" i="71"/>
  <c r="P56" i="71"/>
  <c r="O56" i="71"/>
  <c r="N56" i="71"/>
  <c r="A56" i="71"/>
  <c r="V55" i="71"/>
  <c r="U55" i="71"/>
  <c r="T55" i="71"/>
  <c r="S55" i="71"/>
  <c r="R55" i="71"/>
  <c r="Q55" i="71"/>
  <c r="P55" i="71"/>
  <c r="O55" i="71"/>
  <c r="N55" i="71"/>
  <c r="A55" i="71"/>
  <c r="V54" i="71"/>
  <c r="U54" i="71"/>
  <c r="T54" i="71"/>
  <c r="S54" i="71"/>
  <c r="R54" i="71"/>
  <c r="Q54" i="71"/>
  <c r="P54" i="71"/>
  <c r="O54" i="71"/>
  <c r="N54" i="71"/>
  <c r="C54" i="71"/>
  <c r="A54" i="71"/>
  <c r="V53" i="71"/>
  <c r="U53" i="71"/>
  <c r="T53" i="71"/>
  <c r="S53" i="71"/>
  <c r="R53" i="71"/>
  <c r="Q53" i="71"/>
  <c r="P53" i="71"/>
  <c r="O53" i="71"/>
  <c r="N53" i="71"/>
  <c r="L53" i="71"/>
  <c r="K53" i="71"/>
  <c r="J53" i="71"/>
  <c r="I53" i="71"/>
  <c r="H53" i="71"/>
  <c r="G53" i="71"/>
  <c r="F53" i="71"/>
  <c r="E53" i="71"/>
  <c r="D53" i="71"/>
  <c r="C53" i="71"/>
  <c r="A53" i="71"/>
  <c r="V52" i="71"/>
  <c r="U52" i="71"/>
  <c r="T52" i="71"/>
  <c r="S52" i="71"/>
  <c r="R52" i="71"/>
  <c r="Q52" i="71"/>
  <c r="P52" i="71"/>
  <c r="O52" i="71"/>
  <c r="N52" i="71"/>
  <c r="L52" i="71"/>
  <c r="K52" i="71"/>
  <c r="J52" i="71"/>
  <c r="I52" i="71"/>
  <c r="H52" i="71"/>
  <c r="G52" i="71"/>
  <c r="F52" i="71"/>
  <c r="E52" i="71"/>
  <c r="D52" i="71"/>
  <c r="C52" i="71"/>
  <c r="A52" i="71"/>
  <c r="V51" i="71"/>
  <c r="U51" i="71"/>
  <c r="T51" i="71"/>
  <c r="S51" i="71"/>
  <c r="R51" i="71"/>
  <c r="Q51" i="71"/>
  <c r="P51" i="71"/>
  <c r="O51" i="71"/>
  <c r="N51" i="71"/>
  <c r="A51" i="71"/>
  <c r="V50" i="71"/>
  <c r="U50" i="71"/>
  <c r="T50" i="71"/>
  <c r="S50" i="71"/>
  <c r="R50" i="71"/>
  <c r="Q50" i="71"/>
  <c r="P50" i="71"/>
  <c r="O50" i="71"/>
  <c r="N50" i="71"/>
  <c r="A50" i="71"/>
  <c r="V49" i="71"/>
  <c r="U49" i="71"/>
  <c r="T49" i="71"/>
  <c r="S49" i="71"/>
  <c r="R49" i="71"/>
  <c r="Q49" i="71"/>
  <c r="P49" i="71"/>
  <c r="O49" i="71"/>
  <c r="N49" i="71"/>
  <c r="A49" i="71"/>
  <c r="V48" i="71"/>
  <c r="U48" i="71"/>
  <c r="T48" i="71"/>
  <c r="S48" i="71"/>
  <c r="R48" i="71"/>
  <c r="Q48" i="71"/>
  <c r="P48" i="71"/>
  <c r="O48" i="71"/>
  <c r="N48" i="71"/>
  <c r="A48" i="71"/>
  <c r="V47" i="71"/>
  <c r="U47" i="71"/>
  <c r="T47" i="71"/>
  <c r="S47" i="71"/>
  <c r="R47" i="71"/>
  <c r="Q47" i="71"/>
  <c r="P47" i="71"/>
  <c r="O47" i="71"/>
  <c r="N47" i="71"/>
  <c r="A47" i="71"/>
  <c r="V46" i="71"/>
  <c r="U46" i="71"/>
  <c r="T46" i="71"/>
  <c r="S46" i="71"/>
  <c r="R46" i="71"/>
  <c r="Q46" i="71"/>
  <c r="P46" i="71"/>
  <c r="O46" i="71"/>
  <c r="N46" i="71"/>
  <c r="A46" i="71"/>
  <c r="V45" i="71"/>
  <c r="U45" i="71"/>
  <c r="T45" i="71"/>
  <c r="S45" i="71"/>
  <c r="R45" i="71"/>
  <c r="Q45" i="71"/>
  <c r="P45" i="71"/>
  <c r="O45" i="71"/>
  <c r="N45" i="71"/>
  <c r="A45" i="71"/>
  <c r="V44" i="71"/>
  <c r="U44" i="71"/>
  <c r="T44" i="71"/>
  <c r="S44" i="71"/>
  <c r="R44" i="71"/>
  <c r="Q44" i="71"/>
  <c r="P44" i="71"/>
  <c r="O44" i="71"/>
  <c r="N44" i="71"/>
  <c r="A44" i="71"/>
  <c r="V43" i="71"/>
  <c r="U43" i="71"/>
  <c r="T43" i="71"/>
  <c r="S43" i="71"/>
  <c r="R43" i="71"/>
  <c r="Q43" i="71"/>
  <c r="P43" i="71"/>
  <c r="O43" i="71"/>
  <c r="N43" i="71"/>
  <c r="L43" i="71"/>
  <c r="K43" i="71"/>
  <c r="J43" i="71"/>
  <c r="I43" i="71"/>
  <c r="H43" i="71"/>
  <c r="G43" i="71"/>
  <c r="F43" i="71"/>
  <c r="E43" i="71"/>
  <c r="D43" i="71"/>
  <c r="C43" i="71"/>
  <c r="A43" i="71"/>
  <c r="V42" i="71"/>
  <c r="U42" i="71"/>
  <c r="T42" i="71"/>
  <c r="S42" i="71"/>
  <c r="R42" i="71"/>
  <c r="Q42" i="71"/>
  <c r="P42" i="71"/>
  <c r="O42" i="71"/>
  <c r="N42" i="71"/>
  <c r="L42" i="71"/>
  <c r="K42" i="71"/>
  <c r="J42" i="71"/>
  <c r="I42" i="71"/>
  <c r="H42" i="71"/>
  <c r="G42" i="71"/>
  <c r="F42" i="71"/>
  <c r="E42" i="71"/>
  <c r="D42" i="71"/>
  <c r="C42" i="71"/>
  <c r="A42" i="71"/>
  <c r="V41" i="71"/>
  <c r="U41" i="71"/>
  <c r="T41" i="71"/>
  <c r="S41" i="71"/>
  <c r="R41" i="71"/>
  <c r="Q41" i="71"/>
  <c r="P41" i="71"/>
  <c r="O41" i="71"/>
  <c r="N41" i="71"/>
  <c r="L41" i="71"/>
  <c r="K41" i="71"/>
  <c r="J41" i="71"/>
  <c r="I41" i="71"/>
  <c r="H41" i="71"/>
  <c r="G41" i="71"/>
  <c r="F41" i="71"/>
  <c r="E41" i="71"/>
  <c r="D41" i="71"/>
  <c r="C41" i="71"/>
  <c r="A41" i="71"/>
  <c r="V40" i="71"/>
  <c r="U40" i="71"/>
  <c r="T40" i="71"/>
  <c r="S40" i="71"/>
  <c r="R40" i="71"/>
  <c r="Q40" i="71"/>
  <c r="P40" i="71"/>
  <c r="O40" i="71"/>
  <c r="N40" i="71"/>
  <c r="A40" i="71"/>
  <c r="V39" i="71"/>
  <c r="U39" i="71"/>
  <c r="T39" i="71"/>
  <c r="S39" i="71"/>
  <c r="R39" i="71"/>
  <c r="Q39" i="71"/>
  <c r="P39" i="71"/>
  <c r="O39" i="71"/>
  <c r="N39" i="71"/>
  <c r="L39" i="71"/>
  <c r="K39" i="71"/>
  <c r="J39" i="71"/>
  <c r="I39" i="71"/>
  <c r="H39" i="71"/>
  <c r="G39" i="71"/>
  <c r="F39" i="71"/>
  <c r="E39" i="71"/>
  <c r="D39" i="71"/>
  <c r="A39" i="71"/>
  <c r="V38" i="71"/>
  <c r="U38" i="71"/>
  <c r="T38" i="71"/>
  <c r="S38" i="71"/>
  <c r="R38" i="71"/>
  <c r="Q38" i="71"/>
  <c r="P38" i="71"/>
  <c r="O38" i="71"/>
  <c r="N38" i="71"/>
  <c r="A38" i="71"/>
  <c r="V37" i="71"/>
  <c r="U37" i="71"/>
  <c r="T37" i="71"/>
  <c r="S37" i="71"/>
  <c r="R37" i="71"/>
  <c r="Q37" i="71"/>
  <c r="P37" i="71"/>
  <c r="O37" i="71"/>
  <c r="N37" i="71"/>
  <c r="L37" i="71"/>
  <c r="K37" i="71"/>
  <c r="J37" i="71"/>
  <c r="I37" i="71"/>
  <c r="H37" i="71"/>
  <c r="G37" i="71"/>
  <c r="F37" i="71"/>
  <c r="E37" i="71"/>
  <c r="D37" i="71"/>
  <c r="C37" i="71"/>
  <c r="A37" i="71"/>
  <c r="V36" i="71"/>
  <c r="U36" i="71"/>
  <c r="T36" i="71"/>
  <c r="S36" i="71"/>
  <c r="R36" i="71"/>
  <c r="Q36" i="71"/>
  <c r="P36" i="71"/>
  <c r="O36" i="71"/>
  <c r="N36" i="71"/>
  <c r="C36" i="71"/>
  <c r="A36" i="71"/>
  <c r="V35" i="71"/>
  <c r="U35" i="71"/>
  <c r="T35" i="71"/>
  <c r="S35" i="71"/>
  <c r="R35" i="71"/>
  <c r="Q35" i="71"/>
  <c r="P35" i="71"/>
  <c r="O35" i="71"/>
  <c r="N35" i="71"/>
  <c r="A35" i="71"/>
  <c r="V34" i="71"/>
  <c r="U34" i="71"/>
  <c r="T34" i="71"/>
  <c r="S34" i="71"/>
  <c r="R34" i="71"/>
  <c r="Q34" i="71"/>
  <c r="P34" i="71"/>
  <c r="O34" i="71"/>
  <c r="N34" i="71"/>
  <c r="L34" i="71"/>
  <c r="K34" i="71"/>
  <c r="J34" i="71"/>
  <c r="I34" i="71"/>
  <c r="H34" i="71"/>
  <c r="G34" i="71"/>
  <c r="F34" i="71"/>
  <c r="E34" i="71"/>
  <c r="D34" i="71"/>
  <c r="C34" i="71"/>
  <c r="A34" i="71"/>
  <c r="V33" i="71"/>
  <c r="U33" i="71"/>
  <c r="T33" i="71"/>
  <c r="S33" i="71"/>
  <c r="R33" i="71"/>
  <c r="Q33" i="71"/>
  <c r="P33" i="71"/>
  <c r="O33" i="71"/>
  <c r="N33" i="71"/>
  <c r="L33" i="71"/>
  <c r="K33" i="71"/>
  <c r="J33" i="71"/>
  <c r="I33" i="71"/>
  <c r="H33" i="71"/>
  <c r="G33" i="71"/>
  <c r="F33" i="71"/>
  <c r="E33" i="71"/>
  <c r="D33" i="71"/>
  <c r="T32" i="71"/>
  <c r="S32" i="71"/>
  <c r="V31" i="71"/>
  <c r="U31" i="71"/>
  <c r="T31" i="71"/>
  <c r="S31" i="71"/>
  <c r="R31" i="71"/>
  <c r="Q31" i="71"/>
  <c r="P31" i="71"/>
  <c r="O31" i="71"/>
  <c r="N31" i="71"/>
  <c r="M31" i="71"/>
  <c r="J20" i="71"/>
  <c r="I20" i="71"/>
  <c r="H20" i="71"/>
  <c r="G20" i="71"/>
  <c r="J19" i="71"/>
  <c r="I19" i="71"/>
  <c r="H19" i="71"/>
  <c r="G19" i="71"/>
  <c r="J18" i="71"/>
  <c r="I18" i="71"/>
  <c r="H18" i="71"/>
  <c r="G18" i="71"/>
  <c r="J17" i="71"/>
  <c r="I17" i="71"/>
  <c r="H17" i="71"/>
  <c r="G17" i="71"/>
  <c r="J16" i="71"/>
  <c r="I16" i="71"/>
  <c r="H16" i="71"/>
  <c r="G16" i="71"/>
  <c r="J15" i="71"/>
  <c r="I15" i="71"/>
  <c r="H15" i="71"/>
  <c r="G15" i="71"/>
  <c r="J14" i="71"/>
  <c r="I14" i="71"/>
  <c r="H14" i="71"/>
  <c r="G14" i="71"/>
  <c r="J13" i="71"/>
  <c r="I13" i="71"/>
  <c r="H13" i="71"/>
  <c r="G13" i="71"/>
  <c r="J12" i="71"/>
  <c r="I12" i="71"/>
  <c r="H12" i="71"/>
  <c r="G12" i="71"/>
  <c r="J11" i="71"/>
  <c r="H11" i="71"/>
  <c r="G11" i="71"/>
  <c r="B7" i="71"/>
  <c r="I11" i="71" s="1"/>
  <c r="C33" i="71" s="1"/>
  <c r="K138" i="14"/>
  <c r="J138" i="14"/>
  <c r="I138" i="14"/>
  <c r="H138" i="14"/>
  <c r="G138" i="14"/>
  <c r="F138" i="14"/>
  <c r="L137" i="14"/>
  <c r="K137" i="14"/>
  <c r="J137" i="14"/>
  <c r="F137" i="14"/>
  <c r="E137" i="14"/>
  <c r="L136" i="14"/>
  <c r="K136" i="14"/>
  <c r="J136" i="14"/>
  <c r="F136" i="14"/>
  <c r="E136" i="14"/>
  <c r="L135" i="14"/>
  <c r="K135" i="14"/>
  <c r="J135" i="14"/>
  <c r="F135" i="14"/>
  <c r="E135" i="14"/>
  <c r="L134" i="14"/>
  <c r="K134" i="14"/>
  <c r="J134" i="14"/>
  <c r="F134" i="14"/>
  <c r="E134" i="14"/>
  <c r="L133" i="14"/>
  <c r="K133" i="14"/>
  <c r="J133" i="14"/>
  <c r="F133" i="14"/>
  <c r="E133" i="14"/>
  <c r="L132" i="14"/>
  <c r="K132" i="14"/>
  <c r="J132" i="14"/>
  <c r="F132" i="14"/>
  <c r="E132" i="14"/>
  <c r="V103" i="14"/>
  <c r="U103" i="14"/>
  <c r="T103" i="14"/>
  <c r="S103" i="14"/>
  <c r="R103" i="14"/>
  <c r="Q103" i="14"/>
  <c r="P103" i="14"/>
  <c r="O103" i="14"/>
  <c r="N103" i="14"/>
  <c r="A103" i="14"/>
  <c r="V102" i="14"/>
  <c r="U102" i="14"/>
  <c r="T102" i="14"/>
  <c r="S102" i="14"/>
  <c r="R102" i="14"/>
  <c r="Q102" i="14"/>
  <c r="P102" i="14"/>
  <c r="O102" i="14"/>
  <c r="N102" i="14"/>
  <c r="A102" i="14"/>
  <c r="V101" i="14"/>
  <c r="U101" i="14"/>
  <c r="T101" i="14"/>
  <c r="S101" i="14"/>
  <c r="R101" i="14"/>
  <c r="Q101" i="14"/>
  <c r="P101" i="14"/>
  <c r="O101" i="14"/>
  <c r="N101" i="14"/>
  <c r="A101" i="14"/>
  <c r="V100" i="14"/>
  <c r="U100" i="14"/>
  <c r="T100" i="14"/>
  <c r="S100" i="14"/>
  <c r="R100" i="14"/>
  <c r="Q100" i="14"/>
  <c r="P100" i="14"/>
  <c r="O100" i="14"/>
  <c r="N100" i="14"/>
  <c r="A100" i="14"/>
  <c r="V99" i="14"/>
  <c r="U99" i="14"/>
  <c r="T99" i="14"/>
  <c r="S99" i="14"/>
  <c r="R99" i="14"/>
  <c r="Q99" i="14"/>
  <c r="P99" i="14"/>
  <c r="O99" i="14"/>
  <c r="N99" i="14"/>
  <c r="A99" i="14"/>
  <c r="V98" i="14"/>
  <c r="U98" i="14"/>
  <c r="T98" i="14"/>
  <c r="S98" i="14"/>
  <c r="R98" i="14"/>
  <c r="Q98" i="14"/>
  <c r="P98" i="14"/>
  <c r="O98" i="14"/>
  <c r="N98" i="14"/>
  <c r="A98" i="14"/>
  <c r="V97" i="14"/>
  <c r="U97" i="14"/>
  <c r="T97" i="14"/>
  <c r="S97" i="14"/>
  <c r="R97" i="14"/>
  <c r="Q97" i="14"/>
  <c r="P97" i="14"/>
  <c r="O97" i="14"/>
  <c r="N97" i="14"/>
  <c r="A97" i="14"/>
  <c r="V96" i="14"/>
  <c r="U96" i="14"/>
  <c r="T96" i="14"/>
  <c r="S96" i="14"/>
  <c r="R96" i="14"/>
  <c r="Q96" i="14"/>
  <c r="P96" i="14"/>
  <c r="O96" i="14"/>
  <c r="N96" i="14"/>
  <c r="A96" i="14"/>
  <c r="V95" i="14"/>
  <c r="U95" i="14"/>
  <c r="T95" i="14"/>
  <c r="S95" i="14"/>
  <c r="R95" i="14"/>
  <c r="Q95" i="14"/>
  <c r="P95" i="14"/>
  <c r="O95" i="14"/>
  <c r="N95" i="14"/>
  <c r="A95" i="14"/>
  <c r="V94" i="14"/>
  <c r="U94" i="14"/>
  <c r="T94" i="14"/>
  <c r="S94" i="14"/>
  <c r="R94" i="14"/>
  <c r="Q94" i="14"/>
  <c r="P94" i="14"/>
  <c r="O94" i="14"/>
  <c r="N94" i="14"/>
  <c r="A94" i="14"/>
  <c r="V93" i="14"/>
  <c r="U93" i="14"/>
  <c r="T93" i="14"/>
  <c r="S93" i="14"/>
  <c r="R93" i="14"/>
  <c r="Q93" i="14"/>
  <c r="P93" i="14"/>
  <c r="O93" i="14"/>
  <c r="N93" i="14"/>
  <c r="A93" i="14"/>
  <c r="V92" i="14"/>
  <c r="U92" i="14"/>
  <c r="T92" i="14"/>
  <c r="S92" i="14"/>
  <c r="R92" i="14"/>
  <c r="Q92" i="14"/>
  <c r="P92" i="14"/>
  <c r="O92" i="14"/>
  <c r="N92" i="14"/>
  <c r="A92" i="14"/>
  <c r="V91" i="14"/>
  <c r="U91" i="14"/>
  <c r="T91" i="14"/>
  <c r="S91" i="14"/>
  <c r="R91" i="14"/>
  <c r="Q91" i="14"/>
  <c r="P91" i="14"/>
  <c r="O91" i="14"/>
  <c r="N91" i="14"/>
  <c r="A91" i="14"/>
  <c r="V90" i="14"/>
  <c r="U90" i="14"/>
  <c r="T90" i="14"/>
  <c r="S90" i="14"/>
  <c r="R90" i="14"/>
  <c r="Q90" i="14"/>
  <c r="P90" i="14"/>
  <c r="O90" i="14"/>
  <c r="N90" i="14"/>
  <c r="A90" i="14"/>
  <c r="V89" i="14"/>
  <c r="U89" i="14"/>
  <c r="T89" i="14"/>
  <c r="S89" i="14"/>
  <c r="R89" i="14"/>
  <c r="Q89" i="14"/>
  <c r="P89" i="14"/>
  <c r="O89" i="14"/>
  <c r="N89" i="14"/>
  <c r="A89" i="14"/>
  <c r="V88" i="14"/>
  <c r="U88" i="14"/>
  <c r="T88" i="14"/>
  <c r="S88" i="14"/>
  <c r="R88" i="14"/>
  <c r="Q88" i="14"/>
  <c r="P88" i="14"/>
  <c r="O88" i="14"/>
  <c r="N88" i="14"/>
  <c r="A88" i="14"/>
  <c r="V87" i="14"/>
  <c r="U87" i="14"/>
  <c r="T87" i="14"/>
  <c r="S87" i="14"/>
  <c r="R87" i="14"/>
  <c r="Q87" i="14"/>
  <c r="P87" i="14"/>
  <c r="O87" i="14"/>
  <c r="N87" i="14"/>
  <c r="A87" i="14"/>
  <c r="V86" i="14"/>
  <c r="U86" i="14"/>
  <c r="T86" i="14"/>
  <c r="S86" i="14"/>
  <c r="R86" i="14"/>
  <c r="Q86" i="14"/>
  <c r="P86" i="14"/>
  <c r="O86" i="14"/>
  <c r="N86" i="14"/>
  <c r="A86" i="14"/>
  <c r="V85" i="14"/>
  <c r="U85" i="14"/>
  <c r="T85" i="14"/>
  <c r="S85" i="14"/>
  <c r="R85" i="14"/>
  <c r="Q85" i="14"/>
  <c r="P85" i="14"/>
  <c r="O85" i="14"/>
  <c r="N85" i="14"/>
  <c r="A85" i="14"/>
  <c r="V84" i="14"/>
  <c r="U84" i="14"/>
  <c r="T84" i="14"/>
  <c r="S84" i="14"/>
  <c r="R84" i="14"/>
  <c r="Q84" i="14"/>
  <c r="P84" i="14"/>
  <c r="O84" i="14"/>
  <c r="N84" i="14"/>
  <c r="A84" i="14"/>
  <c r="V83" i="14"/>
  <c r="U83" i="14"/>
  <c r="T83" i="14"/>
  <c r="S83" i="14"/>
  <c r="R83" i="14"/>
  <c r="Q83" i="14"/>
  <c r="P83" i="14"/>
  <c r="O83" i="14"/>
  <c r="N83" i="14"/>
  <c r="A83" i="14"/>
  <c r="V82" i="14"/>
  <c r="U82" i="14"/>
  <c r="T82" i="14"/>
  <c r="S82" i="14"/>
  <c r="R82" i="14"/>
  <c r="Q82" i="14"/>
  <c r="P82" i="14"/>
  <c r="O82" i="14"/>
  <c r="N82" i="14"/>
  <c r="L82" i="14"/>
  <c r="K82" i="14"/>
  <c r="J82" i="14"/>
  <c r="I82" i="14"/>
  <c r="H82" i="14"/>
  <c r="G82" i="14"/>
  <c r="F82" i="14"/>
  <c r="A82" i="14"/>
  <c r="V81" i="14"/>
  <c r="U81" i="14"/>
  <c r="T81" i="14"/>
  <c r="S81" i="14"/>
  <c r="R81" i="14"/>
  <c r="Q81" i="14"/>
  <c r="P81" i="14"/>
  <c r="O81" i="14"/>
  <c r="N81" i="14"/>
  <c r="A81" i="14"/>
  <c r="V80" i="14"/>
  <c r="U80" i="14"/>
  <c r="T80" i="14"/>
  <c r="S80" i="14"/>
  <c r="R80" i="14"/>
  <c r="Q80" i="14"/>
  <c r="P80" i="14"/>
  <c r="O80" i="14"/>
  <c r="N80" i="14"/>
  <c r="A80" i="14"/>
  <c r="V79" i="14"/>
  <c r="U79" i="14"/>
  <c r="T79" i="14"/>
  <c r="S79" i="14"/>
  <c r="R79" i="14"/>
  <c r="Q79" i="14"/>
  <c r="P79" i="14"/>
  <c r="O79" i="14"/>
  <c r="N79" i="14"/>
  <c r="C79" i="14"/>
  <c r="A79" i="14"/>
  <c r="V78" i="14"/>
  <c r="U78" i="14"/>
  <c r="T78" i="14"/>
  <c r="S78" i="14"/>
  <c r="R78" i="14"/>
  <c r="Q78" i="14"/>
  <c r="P78" i="14"/>
  <c r="O78" i="14"/>
  <c r="N78" i="14"/>
  <c r="C78" i="14"/>
  <c r="A78" i="14"/>
  <c r="V77" i="14"/>
  <c r="U77" i="14"/>
  <c r="T77" i="14"/>
  <c r="S77" i="14"/>
  <c r="R77" i="14"/>
  <c r="Q77" i="14"/>
  <c r="P77" i="14"/>
  <c r="O77" i="14"/>
  <c r="N77" i="14"/>
  <c r="C77" i="14"/>
  <c r="A77" i="14"/>
  <c r="V76" i="14"/>
  <c r="U76" i="14"/>
  <c r="T76" i="14"/>
  <c r="S76" i="14"/>
  <c r="R76" i="14"/>
  <c r="Q76" i="14"/>
  <c r="P76" i="14"/>
  <c r="O76" i="14"/>
  <c r="N76" i="14"/>
  <c r="C76" i="14"/>
  <c r="A76" i="14"/>
  <c r="V75" i="14"/>
  <c r="U75" i="14"/>
  <c r="T75" i="14"/>
  <c r="S75" i="14"/>
  <c r="R75" i="14"/>
  <c r="Q75" i="14"/>
  <c r="P75" i="14"/>
  <c r="O75" i="14"/>
  <c r="N75" i="14"/>
  <c r="A75" i="14"/>
  <c r="V74" i="14"/>
  <c r="U74" i="14"/>
  <c r="T74" i="14"/>
  <c r="S74" i="14"/>
  <c r="R74" i="14"/>
  <c r="Q74" i="14"/>
  <c r="P74" i="14"/>
  <c r="O74" i="14"/>
  <c r="N74" i="14"/>
  <c r="A74" i="14"/>
  <c r="V73" i="14"/>
  <c r="U73" i="14"/>
  <c r="T73" i="14"/>
  <c r="S73" i="14"/>
  <c r="R73" i="14"/>
  <c r="Q73" i="14"/>
  <c r="P73" i="14"/>
  <c r="O73" i="14"/>
  <c r="N73" i="14"/>
  <c r="A73" i="14"/>
  <c r="V72" i="14"/>
  <c r="U72" i="14"/>
  <c r="T72" i="14"/>
  <c r="S72" i="14"/>
  <c r="R72" i="14"/>
  <c r="Q72" i="14"/>
  <c r="P72" i="14"/>
  <c r="O72" i="14"/>
  <c r="N72" i="14"/>
  <c r="A72" i="14"/>
  <c r="V71" i="14"/>
  <c r="U71" i="14"/>
  <c r="T71" i="14"/>
  <c r="S71" i="14"/>
  <c r="R71" i="14"/>
  <c r="Q71" i="14"/>
  <c r="P71" i="14"/>
  <c r="O71" i="14"/>
  <c r="N71" i="14"/>
  <c r="L71" i="14"/>
  <c r="K71" i="14"/>
  <c r="J71" i="14"/>
  <c r="I71" i="14"/>
  <c r="H71" i="14"/>
  <c r="G71" i="14"/>
  <c r="F71" i="14"/>
  <c r="E71" i="14"/>
  <c r="D71" i="14"/>
  <c r="C71" i="14"/>
  <c r="A71" i="14"/>
  <c r="V70" i="14"/>
  <c r="U70" i="14"/>
  <c r="T70" i="14"/>
  <c r="S70" i="14"/>
  <c r="R70" i="14"/>
  <c r="Q70" i="14"/>
  <c r="P70" i="14"/>
  <c r="O70" i="14"/>
  <c r="N70" i="14"/>
  <c r="A70" i="14"/>
  <c r="L69" i="14"/>
  <c r="K69" i="14"/>
  <c r="J69" i="14"/>
  <c r="I69" i="14"/>
  <c r="H69" i="14"/>
  <c r="G69" i="14"/>
  <c r="F69" i="14"/>
  <c r="E69" i="14"/>
  <c r="C69" i="14"/>
  <c r="A69" i="14"/>
  <c r="V68" i="14"/>
  <c r="U68" i="14"/>
  <c r="T68" i="14"/>
  <c r="S68" i="14"/>
  <c r="R68" i="14"/>
  <c r="Q68" i="14"/>
  <c r="P68" i="14"/>
  <c r="O68" i="14"/>
  <c r="N68" i="14"/>
  <c r="C68" i="14"/>
  <c r="A68" i="14"/>
  <c r="V67" i="14"/>
  <c r="U67" i="14"/>
  <c r="T67" i="14"/>
  <c r="S67" i="14"/>
  <c r="R67" i="14"/>
  <c r="Q67" i="14"/>
  <c r="P67" i="14"/>
  <c r="O67" i="14"/>
  <c r="N67" i="14"/>
  <c r="A67" i="14"/>
  <c r="V66" i="14"/>
  <c r="U66" i="14"/>
  <c r="T66" i="14"/>
  <c r="S66" i="14"/>
  <c r="R66" i="14"/>
  <c r="Q66" i="14"/>
  <c r="P66" i="14"/>
  <c r="O66" i="14"/>
  <c r="N66" i="14"/>
  <c r="A66" i="14"/>
  <c r="C65" i="14"/>
  <c r="A65" i="14"/>
  <c r="V64" i="14"/>
  <c r="U64" i="14"/>
  <c r="T64" i="14"/>
  <c r="S64" i="14"/>
  <c r="R64" i="14"/>
  <c r="Q64" i="14"/>
  <c r="P64" i="14"/>
  <c r="O64" i="14"/>
  <c r="N64" i="14"/>
  <c r="C64" i="14"/>
  <c r="A64" i="14"/>
  <c r="V63" i="14"/>
  <c r="U63" i="14"/>
  <c r="T63" i="14"/>
  <c r="S63" i="14"/>
  <c r="R63" i="14"/>
  <c r="Q63" i="14"/>
  <c r="P63" i="14"/>
  <c r="O63" i="14"/>
  <c r="N63" i="14"/>
  <c r="A63" i="14"/>
  <c r="V62" i="14"/>
  <c r="U62" i="14"/>
  <c r="T62" i="14"/>
  <c r="S62" i="14"/>
  <c r="R62" i="14"/>
  <c r="Q62" i="14"/>
  <c r="P62" i="14"/>
  <c r="O62" i="14"/>
  <c r="N62" i="14"/>
  <c r="A62" i="14"/>
  <c r="V61" i="14"/>
  <c r="U61" i="14"/>
  <c r="T61" i="14"/>
  <c r="S61" i="14"/>
  <c r="R61" i="14"/>
  <c r="Q61" i="14"/>
  <c r="P61" i="14"/>
  <c r="O61" i="14"/>
  <c r="N61" i="14"/>
  <c r="A61" i="14"/>
  <c r="V60" i="14"/>
  <c r="U60" i="14"/>
  <c r="T60" i="14"/>
  <c r="S60" i="14"/>
  <c r="R60" i="14"/>
  <c r="Q60" i="14"/>
  <c r="P60" i="14"/>
  <c r="O60" i="14"/>
  <c r="N60" i="14"/>
  <c r="A60" i="14"/>
  <c r="V59" i="14"/>
  <c r="U59" i="14"/>
  <c r="T59" i="14"/>
  <c r="S59" i="14"/>
  <c r="R59" i="14"/>
  <c r="Q59" i="14"/>
  <c r="P59" i="14"/>
  <c r="O59" i="14"/>
  <c r="N59" i="14"/>
  <c r="A59" i="14"/>
  <c r="V58" i="14"/>
  <c r="U58" i="14"/>
  <c r="T58" i="14"/>
  <c r="S58" i="14"/>
  <c r="R58" i="14"/>
  <c r="Q58" i="14"/>
  <c r="P58" i="14"/>
  <c r="O58" i="14"/>
  <c r="N58" i="14"/>
  <c r="C58" i="14"/>
  <c r="A58" i="14"/>
  <c r="V57" i="14"/>
  <c r="U57" i="14"/>
  <c r="T57" i="14"/>
  <c r="S57" i="14"/>
  <c r="R57" i="14"/>
  <c r="Q57" i="14"/>
  <c r="P57" i="14"/>
  <c r="O57" i="14"/>
  <c r="N57" i="14"/>
  <c r="C57" i="14"/>
  <c r="A57" i="14"/>
  <c r="V56" i="14"/>
  <c r="U56" i="14"/>
  <c r="T56" i="14"/>
  <c r="S56" i="14"/>
  <c r="R56" i="14"/>
  <c r="Q56" i="14"/>
  <c r="P56" i="14"/>
  <c r="O56" i="14"/>
  <c r="N56" i="14"/>
  <c r="A56" i="14"/>
  <c r="V55" i="14"/>
  <c r="U55" i="14"/>
  <c r="T55" i="14"/>
  <c r="S55" i="14"/>
  <c r="R55" i="14"/>
  <c r="Q55" i="14"/>
  <c r="P55" i="14"/>
  <c r="O55" i="14"/>
  <c r="N55" i="14"/>
  <c r="A55" i="14"/>
  <c r="V54" i="14"/>
  <c r="U54" i="14"/>
  <c r="T54" i="14"/>
  <c r="S54" i="14"/>
  <c r="R54" i="14"/>
  <c r="Q54" i="14"/>
  <c r="P54" i="14"/>
  <c r="O54" i="14"/>
  <c r="N54" i="14"/>
  <c r="C54" i="14"/>
  <c r="A54" i="14"/>
  <c r="V53" i="14"/>
  <c r="U53" i="14"/>
  <c r="T53" i="14"/>
  <c r="S53" i="14"/>
  <c r="R53" i="14"/>
  <c r="Q53" i="14"/>
  <c r="P53" i="14"/>
  <c r="O53" i="14"/>
  <c r="N53" i="14"/>
  <c r="L53" i="14"/>
  <c r="K53" i="14"/>
  <c r="J53" i="14"/>
  <c r="I53" i="14"/>
  <c r="H53" i="14"/>
  <c r="G53" i="14"/>
  <c r="F53" i="14"/>
  <c r="E53" i="14"/>
  <c r="D53" i="14"/>
  <c r="C53" i="14"/>
  <c r="A53" i="14"/>
  <c r="V52" i="14"/>
  <c r="U52" i="14"/>
  <c r="T52" i="14"/>
  <c r="S52" i="14"/>
  <c r="R52" i="14"/>
  <c r="Q52" i="14"/>
  <c r="P52" i="14"/>
  <c r="O52" i="14"/>
  <c r="N52" i="14"/>
  <c r="L52" i="14"/>
  <c r="K52" i="14"/>
  <c r="J52" i="14"/>
  <c r="I52" i="14"/>
  <c r="H52" i="14"/>
  <c r="G52" i="14"/>
  <c r="F52" i="14"/>
  <c r="E52" i="14"/>
  <c r="D52" i="14"/>
  <c r="C52" i="14"/>
  <c r="A52" i="14"/>
  <c r="V51" i="14"/>
  <c r="U51" i="14"/>
  <c r="T51" i="14"/>
  <c r="S51" i="14"/>
  <c r="R51" i="14"/>
  <c r="Q51" i="14"/>
  <c r="P51" i="14"/>
  <c r="O51" i="14"/>
  <c r="N51" i="14"/>
  <c r="A51" i="14"/>
  <c r="V50" i="14"/>
  <c r="U50" i="14"/>
  <c r="T50" i="14"/>
  <c r="S50" i="14"/>
  <c r="R50" i="14"/>
  <c r="Q50" i="14"/>
  <c r="P50" i="14"/>
  <c r="O50" i="14"/>
  <c r="N50" i="14"/>
  <c r="A50" i="14"/>
  <c r="V49" i="14"/>
  <c r="U49" i="14"/>
  <c r="T49" i="14"/>
  <c r="S49" i="14"/>
  <c r="R49" i="14"/>
  <c r="Q49" i="14"/>
  <c r="P49" i="14"/>
  <c r="O49" i="14"/>
  <c r="N49" i="14"/>
  <c r="A49" i="14"/>
  <c r="V48" i="14"/>
  <c r="U48" i="14"/>
  <c r="T48" i="14"/>
  <c r="S48" i="14"/>
  <c r="R48" i="14"/>
  <c r="Q48" i="14"/>
  <c r="P48" i="14"/>
  <c r="O48" i="14"/>
  <c r="N48" i="14"/>
  <c r="A48" i="14"/>
  <c r="V47" i="14"/>
  <c r="U47" i="14"/>
  <c r="T47" i="14"/>
  <c r="S47" i="14"/>
  <c r="R47" i="14"/>
  <c r="Q47" i="14"/>
  <c r="P47" i="14"/>
  <c r="O47" i="14"/>
  <c r="N47" i="14"/>
  <c r="A47" i="14"/>
  <c r="V46" i="14"/>
  <c r="U46" i="14"/>
  <c r="T46" i="14"/>
  <c r="S46" i="14"/>
  <c r="R46" i="14"/>
  <c r="Q46" i="14"/>
  <c r="P46" i="14"/>
  <c r="O46" i="14"/>
  <c r="N46" i="14"/>
  <c r="A46" i="14"/>
  <c r="V45" i="14"/>
  <c r="U45" i="14"/>
  <c r="T45" i="14"/>
  <c r="S45" i="14"/>
  <c r="R45" i="14"/>
  <c r="Q45" i="14"/>
  <c r="P45" i="14"/>
  <c r="O45" i="14"/>
  <c r="N45" i="14"/>
  <c r="A45" i="14"/>
  <c r="V44" i="14"/>
  <c r="U44" i="14"/>
  <c r="T44" i="14"/>
  <c r="S44" i="14"/>
  <c r="R44" i="14"/>
  <c r="Q44" i="14"/>
  <c r="P44" i="14"/>
  <c r="O44" i="14"/>
  <c r="N44" i="14"/>
  <c r="A44" i="14"/>
  <c r="V43" i="14"/>
  <c r="U43" i="14"/>
  <c r="T43" i="14"/>
  <c r="S43" i="14"/>
  <c r="R43" i="14"/>
  <c r="Q43" i="14"/>
  <c r="P43" i="14"/>
  <c r="O43" i="14"/>
  <c r="N43" i="14"/>
  <c r="L43" i="14"/>
  <c r="K43" i="14"/>
  <c r="J43" i="14"/>
  <c r="I43" i="14"/>
  <c r="H43" i="14"/>
  <c r="G43" i="14"/>
  <c r="F43" i="14"/>
  <c r="E43" i="14"/>
  <c r="D43" i="14"/>
  <c r="C43" i="14"/>
  <c r="A43" i="14"/>
  <c r="V42" i="14"/>
  <c r="U42" i="14"/>
  <c r="T42" i="14"/>
  <c r="S42" i="14"/>
  <c r="R42" i="14"/>
  <c r="Q42" i="14"/>
  <c r="P42" i="14"/>
  <c r="O42" i="14"/>
  <c r="N42" i="14"/>
  <c r="L42" i="14"/>
  <c r="K42" i="14"/>
  <c r="J42" i="14"/>
  <c r="I42" i="14"/>
  <c r="H42" i="14"/>
  <c r="G42" i="14"/>
  <c r="F42" i="14"/>
  <c r="E42" i="14"/>
  <c r="D42" i="14"/>
  <c r="C42" i="14"/>
  <c r="A42" i="14"/>
  <c r="V41" i="14"/>
  <c r="U41" i="14"/>
  <c r="T41" i="14"/>
  <c r="S41" i="14"/>
  <c r="R41" i="14"/>
  <c r="Q41" i="14"/>
  <c r="P41" i="14"/>
  <c r="O41" i="14"/>
  <c r="N41" i="14"/>
  <c r="L41" i="14"/>
  <c r="K41" i="14"/>
  <c r="J41" i="14"/>
  <c r="I41" i="14"/>
  <c r="H41" i="14"/>
  <c r="G41" i="14"/>
  <c r="F41" i="14"/>
  <c r="E41" i="14"/>
  <c r="D41" i="14"/>
  <c r="C41" i="14"/>
  <c r="A41" i="14"/>
  <c r="V40" i="14"/>
  <c r="U40" i="14"/>
  <c r="T40" i="14"/>
  <c r="S40" i="14"/>
  <c r="R40" i="14"/>
  <c r="Q40" i="14"/>
  <c r="P40" i="14"/>
  <c r="O40" i="14"/>
  <c r="N40" i="14"/>
  <c r="A40" i="14"/>
  <c r="V39" i="14"/>
  <c r="U39" i="14"/>
  <c r="T39" i="14"/>
  <c r="S39" i="14"/>
  <c r="R39" i="14"/>
  <c r="Q39" i="14"/>
  <c r="P39" i="14"/>
  <c r="O39" i="14"/>
  <c r="N39" i="14"/>
  <c r="L39" i="14"/>
  <c r="K39" i="14"/>
  <c r="J39" i="14"/>
  <c r="I39" i="14"/>
  <c r="H39" i="14"/>
  <c r="G39" i="14"/>
  <c r="F39" i="14"/>
  <c r="E39" i="14"/>
  <c r="D39" i="14"/>
  <c r="C39" i="14"/>
  <c r="A39" i="14"/>
  <c r="V38" i="14"/>
  <c r="U38" i="14"/>
  <c r="T38" i="14"/>
  <c r="S38" i="14"/>
  <c r="R38" i="14"/>
  <c r="Q38" i="14"/>
  <c r="P38" i="14"/>
  <c r="O38" i="14"/>
  <c r="N38" i="14"/>
  <c r="A38" i="14"/>
  <c r="V37" i="14"/>
  <c r="U37" i="14"/>
  <c r="T37" i="14"/>
  <c r="S37" i="14"/>
  <c r="R37" i="14"/>
  <c r="Q37" i="14"/>
  <c r="P37" i="14"/>
  <c r="O37" i="14"/>
  <c r="N37" i="14"/>
  <c r="L37" i="14"/>
  <c r="K37" i="14"/>
  <c r="J37" i="14"/>
  <c r="I37" i="14"/>
  <c r="H37" i="14"/>
  <c r="G37" i="14"/>
  <c r="F37" i="14"/>
  <c r="E37" i="14"/>
  <c r="D37" i="14"/>
  <c r="C37" i="14"/>
  <c r="A37" i="14"/>
  <c r="V36" i="14"/>
  <c r="U36" i="14"/>
  <c r="T36" i="14"/>
  <c r="S36" i="14"/>
  <c r="R36" i="14"/>
  <c r="Q36" i="14"/>
  <c r="P36" i="14"/>
  <c r="O36" i="14"/>
  <c r="N36" i="14"/>
  <c r="D36" i="14"/>
  <c r="C36" i="14"/>
  <c r="A36" i="14"/>
  <c r="V35" i="14"/>
  <c r="U35" i="14"/>
  <c r="T35" i="14"/>
  <c r="S35" i="14"/>
  <c r="R35" i="14"/>
  <c r="Q35" i="14"/>
  <c r="P35" i="14"/>
  <c r="O35" i="14"/>
  <c r="N35" i="14"/>
  <c r="D35" i="14"/>
  <c r="A35" i="14"/>
  <c r="V34" i="14"/>
  <c r="U34" i="14"/>
  <c r="T34" i="14"/>
  <c r="S34" i="14"/>
  <c r="R34" i="14"/>
  <c r="Q34" i="14"/>
  <c r="P34" i="14"/>
  <c r="O34" i="14"/>
  <c r="N34" i="14"/>
  <c r="L34" i="14"/>
  <c r="K34" i="14"/>
  <c r="J34" i="14"/>
  <c r="I34" i="14"/>
  <c r="H34" i="14"/>
  <c r="G34" i="14"/>
  <c r="F34" i="14"/>
  <c r="E34" i="14"/>
  <c r="D34" i="14"/>
  <c r="C34" i="14"/>
  <c r="A34" i="14"/>
  <c r="V33" i="14"/>
  <c r="U33" i="14"/>
  <c r="T33" i="14"/>
  <c r="S33" i="14"/>
  <c r="R33" i="14"/>
  <c r="Q33" i="14"/>
  <c r="P33" i="14"/>
  <c r="O33" i="14"/>
  <c r="N33" i="14"/>
  <c r="L33" i="14"/>
  <c r="K33" i="14"/>
  <c r="J33" i="14"/>
  <c r="I33" i="14"/>
  <c r="H33" i="14"/>
  <c r="G33" i="14"/>
  <c r="F33" i="14"/>
  <c r="E33" i="14"/>
  <c r="D33" i="14"/>
  <c r="T32" i="14"/>
  <c r="S32" i="14"/>
  <c r="V31" i="14"/>
  <c r="U31" i="14"/>
  <c r="T31" i="14"/>
  <c r="S31" i="14"/>
  <c r="R31" i="14"/>
  <c r="Q31" i="14"/>
  <c r="P31" i="14"/>
  <c r="O31" i="14"/>
  <c r="N31" i="14"/>
  <c r="M31" i="14"/>
  <c r="J20" i="14"/>
  <c r="I20" i="14"/>
  <c r="H20" i="14"/>
  <c r="G20" i="14"/>
  <c r="J19" i="14"/>
  <c r="I19" i="14"/>
  <c r="H19" i="14"/>
  <c r="G19" i="14"/>
  <c r="J18" i="14"/>
  <c r="I18" i="14"/>
  <c r="H18" i="14"/>
  <c r="G18" i="14"/>
  <c r="J17" i="14"/>
  <c r="I17" i="14"/>
  <c r="H17" i="14"/>
  <c r="G17" i="14"/>
  <c r="J16" i="14"/>
  <c r="I16" i="14"/>
  <c r="H16" i="14"/>
  <c r="G16" i="14"/>
  <c r="J15" i="14"/>
  <c r="I15" i="14"/>
  <c r="H15" i="14"/>
  <c r="G15" i="14"/>
  <c r="J14" i="14"/>
  <c r="I14" i="14"/>
  <c r="H14" i="14"/>
  <c r="G14" i="14"/>
  <c r="J13" i="14"/>
  <c r="I13" i="14"/>
  <c r="H13" i="14"/>
  <c r="G13" i="14"/>
  <c r="J12" i="14"/>
  <c r="I12" i="14"/>
  <c r="H12" i="14"/>
  <c r="G12" i="14"/>
  <c r="J11" i="14"/>
  <c r="H11" i="14"/>
  <c r="G11" i="14"/>
  <c r="E7" i="14"/>
  <c r="B7" i="14"/>
  <c r="I11" i="14" s="1"/>
  <c r="C33" i="14" s="1"/>
  <c r="V103" i="101"/>
  <c r="U103" i="101"/>
  <c r="T103" i="101"/>
  <c r="S103" i="101"/>
  <c r="R103" i="101"/>
  <c r="Q103" i="101"/>
  <c r="P103" i="101"/>
  <c r="O103" i="101"/>
  <c r="N103" i="101"/>
  <c r="A103" i="101"/>
  <c r="V102" i="101"/>
  <c r="U102" i="101"/>
  <c r="T102" i="101"/>
  <c r="S102" i="101"/>
  <c r="R102" i="101"/>
  <c r="Q102" i="101"/>
  <c r="P102" i="101"/>
  <c r="O102" i="101"/>
  <c r="N102" i="101"/>
  <c r="A102" i="101"/>
  <c r="V101" i="101"/>
  <c r="U101" i="101"/>
  <c r="T101" i="101"/>
  <c r="S101" i="101"/>
  <c r="R101" i="101"/>
  <c r="Q101" i="101"/>
  <c r="P101" i="101"/>
  <c r="O101" i="101"/>
  <c r="N101" i="101"/>
  <c r="A101" i="101"/>
  <c r="V100" i="101"/>
  <c r="U100" i="101"/>
  <c r="T100" i="101"/>
  <c r="S100" i="101"/>
  <c r="R100" i="101"/>
  <c r="Q100" i="101"/>
  <c r="P100" i="101"/>
  <c r="O100" i="101"/>
  <c r="N100" i="101"/>
  <c r="A100" i="101"/>
  <c r="V99" i="101"/>
  <c r="U99" i="101"/>
  <c r="T99" i="101"/>
  <c r="S99" i="101"/>
  <c r="R99" i="101"/>
  <c r="Q99" i="101"/>
  <c r="P99" i="101"/>
  <c r="O99" i="101"/>
  <c r="N99" i="101"/>
  <c r="A99" i="101"/>
  <c r="V98" i="101"/>
  <c r="U98" i="101"/>
  <c r="T98" i="101"/>
  <c r="S98" i="101"/>
  <c r="R98" i="101"/>
  <c r="Q98" i="101"/>
  <c r="P98" i="101"/>
  <c r="O98" i="101"/>
  <c r="N98" i="101"/>
  <c r="A98" i="101"/>
  <c r="V97" i="101"/>
  <c r="U97" i="101"/>
  <c r="T97" i="101"/>
  <c r="S97" i="101"/>
  <c r="R97" i="101"/>
  <c r="Q97" i="101"/>
  <c r="P97" i="101"/>
  <c r="O97" i="101"/>
  <c r="N97" i="101"/>
  <c r="A97" i="101"/>
  <c r="V96" i="101"/>
  <c r="U96" i="101"/>
  <c r="T96" i="101"/>
  <c r="S96" i="101"/>
  <c r="R96" i="101"/>
  <c r="Q96" i="101"/>
  <c r="P96" i="101"/>
  <c r="O96" i="101"/>
  <c r="N96" i="101"/>
  <c r="A96" i="101"/>
  <c r="V95" i="101"/>
  <c r="U95" i="101"/>
  <c r="T95" i="101"/>
  <c r="S95" i="101"/>
  <c r="R95" i="101"/>
  <c r="Q95" i="101"/>
  <c r="P95" i="101"/>
  <c r="O95" i="101"/>
  <c r="N95" i="101"/>
  <c r="A95" i="101"/>
  <c r="V94" i="101"/>
  <c r="U94" i="101"/>
  <c r="T94" i="101"/>
  <c r="S94" i="101"/>
  <c r="R94" i="101"/>
  <c r="Q94" i="101"/>
  <c r="P94" i="101"/>
  <c r="O94" i="101"/>
  <c r="N94" i="101"/>
  <c r="A94" i="101"/>
  <c r="V93" i="101"/>
  <c r="U93" i="101"/>
  <c r="T93" i="101"/>
  <c r="S93" i="101"/>
  <c r="R93" i="101"/>
  <c r="Q93" i="101"/>
  <c r="P93" i="101"/>
  <c r="O93" i="101"/>
  <c r="N93" i="101"/>
  <c r="A93" i="101"/>
  <c r="V92" i="101"/>
  <c r="U92" i="101"/>
  <c r="T92" i="101"/>
  <c r="S92" i="101"/>
  <c r="R92" i="101"/>
  <c r="Q92" i="101"/>
  <c r="P92" i="101"/>
  <c r="O92" i="101"/>
  <c r="N92" i="101"/>
  <c r="A92" i="101"/>
  <c r="V91" i="101"/>
  <c r="U91" i="101"/>
  <c r="T91" i="101"/>
  <c r="S91" i="101"/>
  <c r="R91" i="101"/>
  <c r="Q91" i="101"/>
  <c r="P91" i="101"/>
  <c r="O91" i="101"/>
  <c r="N91" i="101"/>
  <c r="A91" i="101"/>
  <c r="V90" i="101"/>
  <c r="U90" i="101"/>
  <c r="T90" i="101"/>
  <c r="S90" i="101"/>
  <c r="R90" i="101"/>
  <c r="Q90" i="101"/>
  <c r="P90" i="101"/>
  <c r="O90" i="101"/>
  <c r="N90" i="101"/>
  <c r="A90" i="101"/>
  <c r="V89" i="101"/>
  <c r="U89" i="101"/>
  <c r="T89" i="101"/>
  <c r="S89" i="101"/>
  <c r="R89" i="101"/>
  <c r="Q89" i="101"/>
  <c r="P89" i="101"/>
  <c r="O89" i="101"/>
  <c r="N89" i="101"/>
  <c r="A89" i="101"/>
  <c r="V88" i="101"/>
  <c r="U88" i="101"/>
  <c r="T88" i="101"/>
  <c r="S88" i="101"/>
  <c r="R88" i="101"/>
  <c r="Q88" i="101"/>
  <c r="P88" i="101"/>
  <c r="O88" i="101"/>
  <c r="N88" i="101"/>
  <c r="A88" i="101"/>
  <c r="V87" i="101"/>
  <c r="U87" i="101"/>
  <c r="T87" i="101"/>
  <c r="S87" i="101"/>
  <c r="R87" i="101"/>
  <c r="Q87" i="101"/>
  <c r="P87" i="101"/>
  <c r="O87" i="101"/>
  <c r="N87" i="101"/>
  <c r="A87" i="101"/>
  <c r="V86" i="101"/>
  <c r="U86" i="101"/>
  <c r="T86" i="101"/>
  <c r="S86" i="101"/>
  <c r="R86" i="101"/>
  <c r="Q86" i="101"/>
  <c r="P86" i="101"/>
  <c r="O86" i="101"/>
  <c r="N86" i="101"/>
  <c r="A86" i="101"/>
  <c r="V85" i="101"/>
  <c r="U85" i="101"/>
  <c r="T85" i="101"/>
  <c r="S85" i="101"/>
  <c r="R85" i="101"/>
  <c r="Q85" i="101"/>
  <c r="P85" i="101"/>
  <c r="O85" i="101"/>
  <c r="N85" i="101"/>
  <c r="A85" i="101"/>
  <c r="V84" i="101"/>
  <c r="U84" i="101"/>
  <c r="T84" i="101"/>
  <c r="S84" i="101"/>
  <c r="R84" i="101"/>
  <c r="Q84" i="101"/>
  <c r="P84" i="101"/>
  <c r="O84" i="101"/>
  <c r="N84" i="101"/>
  <c r="A84" i="101"/>
  <c r="V83" i="101"/>
  <c r="U83" i="101"/>
  <c r="T83" i="101"/>
  <c r="S83" i="101"/>
  <c r="R83" i="101"/>
  <c r="Q83" i="101"/>
  <c r="P83" i="101"/>
  <c r="O83" i="101"/>
  <c r="N83" i="101"/>
  <c r="A83" i="101"/>
  <c r="V82" i="101"/>
  <c r="U82" i="101"/>
  <c r="T82" i="101"/>
  <c r="S82" i="101"/>
  <c r="R82" i="101"/>
  <c r="Q82" i="101"/>
  <c r="P82" i="101"/>
  <c r="O82" i="101"/>
  <c r="N82" i="101"/>
  <c r="L82" i="101"/>
  <c r="K82" i="101"/>
  <c r="J82" i="101"/>
  <c r="I82" i="101"/>
  <c r="H82" i="101"/>
  <c r="G82" i="101"/>
  <c r="F82" i="101"/>
  <c r="A82" i="101"/>
  <c r="V81" i="101"/>
  <c r="U81" i="101"/>
  <c r="T81" i="101"/>
  <c r="S81" i="101"/>
  <c r="R81" i="101"/>
  <c r="Q81" i="101"/>
  <c r="P81" i="101"/>
  <c r="O81" i="101"/>
  <c r="N81" i="101"/>
  <c r="A81" i="101"/>
  <c r="V80" i="101"/>
  <c r="U80" i="101"/>
  <c r="T80" i="101"/>
  <c r="S80" i="101"/>
  <c r="R80" i="101"/>
  <c r="Q80" i="101"/>
  <c r="P80" i="101"/>
  <c r="O80" i="101"/>
  <c r="N80" i="101"/>
  <c r="A80" i="101"/>
  <c r="V79" i="101"/>
  <c r="U79" i="101"/>
  <c r="T79" i="101"/>
  <c r="S79" i="101"/>
  <c r="R79" i="101"/>
  <c r="Q79" i="101"/>
  <c r="P79" i="101"/>
  <c r="O79" i="101"/>
  <c r="N79" i="101"/>
  <c r="D79" i="101"/>
  <c r="A79" i="101"/>
  <c r="V78" i="101"/>
  <c r="U78" i="101"/>
  <c r="T78" i="101"/>
  <c r="S78" i="101"/>
  <c r="R78" i="101"/>
  <c r="Q78" i="101"/>
  <c r="P78" i="101"/>
  <c r="O78" i="101"/>
  <c r="N78" i="101"/>
  <c r="D78" i="101"/>
  <c r="A78" i="101"/>
  <c r="V77" i="101"/>
  <c r="U77" i="101"/>
  <c r="T77" i="101"/>
  <c r="S77" i="101"/>
  <c r="R77" i="101"/>
  <c r="Q77" i="101"/>
  <c r="P77" i="101"/>
  <c r="O77" i="101"/>
  <c r="N77" i="101"/>
  <c r="D77" i="101"/>
  <c r="A77" i="101"/>
  <c r="V76" i="101"/>
  <c r="U76" i="101"/>
  <c r="T76" i="101"/>
  <c r="S76" i="101"/>
  <c r="R76" i="101"/>
  <c r="Q76" i="101"/>
  <c r="P76" i="101"/>
  <c r="O76" i="101"/>
  <c r="N76" i="101"/>
  <c r="D76" i="101"/>
  <c r="A76" i="101"/>
  <c r="V75" i="101"/>
  <c r="U75" i="101"/>
  <c r="T75" i="101"/>
  <c r="S75" i="101"/>
  <c r="R75" i="101"/>
  <c r="Q75" i="101"/>
  <c r="P75" i="101"/>
  <c r="O75" i="101"/>
  <c r="N75" i="101"/>
  <c r="A75" i="101"/>
  <c r="V74" i="101"/>
  <c r="U74" i="101"/>
  <c r="T74" i="101"/>
  <c r="S74" i="101"/>
  <c r="R74" i="101"/>
  <c r="Q74" i="101"/>
  <c r="P74" i="101"/>
  <c r="O74" i="101"/>
  <c r="N74" i="101"/>
  <c r="A74" i="101"/>
  <c r="V73" i="101"/>
  <c r="U73" i="101"/>
  <c r="T73" i="101"/>
  <c r="S73" i="101"/>
  <c r="R73" i="101"/>
  <c r="Q73" i="101"/>
  <c r="P73" i="101"/>
  <c r="O73" i="101"/>
  <c r="N73" i="101"/>
  <c r="A73" i="101"/>
  <c r="V72" i="101"/>
  <c r="U72" i="101"/>
  <c r="T72" i="101"/>
  <c r="S72" i="101"/>
  <c r="R72" i="101"/>
  <c r="Q72" i="101"/>
  <c r="P72" i="101"/>
  <c r="O72" i="101"/>
  <c r="N72" i="101"/>
  <c r="A72" i="101"/>
  <c r="V71" i="101"/>
  <c r="U71" i="101"/>
  <c r="T71" i="101"/>
  <c r="S71" i="101"/>
  <c r="R71" i="101"/>
  <c r="Q71" i="101"/>
  <c r="P71" i="101"/>
  <c r="O71" i="101"/>
  <c r="N71" i="101"/>
  <c r="L71" i="101"/>
  <c r="K71" i="101"/>
  <c r="J71" i="101"/>
  <c r="I71" i="101"/>
  <c r="H71" i="101"/>
  <c r="G71" i="101"/>
  <c r="F71" i="101"/>
  <c r="E71" i="101"/>
  <c r="D71" i="101"/>
  <c r="C71" i="101"/>
  <c r="A71" i="101"/>
  <c r="V70" i="101"/>
  <c r="U70" i="101"/>
  <c r="T70" i="101"/>
  <c r="S70" i="101"/>
  <c r="R70" i="101"/>
  <c r="Q70" i="101"/>
  <c r="P70" i="101"/>
  <c r="O70" i="101"/>
  <c r="N70" i="101"/>
  <c r="A70" i="101"/>
  <c r="L69" i="101"/>
  <c r="K69" i="101"/>
  <c r="J69" i="101"/>
  <c r="I69" i="101"/>
  <c r="H69" i="101"/>
  <c r="G69" i="101"/>
  <c r="F69" i="101"/>
  <c r="E69" i="101"/>
  <c r="C69" i="101"/>
  <c r="A69" i="101"/>
  <c r="V68" i="101"/>
  <c r="U68" i="101"/>
  <c r="T68" i="101"/>
  <c r="S68" i="101"/>
  <c r="R68" i="101"/>
  <c r="Q68" i="101"/>
  <c r="P68" i="101"/>
  <c r="O68" i="101"/>
  <c r="N68" i="101"/>
  <c r="C68" i="101"/>
  <c r="A68" i="101"/>
  <c r="V67" i="101"/>
  <c r="U67" i="101"/>
  <c r="T67" i="101"/>
  <c r="S67" i="101"/>
  <c r="R67" i="101"/>
  <c r="Q67" i="101"/>
  <c r="P67" i="101"/>
  <c r="O67" i="101"/>
  <c r="N67" i="101"/>
  <c r="A67" i="101"/>
  <c r="V66" i="101"/>
  <c r="U66" i="101"/>
  <c r="T66" i="101"/>
  <c r="S66" i="101"/>
  <c r="R66" i="101"/>
  <c r="Q66" i="101"/>
  <c r="P66" i="101"/>
  <c r="O66" i="101"/>
  <c r="N66" i="101"/>
  <c r="A66" i="101"/>
  <c r="C65" i="101"/>
  <c r="A65" i="101"/>
  <c r="V64" i="101"/>
  <c r="U64" i="101"/>
  <c r="T64" i="101"/>
  <c r="S64" i="101"/>
  <c r="R64" i="101"/>
  <c r="Q64" i="101"/>
  <c r="P64" i="101"/>
  <c r="O64" i="101"/>
  <c r="N64" i="101"/>
  <c r="C64" i="101"/>
  <c r="A64" i="101"/>
  <c r="V63" i="101"/>
  <c r="U63" i="101"/>
  <c r="T63" i="101"/>
  <c r="S63" i="101"/>
  <c r="R63" i="101"/>
  <c r="Q63" i="101"/>
  <c r="P63" i="101"/>
  <c r="O63" i="101"/>
  <c r="N63" i="101"/>
  <c r="A63" i="101"/>
  <c r="V62" i="101"/>
  <c r="U62" i="101"/>
  <c r="T62" i="101"/>
  <c r="S62" i="101"/>
  <c r="R62" i="101"/>
  <c r="Q62" i="101"/>
  <c r="P62" i="101"/>
  <c r="O62" i="101"/>
  <c r="N62" i="101"/>
  <c r="A62" i="101"/>
  <c r="V61" i="101"/>
  <c r="U61" i="101"/>
  <c r="T61" i="101"/>
  <c r="S61" i="101"/>
  <c r="R61" i="101"/>
  <c r="Q61" i="101"/>
  <c r="P61" i="101"/>
  <c r="O61" i="101"/>
  <c r="N61" i="101"/>
  <c r="A61" i="101"/>
  <c r="V60" i="101"/>
  <c r="U60" i="101"/>
  <c r="T60" i="101"/>
  <c r="S60" i="101"/>
  <c r="R60" i="101"/>
  <c r="Q60" i="101"/>
  <c r="P60" i="101"/>
  <c r="O60" i="101"/>
  <c r="N60" i="101"/>
  <c r="A60" i="101"/>
  <c r="V59" i="101"/>
  <c r="U59" i="101"/>
  <c r="T59" i="101"/>
  <c r="S59" i="101"/>
  <c r="R59" i="101"/>
  <c r="Q59" i="101"/>
  <c r="P59" i="101"/>
  <c r="O59" i="101"/>
  <c r="N59" i="101"/>
  <c r="A59" i="101"/>
  <c r="V58" i="101"/>
  <c r="U58" i="101"/>
  <c r="T58" i="101"/>
  <c r="S58" i="101"/>
  <c r="R58" i="101"/>
  <c r="Q58" i="101"/>
  <c r="P58" i="101"/>
  <c r="O58" i="101"/>
  <c r="N58" i="101"/>
  <c r="C58" i="101"/>
  <c r="A58" i="101"/>
  <c r="V57" i="101"/>
  <c r="U57" i="101"/>
  <c r="T57" i="101"/>
  <c r="S57" i="101"/>
  <c r="R57" i="101"/>
  <c r="Q57" i="101"/>
  <c r="P57" i="101"/>
  <c r="O57" i="101"/>
  <c r="N57" i="101"/>
  <c r="C57" i="101"/>
  <c r="A57" i="101"/>
  <c r="V56" i="101"/>
  <c r="U56" i="101"/>
  <c r="T56" i="101"/>
  <c r="S56" i="101"/>
  <c r="R56" i="101"/>
  <c r="Q56" i="101"/>
  <c r="P56" i="101"/>
  <c r="O56" i="101"/>
  <c r="N56" i="101"/>
  <c r="A56" i="101"/>
  <c r="V55" i="101"/>
  <c r="U55" i="101"/>
  <c r="T55" i="101"/>
  <c r="S55" i="101"/>
  <c r="R55" i="101"/>
  <c r="Q55" i="101"/>
  <c r="P55" i="101"/>
  <c r="O55" i="101"/>
  <c r="N55" i="101"/>
  <c r="A55" i="101"/>
  <c r="V54" i="101"/>
  <c r="U54" i="101"/>
  <c r="T54" i="101"/>
  <c r="S54" i="101"/>
  <c r="R54" i="101"/>
  <c r="Q54" i="101"/>
  <c r="P54" i="101"/>
  <c r="O54" i="101"/>
  <c r="N54" i="101"/>
  <c r="C54" i="101"/>
  <c r="A54" i="101"/>
  <c r="V53" i="101"/>
  <c r="U53" i="101"/>
  <c r="T53" i="101"/>
  <c r="S53" i="101"/>
  <c r="R53" i="101"/>
  <c r="Q53" i="101"/>
  <c r="P53" i="101"/>
  <c r="O53" i="101"/>
  <c r="N53" i="101"/>
  <c r="L53" i="101"/>
  <c r="K53" i="101"/>
  <c r="J53" i="101"/>
  <c r="I53" i="101"/>
  <c r="H53" i="101"/>
  <c r="G53" i="101"/>
  <c r="F53" i="101"/>
  <c r="E53" i="101"/>
  <c r="D53" i="101"/>
  <c r="C53" i="101"/>
  <c r="A53" i="101"/>
  <c r="V52" i="101"/>
  <c r="U52" i="101"/>
  <c r="T52" i="101"/>
  <c r="S52" i="101"/>
  <c r="R52" i="101"/>
  <c r="Q52" i="101"/>
  <c r="P52" i="101"/>
  <c r="O52" i="101"/>
  <c r="N52" i="101"/>
  <c r="L52" i="101"/>
  <c r="K52" i="101"/>
  <c r="J52" i="101"/>
  <c r="I52" i="101"/>
  <c r="H52" i="101"/>
  <c r="G52" i="101"/>
  <c r="F52" i="101"/>
  <c r="E52" i="101"/>
  <c r="D52" i="101"/>
  <c r="C52" i="101"/>
  <c r="A52" i="101"/>
  <c r="V51" i="101"/>
  <c r="U51" i="101"/>
  <c r="T51" i="101"/>
  <c r="S51" i="101"/>
  <c r="R51" i="101"/>
  <c r="Q51" i="101"/>
  <c r="P51" i="101"/>
  <c r="O51" i="101"/>
  <c r="N51" i="101"/>
  <c r="A51" i="101"/>
  <c r="V50" i="101"/>
  <c r="U50" i="101"/>
  <c r="T50" i="101"/>
  <c r="S50" i="101"/>
  <c r="R50" i="101"/>
  <c r="Q50" i="101"/>
  <c r="P50" i="101"/>
  <c r="O50" i="101"/>
  <c r="N50" i="101"/>
  <c r="A50" i="101"/>
  <c r="V49" i="101"/>
  <c r="U49" i="101"/>
  <c r="T49" i="101"/>
  <c r="S49" i="101"/>
  <c r="R49" i="101"/>
  <c r="Q49" i="101"/>
  <c r="P49" i="101"/>
  <c r="O49" i="101"/>
  <c r="N49" i="101"/>
  <c r="A49" i="101"/>
  <c r="V48" i="101"/>
  <c r="U48" i="101"/>
  <c r="T48" i="101"/>
  <c r="S48" i="101"/>
  <c r="R48" i="101"/>
  <c r="Q48" i="101"/>
  <c r="P48" i="101"/>
  <c r="O48" i="101"/>
  <c r="N48" i="101"/>
  <c r="A48" i="101"/>
  <c r="V47" i="101"/>
  <c r="U47" i="101"/>
  <c r="T47" i="101"/>
  <c r="S47" i="101"/>
  <c r="R47" i="101"/>
  <c r="Q47" i="101"/>
  <c r="P47" i="101"/>
  <c r="O47" i="101"/>
  <c r="N47" i="101"/>
  <c r="A47" i="101"/>
  <c r="V46" i="101"/>
  <c r="U46" i="101"/>
  <c r="T46" i="101"/>
  <c r="S46" i="101"/>
  <c r="R46" i="101"/>
  <c r="Q46" i="101"/>
  <c r="P46" i="101"/>
  <c r="O46" i="101"/>
  <c r="N46" i="101"/>
  <c r="A46" i="101"/>
  <c r="V45" i="101"/>
  <c r="U45" i="101"/>
  <c r="T45" i="101"/>
  <c r="S45" i="101"/>
  <c r="R45" i="101"/>
  <c r="Q45" i="101"/>
  <c r="P45" i="101"/>
  <c r="O45" i="101"/>
  <c r="N45" i="101"/>
  <c r="A45" i="101"/>
  <c r="V44" i="101"/>
  <c r="U44" i="101"/>
  <c r="T44" i="101"/>
  <c r="S44" i="101"/>
  <c r="R44" i="101"/>
  <c r="Q44" i="101"/>
  <c r="P44" i="101"/>
  <c r="O44" i="101"/>
  <c r="N44" i="101"/>
  <c r="A44" i="101"/>
  <c r="V43" i="101"/>
  <c r="U43" i="101"/>
  <c r="T43" i="101"/>
  <c r="S43" i="101"/>
  <c r="R43" i="101"/>
  <c r="Q43" i="101"/>
  <c r="P43" i="101"/>
  <c r="O43" i="101"/>
  <c r="N43" i="101"/>
  <c r="L43" i="101"/>
  <c r="K43" i="101"/>
  <c r="J43" i="101"/>
  <c r="I43" i="101"/>
  <c r="H43" i="101"/>
  <c r="G43" i="101"/>
  <c r="F43" i="101"/>
  <c r="E43" i="101"/>
  <c r="D43" i="101"/>
  <c r="C43" i="101"/>
  <c r="A43" i="101"/>
  <c r="V42" i="101"/>
  <c r="U42" i="101"/>
  <c r="T42" i="101"/>
  <c r="S42" i="101"/>
  <c r="R42" i="101"/>
  <c r="Q42" i="101"/>
  <c r="P42" i="101"/>
  <c r="O42" i="101"/>
  <c r="N42" i="101"/>
  <c r="L42" i="101"/>
  <c r="K42" i="101"/>
  <c r="J42" i="101"/>
  <c r="I42" i="101"/>
  <c r="H42" i="101"/>
  <c r="G42" i="101"/>
  <c r="F42" i="101"/>
  <c r="E42" i="101"/>
  <c r="D42" i="101"/>
  <c r="C42" i="101"/>
  <c r="A42" i="101"/>
  <c r="V41" i="101"/>
  <c r="U41" i="101"/>
  <c r="T41" i="101"/>
  <c r="S41" i="101"/>
  <c r="R41" i="101"/>
  <c r="Q41" i="101"/>
  <c r="P41" i="101"/>
  <c r="O41" i="101"/>
  <c r="N41" i="101"/>
  <c r="L41" i="101"/>
  <c r="K41" i="101"/>
  <c r="J41" i="101"/>
  <c r="I41" i="101"/>
  <c r="H41" i="101"/>
  <c r="G41" i="101"/>
  <c r="F41" i="101"/>
  <c r="E41" i="101"/>
  <c r="D41" i="101"/>
  <c r="C41" i="101"/>
  <c r="A41" i="101"/>
  <c r="V40" i="101"/>
  <c r="U40" i="101"/>
  <c r="T40" i="101"/>
  <c r="S40" i="101"/>
  <c r="R40" i="101"/>
  <c r="Q40" i="101"/>
  <c r="P40" i="101"/>
  <c r="O40" i="101"/>
  <c r="N40" i="101"/>
  <c r="A40" i="101"/>
  <c r="V39" i="101"/>
  <c r="U39" i="101"/>
  <c r="T39" i="101"/>
  <c r="S39" i="101"/>
  <c r="R39" i="101"/>
  <c r="Q39" i="101"/>
  <c r="P39" i="101"/>
  <c r="O39" i="101"/>
  <c r="N39" i="101"/>
  <c r="L39" i="101"/>
  <c r="K39" i="101"/>
  <c r="J39" i="101"/>
  <c r="I39" i="101"/>
  <c r="H39" i="101"/>
  <c r="G39" i="101"/>
  <c r="F39" i="101"/>
  <c r="E39" i="101"/>
  <c r="D39" i="101"/>
  <c r="C39" i="101"/>
  <c r="A39" i="101"/>
  <c r="V38" i="101"/>
  <c r="U38" i="101"/>
  <c r="T38" i="101"/>
  <c r="S38" i="101"/>
  <c r="R38" i="101"/>
  <c r="Q38" i="101"/>
  <c r="P38" i="101"/>
  <c r="O38" i="101"/>
  <c r="N38" i="101"/>
  <c r="A38" i="101"/>
  <c r="V37" i="101"/>
  <c r="U37" i="101"/>
  <c r="T37" i="101"/>
  <c r="S37" i="101"/>
  <c r="R37" i="101"/>
  <c r="Q37" i="101"/>
  <c r="P37" i="101"/>
  <c r="O37" i="101"/>
  <c r="N37" i="101"/>
  <c r="L37" i="101"/>
  <c r="K37" i="101"/>
  <c r="J37" i="101"/>
  <c r="I37" i="101"/>
  <c r="H37" i="101"/>
  <c r="G37" i="101"/>
  <c r="F37" i="101"/>
  <c r="E37" i="101"/>
  <c r="D37" i="101"/>
  <c r="C37" i="101"/>
  <c r="A37" i="101"/>
  <c r="V36" i="101"/>
  <c r="U36" i="101"/>
  <c r="T36" i="101"/>
  <c r="S36" i="101"/>
  <c r="R36" i="101"/>
  <c r="Q36" i="101"/>
  <c r="P36" i="101"/>
  <c r="O36" i="101"/>
  <c r="N36" i="101"/>
  <c r="D36" i="101"/>
  <c r="C36" i="101"/>
  <c r="A36" i="101"/>
  <c r="V35" i="101"/>
  <c r="U35" i="101"/>
  <c r="T35" i="101"/>
  <c r="S35" i="101"/>
  <c r="R35" i="101"/>
  <c r="Q35" i="101"/>
  <c r="P35" i="101"/>
  <c r="O35" i="101"/>
  <c r="N35" i="101"/>
  <c r="D35" i="101"/>
  <c r="A35" i="101"/>
  <c r="V34" i="101"/>
  <c r="U34" i="101"/>
  <c r="T34" i="101"/>
  <c r="S34" i="101"/>
  <c r="R34" i="101"/>
  <c r="Q34" i="101"/>
  <c r="P34" i="101"/>
  <c r="O34" i="101"/>
  <c r="N34" i="101"/>
  <c r="L34" i="101"/>
  <c r="K34" i="101"/>
  <c r="J34" i="101"/>
  <c r="I34" i="101"/>
  <c r="H34" i="101"/>
  <c r="G34" i="101"/>
  <c r="F34" i="101"/>
  <c r="E34" i="101"/>
  <c r="D34" i="101"/>
  <c r="C34" i="101"/>
  <c r="A34" i="101"/>
  <c r="V33" i="101"/>
  <c r="U33" i="101"/>
  <c r="T33" i="101"/>
  <c r="S33" i="101"/>
  <c r="R33" i="101"/>
  <c r="Q33" i="101"/>
  <c r="P33" i="101"/>
  <c r="O33" i="101"/>
  <c r="N33" i="101"/>
  <c r="L33" i="101"/>
  <c r="K33" i="101"/>
  <c r="J33" i="101"/>
  <c r="I33" i="101"/>
  <c r="H33" i="101"/>
  <c r="G33" i="101"/>
  <c r="F33" i="101"/>
  <c r="E33" i="101"/>
  <c r="D33" i="101"/>
  <c r="T32" i="101"/>
  <c r="S32" i="101"/>
  <c r="V31" i="101"/>
  <c r="U31" i="101"/>
  <c r="T31" i="101"/>
  <c r="S31" i="101"/>
  <c r="R31" i="101"/>
  <c r="Q31" i="101"/>
  <c r="P31" i="101"/>
  <c r="O31" i="101"/>
  <c r="N31" i="101"/>
  <c r="M31" i="101"/>
  <c r="J20" i="101"/>
  <c r="I20" i="101"/>
  <c r="H20" i="101"/>
  <c r="G20" i="101"/>
  <c r="J19" i="101"/>
  <c r="I19" i="101"/>
  <c r="H19" i="101"/>
  <c r="G19" i="101"/>
  <c r="J18" i="101"/>
  <c r="I18" i="101"/>
  <c r="H18" i="101"/>
  <c r="G18" i="101"/>
  <c r="J17" i="101"/>
  <c r="I17" i="101"/>
  <c r="H17" i="101"/>
  <c r="G17" i="101"/>
  <c r="J16" i="101"/>
  <c r="I16" i="101"/>
  <c r="H16" i="101"/>
  <c r="G16" i="101"/>
  <c r="J15" i="101"/>
  <c r="I15" i="101"/>
  <c r="H15" i="101"/>
  <c r="G15" i="101"/>
  <c r="J14" i="101"/>
  <c r="I14" i="101"/>
  <c r="H14" i="101"/>
  <c r="G14" i="101"/>
  <c r="J13" i="101"/>
  <c r="I13" i="101"/>
  <c r="H13" i="101"/>
  <c r="G13" i="101"/>
  <c r="J12" i="101"/>
  <c r="I12" i="101"/>
  <c r="H12" i="101"/>
  <c r="G12" i="101"/>
  <c r="J11" i="101"/>
  <c r="H11" i="101"/>
  <c r="G11" i="101"/>
  <c r="B7" i="101"/>
  <c r="I11" i="101" s="1"/>
  <c r="C33" i="101" s="1"/>
  <c r="M33" i="101" s="1"/>
  <c r="V103" i="87"/>
  <c r="U103" i="87"/>
  <c r="T103" i="87"/>
  <c r="S103" i="87"/>
  <c r="R103" i="87"/>
  <c r="Q103" i="87"/>
  <c r="P103" i="87"/>
  <c r="O103" i="87"/>
  <c r="A103" i="87"/>
  <c r="V102" i="87"/>
  <c r="U102" i="87"/>
  <c r="T102" i="87"/>
  <c r="S102" i="87"/>
  <c r="R102" i="87"/>
  <c r="Q102" i="87"/>
  <c r="P102" i="87"/>
  <c r="O102" i="87"/>
  <c r="A102" i="87"/>
  <c r="V101" i="87"/>
  <c r="U101" i="87"/>
  <c r="T101" i="87"/>
  <c r="S101" i="87"/>
  <c r="R101" i="87"/>
  <c r="Q101" i="87"/>
  <c r="P101" i="87"/>
  <c r="O101" i="87"/>
  <c r="A101" i="87"/>
  <c r="V100" i="87"/>
  <c r="U100" i="87"/>
  <c r="T100" i="87"/>
  <c r="S100" i="87"/>
  <c r="R100" i="87"/>
  <c r="Q100" i="87"/>
  <c r="P100" i="87"/>
  <c r="O100" i="87"/>
  <c r="A100" i="87"/>
  <c r="V99" i="87"/>
  <c r="U99" i="87"/>
  <c r="T99" i="87"/>
  <c r="S99" i="87"/>
  <c r="R99" i="87"/>
  <c r="Q99" i="87"/>
  <c r="P99" i="87"/>
  <c r="O99" i="87"/>
  <c r="A99" i="87"/>
  <c r="V98" i="87"/>
  <c r="U98" i="87"/>
  <c r="T98" i="87"/>
  <c r="S98" i="87"/>
  <c r="R98" i="87"/>
  <c r="Q98" i="87"/>
  <c r="P98" i="87"/>
  <c r="O98" i="87"/>
  <c r="A98" i="87"/>
  <c r="V97" i="87"/>
  <c r="U97" i="87"/>
  <c r="T97" i="87"/>
  <c r="S97" i="87"/>
  <c r="R97" i="87"/>
  <c r="Q97" i="87"/>
  <c r="P97" i="87"/>
  <c r="O97" i="87"/>
  <c r="A97" i="87"/>
  <c r="V96" i="87"/>
  <c r="U96" i="87"/>
  <c r="T96" i="87"/>
  <c r="S96" i="87"/>
  <c r="R96" i="87"/>
  <c r="Q96" i="87"/>
  <c r="P96" i="87"/>
  <c r="O96" i="87"/>
  <c r="A96" i="87"/>
  <c r="V95" i="87"/>
  <c r="U95" i="87"/>
  <c r="T95" i="87"/>
  <c r="S95" i="87"/>
  <c r="R95" i="87"/>
  <c r="Q95" i="87"/>
  <c r="P95" i="87"/>
  <c r="O95" i="87"/>
  <c r="A95" i="87"/>
  <c r="V94" i="87"/>
  <c r="U94" i="87"/>
  <c r="T94" i="87"/>
  <c r="S94" i="87"/>
  <c r="R94" i="87"/>
  <c r="Q94" i="87"/>
  <c r="P94" i="87"/>
  <c r="O94" i="87"/>
  <c r="A94" i="87"/>
  <c r="V93" i="87"/>
  <c r="U93" i="87"/>
  <c r="T93" i="87"/>
  <c r="S93" i="87"/>
  <c r="R93" i="87"/>
  <c r="Q93" i="87"/>
  <c r="P93" i="87"/>
  <c r="O93" i="87"/>
  <c r="A93" i="87"/>
  <c r="V92" i="87"/>
  <c r="U92" i="87"/>
  <c r="T92" i="87"/>
  <c r="S92" i="87"/>
  <c r="R92" i="87"/>
  <c r="Q92" i="87"/>
  <c r="P92" i="87"/>
  <c r="O92" i="87"/>
  <c r="A92" i="87"/>
  <c r="V91" i="87"/>
  <c r="U91" i="87"/>
  <c r="T91" i="87"/>
  <c r="S91" i="87"/>
  <c r="R91" i="87"/>
  <c r="Q91" i="87"/>
  <c r="P91" i="87"/>
  <c r="O91" i="87"/>
  <c r="A91" i="87"/>
  <c r="V90" i="87"/>
  <c r="U90" i="87"/>
  <c r="T90" i="87"/>
  <c r="S90" i="87"/>
  <c r="R90" i="87"/>
  <c r="Q90" i="87"/>
  <c r="P90" i="87"/>
  <c r="O90" i="87"/>
  <c r="A90" i="87"/>
  <c r="V89" i="87"/>
  <c r="U89" i="87"/>
  <c r="T89" i="87"/>
  <c r="S89" i="87"/>
  <c r="R89" i="87"/>
  <c r="Q89" i="87"/>
  <c r="P89" i="87"/>
  <c r="O89" i="87"/>
  <c r="A89" i="87"/>
  <c r="V88" i="87"/>
  <c r="U88" i="87"/>
  <c r="T88" i="87"/>
  <c r="S88" i="87"/>
  <c r="R88" i="87"/>
  <c r="Q88" i="87"/>
  <c r="P88" i="87"/>
  <c r="O88" i="87"/>
  <c r="A88" i="87"/>
  <c r="V87" i="87"/>
  <c r="U87" i="87"/>
  <c r="T87" i="87"/>
  <c r="S87" i="87"/>
  <c r="R87" i="87"/>
  <c r="Q87" i="87"/>
  <c r="P87" i="87"/>
  <c r="O87" i="87"/>
  <c r="A87" i="87"/>
  <c r="V86" i="87"/>
  <c r="U86" i="87"/>
  <c r="T86" i="87"/>
  <c r="S86" i="87"/>
  <c r="R86" i="87"/>
  <c r="Q86" i="87"/>
  <c r="P86" i="87"/>
  <c r="O86" i="87"/>
  <c r="A86" i="87"/>
  <c r="V85" i="87"/>
  <c r="U85" i="87"/>
  <c r="T85" i="87"/>
  <c r="S85" i="87"/>
  <c r="R85" i="87"/>
  <c r="Q85" i="87"/>
  <c r="P85" i="87"/>
  <c r="O85" i="87"/>
  <c r="A85" i="87"/>
  <c r="V84" i="87"/>
  <c r="U84" i="87"/>
  <c r="T84" i="87"/>
  <c r="S84" i="87"/>
  <c r="R84" i="87"/>
  <c r="Q84" i="87"/>
  <c r="P84" i="87"/>
  <c r="O84" i="87"/>
  <c r="A84" i="87"/>
  <c r="V83" i="87"/>
  <c r="U83" i="87"/>
  <c r="T83" i="87"/>
  <c r="S83" i="87"/>
  <c r="R83" i="87"/>
  <c r="Q83" i="87"/>
  <c r="P83" i="87"/>
  <c r="O83" i="87"/>
  <c r="A83" i="87"/>
  <c r="V82" i="87"/>
  <c r="U82" i="87"/>
  <c r="T82" i="87"/>
  <c r="S82" i="87"/>
  <c r="R82" i="87"/>
  <c r="Q82" i="87"/>
  <c r="P82" i="87"/>
  <c r="O82" i="87"/>
  <c r="L82" i="87"/>
  <c r="K82" i="87"/>
  <c r="J82" i="87"/>
  <c r="I82" i="87"/>
  <c r="H82" i="87"/>
  <c r="G82" i="87"/>
  <c r="F82" i="87"/>
  <c r="A82" i="87"/>
  <c r="V81" i="87"/>
  <c r="U81" i="87"/>
  <c r="T81" i="87"/>
  <c r="S81" i="87"/>
  <c r="R81" i="87"/>
  <c r="Q81" i="87"/>
  <c r="P81" i="87"/>
  <c r="O81" i="87"/>
  <c r="A81" i="87"/>
  <c r="V80" i="87"/>
  <c r="U80" i="87"/>
  <c r="T80" i="87"/>
  <c r="S80" i="87"/>
  <c r="R80" i="87"/>
  <c r="Q80" i="87"/>
  <c r="P80" i="87"/>
  <c r="O80" i="87"/>
  <c r="A80" i="87"/>
  <c r="V79" i="87"/>
  <c r="U79" i="87"/>
  <c r="T79" i="87"/>
  <c r="S79" i="87"/>
  <c r="R79" i="87"/>
  <c r="Q79" i="87"/>
  <c r="P79" i="87"/>
  <c r="O79" i="87"/>
  <c r="D79" i="87"/>
  <c r="A79" i="87"/>
  <c r="V78" i="87"/>
  <c r="U78" i="87"/>
  <c r="T78" i="87"/>
  <c r="S78" i="87"/>
  <c r="R78" i="87"/>
  <c r="Q78" i="87"/>
  <c r="P78" i="87"/>
  <c r="O78" i="87"/>
  <c r="D78" i="87"/>
  <c r="A78" i="87"/>
  <c r="V77" i="87"/>
  <c r="U77" i="87"/>
  <c r="T77" i="87"/>
  <c r="S77" i="87"/>
  <c r="R77" i="87"/>
  <c r="Q77" i="87"/>
  <c r="P77" i="87"/>
  <c r="O77" i="87"/>
  <c r="D77" i="87"/>
  <c r="A77" i="87"/>
  <c r="V76" i="87"/>
  <c r="U76" i="87"/>
  <c r="T76" i="87"/>
  <c r="S76" i="87"/>
  <c r="R76" i="87"/>
  <c r="Q76" i="87"/>
  <c r="P76" i="87"/>
  <c r="O76" i="87"/>
  <c r="D76" i="87"/>
  <c r="A76" i="87"/>
  <c r="V75" i="87"/>
  <c r="U75" i="87"/>
  <c r="T75" i="87"/>
  <c r="S75" i="87"/>
  <c r="R75" i="87"/>
  <c r="Q75" i="87"/>
  <c r="P75" i="87"/>
  <c r="O75" i="87"/>
  <c r="A75" i="87"/>
  <c r="V74" i="87"/>
  <c r="U74" i="87"/>
  <c r="T74" i="87"/>
  <c r="S74" i="87"/>
  <c r="R74" i="87"/>
  <c r="Q74" i="87"/>
  <c r="P74" i="87"/>
  <c r="O74" i="87"/>
  <c r="A74" i="87"/>
  <c r="V73" i="87"/>
  <c r="U73" i="87"/>
  <c r="T73" i="87"/>
  <c r="S73" i="87"/>
  <c r="R73" i="87"/>
  <c r="Q73" i="87"/>
  <c r="P73" i="87"/>
  <c r="O73" i="87"/>
  <c r="A73" i="87"/>
  <c r="V72" i="87"/>
  <c r="U72" i="87"/>
  <c r="T72" i="87"/>
  <c r="S72" i="87"/>
  <c r="R72" i="87"/>
  <c r="Q72" i="87"/>
  <c r="P72" i="87"/>
  <c r="O72" i="87"/>
  <c r="A72" i="87"/>
  <c r="V71" i="87"/>
  <c r="U71" i="87"/>
  <c r="T71" i="87"/>
  <c r="S71" i="87"/>
  <c r="R71" i="87"/>
  <c r="Q71" i="87"/>
  <c r="P71" i="87"/>
  <c r="O71" i="87"/>
  <c r="L71" i="87"/>
  <c r="K71" i="87"/>
  <c r="J71" i="87"/>
  <c r="I71" i="87"/>
  <c r="H71" i="87"/>
  <c r="G71" i="87"/>
  <c r="F71" i="87"/>
  <c r="E71" i="87"/>
  <c r="D71" i="87"/>
  <c r="C71" i="87"/>
  <c r="A71" i="87"/>
  <c r="V70" i="87"/>
  <c r="U70" i="87"/>
  <c r="T70" i="87"/>
  <c r="S70" i="87"/>
  <c r="R70" i="87"/>
  <c r="Q70" i="87"/>
  <c r="P70" i="87"/>
  <c r="O70" i="87"/>
  <c r="A70" i="87"/>
  <c r="L69" i="87"/>
  <c r="K69" i="87"/>
  <c r="J69" i="87"/>
  <c r="I69" i="87"/>
  <c r="H69" i="87"/>
  <c r="G69" i="87"/>
  <c r="F69" i="87"/>
  <c r="E69" i="87"/>
  <c r="D69" i="87"/>
  <c r="C69" i="87"/>
  <c r="A69" i="87"/>
  <c r="V68" i="87"/>
  <c r="U68" i="87"/>
  <c r="T68" i="87"/>
  <c r="S68" i="87"/>
  <c r="R68" i="87"/>
  <c r="Q68" i="87"/>
  <c r="P68" i="87"/>
  <c r="O68" i="87"/>
  <c r="D68" i="87"/>
  <c r="C68" i="87"/>
  <c r="A68" i="87"/>
  <c r="V67" i="87"/>
  <c r="U67" i="87"/>
  <c r="T67" i="87"/>
  <c r="S67" i="87"/>
  <c r="R67" i="87"/>
  <c r="Q67" i="87"/>
  <c r="P67" i="87"/>
  <c r="O67" i="87"/>
  <c r="A67" i="87"/>
  <c r="V66" i="87"/>
  <c r="U66" i="87"/>
  <c r="T66" i="87"/>
  <c r="S66" i="87"/>
  <c r="R66" i="87"/>
  <c r="Q66" i="87"/>
  <c r="P66" i="87"/>
  <c r="O66" i="87"/>
  <c r="A66" i="87"/>
  <c r="D65" i="87"/>
  <c r="C65" i="87"/>
  <c r="A65" i="87"/>
  <c r="V64" i="87"/>
  <c r="U64" i="87"/>
  <c r="T64" i="87"/>
  <c r="S64" i="87"/>
  <c r="R64" i="87"/>
  <c r="Q64" i="87"/>
  <c r="P64" i="87"/>
  <c r="O64" i="87"/>
  <c r="D64" i="87"/>
  <c r="C64" i="87"/>
  <c r="A64" i="87"/>
  <c r="V63" i="87"/>
  <c r="U63" i="87"/>
  <c r="T63" i="87"/>
  <c r="S63" i="87"/>
  <c r="R63" i="87"/>
  <c r="Q63" i="87"/>
  <c r="P63" i="87"/>
  <c r="O63" i="87"/>
  <c r="A63" i="87"/>
  <c r="V62" i="87"/>
  <c r="U62" i="87"/>
  <c r="T62" i="87"/>
  <c r="S62" i="87"/>
  <c r="R62" i="87"/>
  <c r="Q62" i="87"/>
  <c r="P62" i="87"/>
  <c r="O62" i="87"/>
  <c r="A62" i="87"/>
  <c r="V61" i="87"/>
  <c r="U61" i="87"/>
  <c r="T61" i="87"/>
  <c r="S61" i="87"/>
  <c r="R61" i="87"/>
  <c r="Q61" i="87"/>
  <c r="P61" i="87"/>
  <c r="O61" i="87"/>
  <c r="A61" i="87"/>
  <c r="V60" i="87"/>
  <c r="U60" i="87"/>
  <c r="T60" i="87"/>
  <c r="S60" i="87"/>
  <c r="R60" i="87"/>
  <c r="Q60" i="87"/>
  <c r="P60" i="87"/>
  <c r="O60" i="87"/>
  <c r="A60" i="87"/>
  <c r="V59" i="87"/>
  <c r="U59" i="87"/>
  <c r="T59" i="87"/>
  <c r="S59" i="87"/>
  <c r="R59" i="87"/>
  <c r="Q59" i="87"/>
  <c r="P59" i="87"/>
  <c r="O59" i="87"/>
  <c r="A59" i="87"/>
  <c r="V58" i="87"/>
  <c r="U58" i="87"/>
  <c r="T58" i="87"/>
  <c r="S58" i="87"/>
  <c r="R58" i="87"/>
  <c r="Q58" i="87"/>
  <c r="P58" i="87"/>
  <c r="O58" i="87"/>
  <c r="D58" i="87"/>
  <c r="C58" i="87"/>
  <c r="A58" i="87"/>
  <c r="V57" i="87"/>
  <c r="U57" i="87"/>
  <c r="T57" i="87"/>
  <c r="S57" i="87"/>
  <c r="R57" i="87"/>
  <c r="Q57" i="87"/>
  <c r="P57" i="87"/>
  <c r="O57" i="87"/>
  <c r="C57" i="87"/>
  <c r="D57" i="87" s="1"/>
  <c r="A57" i="87"/>
  <c r="V56" i="87"/>
  <c r="U56" i="87"/>
  <c r="T56" i="87"/>
  <c r="S56" i="87"/>
  <c r="R56" i="87"/>
  <c r="Q56" i="87"/>
  <c r="P56" i="87"/>
  <c r="O56" i="87"/>
  <c r="A56" i="87"/>
  <c r="V55" i="87"/>
  <c r="U55" i="87"/>
  <c r="T55" i="87"/>
  <c r="S55" i="87"/>
  <c r="R55" i="87"/>
  <c r="Q55" i="87"/>
  <c r="P55" i="87"/>
  <c r="O55" i="87"/>
  <c r="A55" i="87"/>
  <c r="V54" i="87"/>
  <c r="U54" i="87"/>
  <c r="T54" i="87"/>
  <c r="S54" i="87"/>
  <c r="R54" i="87"/>
  <c r="Q54" i="87"/>
  <c r="P54" i="87"/>
  <c r="O54" i="87"/>
  <c r="D54" i="87"/>
  <c r="C54" i="87"/>
  <c r="A54" i="87"/>
  <c r="V53" i="87"/>
  <c r="U53" i="87"/>
  <c r="T53" i="87"/>
  <c r="S53" i="87"/>
  <c r="R53" i="87"/>
  <c r="Q53" i="87"/>
  <c r="P53" i="87"/>
  <c r="O53" i="87"/>
  <c r="L53" i="87"/>
  <c r="K53" i="87"/>
  <c r="J53" i="87"/>
  <c r="I53" i="87"/>
  <c r="H53" i="87"/>
  <c r="G53" i="87"/>
  <c r="F53" i="87"/>
  <c r="E53" i="87"/>
  <c r="D53" i="87"/>
  <c r="C53" i="87"/>
  <c r="A53" i="87"/>
  <c r="V52" i="87"/>
  <c r="U52" i="87"/>
  <c r="T52" i="87"/>
  <c r="S52" i="87"/>
  <c r="R52" i="87"/>
  <c r="Q52" i="87"/>
  <c r="P52" i="87"/>
  <c r="O52" i="87"/>
  <c r="L52" i="87"/>
  <c r="K52" i="87"/>
  <c r="J52" i="87"/>
  <c r="I52" i="87"/>
  <c r="H52" i="87"/>
  <c r="G52" i="87"/>
  <c r="F52" i="87"/>
  <c r="E52" i="87"/>
  <c r="D52" i="87"/>
  <c r="C52" i="87"/>
  <c r="A52" i="87"/>
  <c r="V51" i="87"/>
  <c r="U51" i="87"/>
  <c r="T51" i="87"/>
  <c r="S51" i="87"/>
  <c r="R51" i="87"/>
  <c r="Q51" i="87"/>
  <c r="P51" i="87"/>
  <c r="O51" i="87"/>
  <c r="A51" i="87"/>
  <c r="V50" i="87"/>
  <c r="U50" i="87"/>
  <c r="T50" i="87"/>
  <c r="S50" i="87"/>
  <c r="R50" i="87"/>
  <c r="Q50" i="87"/>
  <c r="P50" i="87"/>
  <c r="O50" i="87"/>
  <c r="A50" i="87"/>
  <c r="V49" i="87"/>
  <c r="U49" i="87"/>
  <c r="T49" i="87"/>
  <c r="S49" i="87"/>
  <c r="R49" i="87"/>
  <c r="Q49" i="87"/>
  <c r="P49" i="87"/>
  <c r="O49" i="87"/>
  <c r="A49" i="87"/>
  <c r="V48" i="87"/>
  <c r="U48" i="87"/>
  <c r="T48" i="87"/>
  <c r="S48" i="87"/>
  <c r="R48" i="87"/>
  <c r="Q48" i="87"/>
  <c r="P48" i="87"/>
  <c r="O48" i="87"/>
  <c r="A48" i="87"/>
  <c r="V47" i="87"/>
  <c r="U47" i="87"/>
  <c r="T47" i="87"/>
  <c r="S47" i="87"/>
  <c r="R47" i="87"/>
  <c r="Q47" i="87"/>
  <c r="P47" i="87"/>
  <c r="O47" i="87"/>
  <c r="A47" i="87"/>
  <c r="V46" i="87"/>
  <c r="U46" i="87"/>
  <c r="T46" i="87"/>
  <c r="S46" i="87"/>
  <c r="R46" i="87"/>
  <c r="Q46" i="87"/>
  <c r="P46" i="87"/>
  <c r="O46" i="87"/>
  <c r="A46" i="87"/>
  <c r="V45" i="87"/>
  <c r="U45" i="87"/>
  <c r="T45" i="87"/>
  <c r="S45" i="87"/>
  <c r="R45" i="87"/>
  <c r="Q45" i="87"/>
  <c r="P45" i="87"/>
  <c r="O45" i="87"/>
  <c r="A45" i="87"/>
  <c r="V44" i="87"/>
  <c r="U44" i="87"/>
  <c r="T44" i="87"/>
  <c r="S44" i="87"/>
  <c r="R44" i="87"/>
  <c r="Q44" i="87"/>
  <c r="P44" i="87"/>
  <c r="O44" i="87"/>
  <c r="A44" i="87"/>
  <c r="V43" i="87"/>
  <c r="U43" i="87"/>
  <c r="T43" i="87"/>
  <c r="S43" i="87"/>
  <c r="R43" i="87"/>
  <c r="Q43" i="87"/>
  <c r="P43" i="87"/>
  <c r="O43" i="87"/>
  <c r="L43" i="87"/>
  <c r="K43" i="87"/>
  <c r="J43" i="87"/>
  <c r="I43" i="87"/>
  <c r="H43" i="87"/>
  <c r="G43" i="87"/>
  <c r="F43" i="87"/>
  <c r="E43" i="87"/>
  <c r="D43" i="87"/>
  <c r="C43" i="87"/>
  <c r="A43" i="87"/>
  <c r="V42" i="87"/>
  <c r="U42" i="87"/>
  <c r="T42" i="87"/>
  <c r="S42" i="87"/>
  <c r="R42" i="87"/>
  <c r="Q42" i="87"/>
  <c r="P42" i="87"/>
  <c r="O42" i="87"/>
  <c r="L42" i="87"/>
  <c r="K42" i="87"/>
  <c r="J42" i="87"/>
  <c r="I42" i="87"/>
  <c r="H42" i="87"/>
  <c r="G42" i="87"/>
  <c r="F42" i="87"/>
  <c r="E42" i="87"/>
  <c r="D42" i="87"/>
  <c r="C42" i="87"/>
  <c r="A42" i="87"/>
  <c r="V41" i="87"/>
  <c r="U41" i="87"/>
  <c r="T41" i="87"/>
  <c r="S41" i="87"/>
  <c r="R41" i="87"/>
  <c r="Q41" i="87"/>
  <c r="P41" i="87"/>
  <c r="O41" i="87"/>
  <c r="L41" i="87"/>
  <c r="K41" i="87"/>
  <c r="J41" i="87"/>
  <c r="I41" i="87"/>
  <c r="H41" i="87"/>
  <c r="G41" i="87"/>
  <c r="F41" i="87"/>
  <c r="E41" i="87"/>
  <c r="D41" i="87"/>
  <c r="C41" i="87"/>
  <c r="A41" i="87"/>
  <c r="V40" i="87"/>
  <c r="U40" i="87"/>
  <c r="T40" i="87"/>
  <c r="S40" i="87"/>
  <c r="R40" i="87"/>
  <c r="Q40" i="87"/>
  <c r="P40" i="87"/>
  <c r="O40" i="87"/>
  <c r="A40" i="87"/>
  <c r="V39" i="87"/>
  <c r="U39" i="87"/>
  <c r="T39" i="87"/>
  <c r="S39" i="87"/>
  <c r="R39" i="87"/>
  <c r="Q39" i="87"/>
  <c r="P39" i="87"/>
  <c r="O39" i="87"/>
  <c r="L39" i="87"/>
  <c r="K39" i="87"/>
  <c r="J39" i="87"/>
  <c r="I39" i="87"/>
  <c r="H39" i="87"/>
  <c r="G39" i="87"/>
  <c r="F39" i="87"/>
  <c r="E39" i="87"/>
  <c r="D39" i="87"/>
  <c r="C39" i="87"/>
  <c r="A39" i="87"/>
  <c r="V38" i="87"/>
  <c r="U38" i="87"/>
  <c r="T38" i="87"/>
  <c r="S38" i="87"/>
  <c r="R38" i="87"/>
  <c r="Q38" i="87"/>
  <c r="P38" i="87"/>
  <c r="O38" i="87"/>
  <c r="A38" i="87"/>
  <c r="V37" i="87"/>
  <c r="U37" i="87"/>
  <c r="T37" i="87"/>
  <c r="S37" i="87"/>
  <c r="R37" i="87"/>
  <c r="Q37" i="87"/>
  <c r="P37" i="87"/>
  <c r="O37" i="87"/>
  <c r="L37" i="87"/>
  <c r="K37" i="87"/>
  <c r="J37" i="87"/>
  <c r="I37" i="87"/>
  <c r="H37" i="87"/>
  <c r="G37" i="87"/>
  <c r="F37" i="87"/>
  <c r="E37" i="87"/>
  <c r="D37" i="87"/>
  <c r="C37" i="87"/>
  <c r="A37" i="87"/>
  <c r="V36" i="87"/>
  <c r="U36" i="87"/>
  <c r="T36" i="87"/>
  <c r="S36" i="87"/>
  <c r="R36" i="87"/>
  <c r="Q36" i="87"/>
  <c r="P36" i="87"/>
  <c r="O36" i="87"/>
  <c r="D36" i="87"/>
  <c r="C36" i="87"/>
  <c r="A36" i="87"/>
  <c r="V35" i="87"/>
  <c r="U35" i="87"/>
  <c r="T35" i="87"/>
  <c r="S35" i="87"/>
  <c r="R35" i="87"/>
  <c r="Q35" i="87"/>
  <c r="P35" i="87"/>
  <c r="O35" i="87"/>
  <c r="A35" i="87"/>
  <c r="V34" i="87"/>
  <c r="U34" i="87"/>
  <c r="T34" i="87"/>
  <c r="S34" i="87"/>
  <c r="R34" i="87"/>
  <c r="Q34" i="87"/>
  <c r="P34" i="87"/>
  <c r="O34" i="87"/>
  <c r="L34" i="87"/>
  <c r="K34" i="87"/>
  <c r="J34" i="87"/>
  <c r="I34" i="87"/>
  <c r="H34" i="87"/>
  <c r="G34" i="87"/>
  <c r="F34" i="87"/>
  <c r="E34" i="87"/>
  <c r="D34" i="87"/>
  <c r="C34" i="87"/>
  <c r="A34" i="87"/>
  <c r="V33" i="87"/>
  <c r="U33" i="87"/>
  <c r="T33" i="87"/>
  <c r="S33" i="87"/>
  <c r="R33" i="87"/>
  <c r="Q33" i="87"/>
  <c r="P33" i="87"/>
  <c r="O33" i="87"/>
  <c r="L33" i="87"/>
  <c r="K33" i="87"/>
  <c r="J33" i="87"/>
  <c r="I33" i="87"/>
  <c r="H33" i="87"/>
  <c r="G33" i="87"/>
  <c r="F33" i="87"/>
  <c r="E33" i="87"/>
  <c r="T32" i="87"/>
  <c r="S32" i="87"/>
  <c r="V31" i="87"/>
  <c r="U31" i="87"/>
  <c r="T31" i="87"/>
  <c r="S31" i="87"/>
  <c r="R31" i="87"/>
  <c r="Q31" i="87"/>
  <c r="P31" i="87"/>
  <c r="O31" i="87"/>
  <c r="N31" i="87"/>
  <c r="M31" i="87"/>
  <c r="J20" i="87"/>
  <c r="I20" i="87"/>
  <c r="H20" i="87"/>
  <c r="G20" i="87"/>
  <c r="J19" i="87"/>
  <c r="I19" i="87"/>
  <c r="H19" i="87"/>
  <c r="G19" i="87"/>
  <c r="J18" i="87"/>
  <c r="I18" i="87"/>
  <c r="H18" i="87"/>
  <c r="G18" i="87"/>
  <c r="J17" i="87"/>
  <c r="I17" i="87"/>
  <c r="H17" i="87"/>
  <c r="G17" i="87"/>
  <c r="J16" i="87"/>
  <c r="I16" i="87"/>
  <c r="H16" i="87"/>
  <c r="G16" i="87"/>
  <c r="J15" i="87"/>
  <c r="I15" i="87"/>
  <c r="H15" i="87"/>
  <c r="G15" i="87"/>
  <c r="J14" i="87"/>
  <c r="I14" i="87"/>
  <c r="H14" i="87"/>
  <c r="G14" i="87"/>
  <c r="J13" i="87"/>
  <c r="I13" i="87"/>
  <c r="H13" i="87"/>
  <c r="G13" i="87"/>
  <c r="J12" i="87"/>
  <c r="H12" i="87"/>
  <c r="G12" i="87"/>
  <c r="J11" i="87"/>
  <c r="H11" i="87"/>
  <c r="G11" i="87"/>
  <c r="B7" i="87"/>
  <c r="K131" i="86"/>
  <c r="J131" i="86"/>
  <c r="I131" i="86"/>
  <c r="H131" i="86"/>
  <c r="G131" i="86"/>
  <c r="L130" i="86"/>
  <c r="I130" i="86"/>
  <c r="G130" i="86"/>
  <c r="D130" i="86"/>
  <c r="L129" i="86"/>
  <c r="I129" i="86"/>
  <c r="G129" i="86"/>
  <c r="D129" i="86"/>
  <c r="L128" i="86"/>
  <c r="I128" i="86"/>
  <c r="G128" i="86"/>
  <c r="D128" i="86"/>
  <c r="L127" i="86"/>
  <c r="I127" i="86"/>
  <c r="G127" i="86"/>
  <c r="D127" i="86"/>
  <c r="L126" i="86"/>
  <c r="I126" i="86"/>
  <c r="G126" i="86"/>
  <c r="D126" i="86"/>
  <c r="L125" i="86"/>
  <c r="I125" i="86"/>
  <c r="G125" i="86"/>
  <c r="D125" i="86"/>
  <c r="L124" i="86"/>
  <c r="I124" i="86"/>
  <c r="G124" i="86"/>
  <c r="D124" i="86"/>
  <c r="L123" i="86"/>
  <c r="I123" i="86"/>
  <c r="G123" i="86"/>
  <c r="D123" i="86"/>
  <c r="L122" i="86"/>
  <c r="I122" i="86"/>
  <c r="G122" i="86"/>
  <c r="D122" i="86"/>
  <c r="L121" i="86"/>
  <c r="I121" i="86"/>
  <c r="G121" i="86"/>
  <c r="D121" i="86"/>
  <c r="V103" i="86"/>
  <c r="U103" i="86"/>
  <c r="T103" i="86"/>
  <c r="S103" i="86"/>
  <c r="R103" i="86"/>
  <c r="Q103" i="86"/>
  <c r="P103" i="86"/>
  <c r="O103" i="86"/>
  <c r="A103" i="86"/>
  <c r="V102" i="86"/>
  <c r="U102" i="86"/>
  <c r="T102" i="86"/>
  <c r="S102" i="86"/>
  <c r="R102" i="86"/>
  <c r="Q102" i="86"/>
  <c r="P102" i="86"/>
  <c r="O102" i="86"/>
  <c r="A102" i="86"/>
  <c r="V101" i="86"/>
  <c r="U101" i="86"/>
  <c r="T101" i="86"/>
  <c r="S101" i="86"/>
  <c r="R101" i="86"/>
  <c r="Q101" i="86"/>
  <c r="P101" i="86"/>
  <c r="O101" i="86"/>
  <c r="A101" i="86"/>
  <c r="V100" i="86"/>
  <c r="U100" i="86"/>
  <c r="T100" i="86"/>
  <c r="S100" i="86"/>
  <c r="R100" i="86"/>
  <c r="Q100" i="86"/>
  <c r="P100" i="86"/>
  <c r="O100" i="86"/>
  <c r="A100" i="86"/>
  <c r="V99" i="86"/>
  <c r="U99" i="86"/>
  <c r="T99" i="86"/>
  <c r="S99" i="86"/>
  <c r="R99" i="86"/>
  <c r="Q99" i="86"/>
  <c r="P99" i="86"/>
  <c r="O99" i="86"/>
  <c r="A99" i="86"/>
  <c r="V98" i="86"/>
  <c r="U98" i="86"/>
  <c r="T98" i="86"/>
  <c r="S98" i="86"/>
  <c r="R98" i="86"/>
  <c r="Q98" i="86"/>
  <c r="P98" i="86"/>
  <c r="O98" i="86"/>
  <c r="A98" i="86"/>
  <c r="V97" i="86"/>
  <c r="U97" i="86"/>
  <c r="T97" i="86"/>
  <c r="S97" i="86"/>
  <c r="R97" i="86"/>
  <c r="Q97" i="86"/>
  <c r="P97" i="86"/>
  <c r="O97" i="86"/>
  <c r="A97" i="86"/>
  <c r="V96" i="86"/>
  <c r="U96" i="86"/>
  <c r="T96" i="86"/>
  <c r="S96" i="86"/>
  <c r="R96" i="86"/>
  <c r="Q96" i="86"/>
  <c r="P96" i="86"/>
  <c r="O96" i="86"/>
  <c r="A96" i="86"/>
  <c r="V95" i="86"/>
  <c r="U95" i="86"/>
  <c r="T95" i="86"/>
  <c r="S95" i="86"/>
  <c r="R95" i="86"/>
  <c r="Q95" i="86"/>
  <c r="P95" i="86"/>
  <c r="O95" i="86"/>
  <c r="A95" i="86"/>
  <c r="V94" i="86"/>
  <c r="U94" i="86"/>
  <c r="T94" i="86"/>
  <c r="S94" i="86"/>
  <c r="R94" i="86"/>
  <c r="Q94" i="86"/>
  <c r="P94" i="86"/>
  <c r="O94" i="86"/>
  <c r="A94" i="86"/>
  <c r="V93" i="86"/>
  <c r="U93" i="86"/>
  <c r="T93" i="86"/>
  <c r="S93" i="86"/>
  <c r="R93" i="86"/>
  <c r="Q93" i="86"/>
  <c r="P93" i="86"/>
  <c r="O93" i="86"/>
  <c r="A93" i="86"/>
  <c r="V92" i="86"/>
  <c r="U92" i="86"/>
  <c r="T92" i="86"/>
  <c r="S92" i="86"/>
  <c r="R92" i="86"/>
  <c r="Q92" i="86"/>
  <c r="P92" i="86"/>
  <c r="O92" i="86"/>
  <c r="A92" i="86"/>
  <c r="V91" i="86"/>
  <c r="U91" i="86"/>
  <c r="T91" i="86"/>
  <c r="S91" i="86"/>
  <c r="R91" i="86"/>
  <c r="Q91" i="86"/>
  <c r="P91" i="86"/>
  <c r="O91" i="86"/>
  <c r="A91" i="86"/>
  <c r="V90" i="86"/>
  <c r="U90" i="86"/>
  <c r="T90" i="86"/>
  <c r="S90" i="86"/>
  <c r="R90" i="86"/>
  <c r="Q90" i="86"/>
  <c r="P90" i="86"/>
  <c r="O90" i="86"/>
  <c r="A90" i="86"/>
  <c r="V89" i="86"/>
  <c r="U89" i="86"/>
  <c r="T89" i="86"/>
  <c r="S89" i="86"/>
  <c r="R89" i="86"/>
  <c r="Q89" i="86"/>
  <c r="P89" i="86"/>
  <c r="O89" i="86"/>
  <c r="A89" i="86"/>
  <c r="V88" i="86"/>
  <c r="U88" i="86"/>
  <c r="T88" i="86"/>
  <c r="S88" i="86"/>
  <c r="R88" i="86"/>
  <c r="Q88" i="86"/>
  <c r="P88" i="86"/>
  <c r="O88" i="86"/>
  <c r="A88" i="86"/>
  <c r="V87" i="86"/>
  <c r="U87" i="86"/>
  <c r="T87" i="86"/>
  <c r="S87" i="86"/>
  <c r="R87" i="86"/>
  <c r="Q87" i="86"/>
  <c r="P87" i="86"/>
  <c r="O87" i="86"/>
  <c r="A87" i="86"/>
  <c r="V86" i="86"/>
  <c r="U86" i="86"/>
  <c r="T86" i="86"/>
  <c r="S86" i="86"/>
  <c r="R86" i="86"/>
  <c r="Q86" i="86"/>
  <c r="P86" i="86"/>
  <c r="O86" i="86"/>
  <c r="A86" i="86"/>
  <c r="V85" i="86"/>
  <c r="U85" i="86"/>
  <c r="T85" i="86"/>
  <c r="S85" i="86"/>
  <c r="R85" i="86"/>
  <c r="Q85" i="86"/>
  <c r="P85" i="86"/>
  <c r="O85" i="86"/>
  <c r="A85" i="86"/>
  <c r="V84" i="86"/>
  <c r="U84" i="86"/>
  <c r="T84" i="86"/>
  <c r="S84" i="86"/>
  <c r="R84" i="86"/>
  <c r="Q84" i="86"/>
  <c r="P84" i="86"/>
  <c r="O84" i="86"/>
  <c r="A84" i="86"/>
  <c r="V83" i="86"/>
  <c r="U83" i="86"/>
  <c r="T83" i="86"/>
  <c r="S83" i="86"/>
  <c r="R83" i="86"/>
  <c r="Q83" i="86"/>
  <c r="P83" i="86"/>
  <c r="O83" i="86"/>
  <c r="A83" i="86"/>
  <c r="V82" i="86"/>
  <c r="U82" i="86"/>
  <c r="T82" i="86"/>
  <c r="S82" i="86"/>
  <c r="R82" i="86"/>
  <c r="Q82" i="86"/>
  <c r="P82" i="86"/>
  <c r="O82" i="86"/>
  <c r="L82" i="86"/>
  <c r="K82" i="86"/>
  <c r="J82" i="86"/>
  <c r="I82" i="86"/>
  <c r="H82" i="86"/>
  <c r="G82" i="86"/>
  <c r="F82" i="86"/>
  <c r="A82" i="86"/>
  <c r="V81" i="86"/>
  <c r="U81" i="86"/>
  <c r="T81" i="86"/>
  <c r="S81" i="86"/>
  <c r="R81" i="86"/>
  <c r="Q81" i="86"/>
  <c r="P81" i="86"/>
  <c r="O81" i="86"/>
  <c r="A81" i="86"/>
  <c r="V80" i="86"/>
  <c r="U80" i="86"/>
  <c r="T80" i="86"/>
  <c r="S80" i="86"/>
  <c r="R80" i="86"/>
  <c r="Q80" i="86"/>
  <c r="P80" i="86"/>
  <c r="O80" i="86"/>
  <c r="A80" i="86"/>
  <c r="V79" i="86"/>
  <c r="U79" i="86"/>
  <c r="T79" i="86"/>
  <c r="S79" i="86"/>
  <c r="R79" i="86"/>
  <c r="Q79" i="86"/>
  <c r="P79" i="86"/>
  <c r="O79" i="86"/>
  <c r="D79" i="86"/>
  <c r="A79" i="86"/>
  <c r="V78" i="86"/>
  <c r="U78" i="86"/>
  <c r="T78" i="86"/>
  <c r="S78" i="86"/>
  <c r="R78" i="86"/>
  <c r="Q78" i="86"/>
  <c r="P78" i="86"/>
  <c r="O78" i="86"/>
  <c r="D78" i="86"/>
  <c r="A78" i="86"/>
  <c r="V77" i="86"/>
  <c r="U77" i="86"/>
  <c r="T77" i="86"/>
  <c r="S77" i="86"/>
  <c r="R77" i="86"/>
  <c r="Q77" i="86"/>
  <c r="P77" i="86"/>
  <c r="O77" i="86"/>
  <c r="D77" i="86"/>
  <c r="A77" i="86"/>
  <c r="V76" i="86"/>
  <c r="U76" i="86"/>
  <c r="T76" i="86"/>
  <c r="S76" i="86"/>
  <c r="R76" i="86"/>
  <c r="Q76" i="86"/>
  <c r="P76" i="86"/>
  <c r="O76" i="86"/>
  <c r="D76" i="86"/>
  <c r="A76" i="86"/>
  <c r="V75" i="86"/>
  <c r="U75" i="86"/>
  <c r="T75" i="86"/>
  <c r="S75" i="86"/>
  <c r="R75" i="86"/>
  <c r="Q75" i="86"/>
  <c r="P75" i="86"/>
  <c r="O75" i="86"/>
  <c r="A75" i="86"/>
  <c r="V74" i="86"/>
  <c r="U74" i="86"/>
  <c r="T74" i="86"/>
  <c r="S74" i="86"/>
  <c r="R74" i="86"/>
  <c r="Q74" i="86"/>
  <c r="P74" i="86"/>
  <c r="O74" i="86"/>
  <c r="A74" i="86"/>
  <c r="V73" i="86"/>
  <c r="U73" i="86"/>
  <c r="T73" i="86"/>
  <c r="S73" i="86"/>
  <c r="R73" i="86"/>
  <c r="Q73" i="86"/>
  <c r="P73" i="86"/>
  <c r="O73" i="86"/>
  <c r="A73" i="86"/>
  <c r="V72" i="86"/>
  <c r="U72" i="86"/>
  <c r="T72" i="86"/>
  <c r="S72" i="86"/>
  <c r="R72" i="86"/>
  <c r="Q72" i="86"/>
  <c r="P72" i="86"/>
  <c r="O72" i="86"/>
  <c r="A72" i="86"/>
  <c r="V71" i="86"/>
  <c r="U71" i="86"/>
  <c r="T71" i="86"/>
  <c r="S71" i="86"/>
  <c r="R71" i="86"/>
  <c r="Q71" i="86"/>
  <c r="P71" i="86"/>
  <c r="O71" i="86"/>
  <c r="L71" i="86"/>
  <c r="K71" i="86"/>
  <c r="J71" i="86"/>
  <c r="I71" i="86"/>
  <c r="H71" i="86"/>
  <c r="G71" i="86"/>
  <c r="F71" i="86"/>
  <c r="E71" i="86"/>
  <c r="D71" i="86"/>
  <c r="C71" i="86"/>
  <c r="A71" i="86"/>
  <c r="V70" i="86"/>
  <c r="U70" i="86"/>
  <c r="T70" i="86"/>
  <c r="S70" i="86"/>
  <c r="R70" i="86"/>
  <c r="Q70" i="86"/>
  <c r="P70" i="86"/>
  <c r="O70" i="86"/>
  <c r="A70" i="86"/>
  <c r="L69" i="86"/>
  <c r="K69" i="86"/>
  <c r="J69" i="86"/>
  <c r="I69" i="86"/>
  <c r="H69" i="86"/>
  <c r="G69" i="86"/>
  <c r="F69" i="86"/>
  <c r="E69" i="86"/>
  <c r="D69" i="86"/>
  <c r="C69" i="86"/>
  <c r="A69" i="86"/>
  <c r="V68" i="86"/>
  <c r="U68" i="86"/>
  <c r="T68" i="86"/>
  <c r="S68" i="86"/>
  <c r="R68" i="86"/>
  <c r="Q68" i="86"/>
  <c r="P68" i="86"/>
  <c r="O68" i="86"/>
  <c r="D68" i="86"/>
  <c r="C68" i="86"/>
  <c r="A68" i="86"/>
  <c r="V67" i="86"/>
  <c r="U67" i="86"/>
  <c r="T67" i="86"/>
  <c r="S67" i="86"/>
  <c r="R67" i="86"/>
  <c r="Q67" i="86"/>
  <c r="P67" i="86"/>
  <c r="O67" i="86"/>
  <c r="A67" i="86"/>
  <c r="V66" i="86"/>
  <c r="U66" i="86"/>
  <c r="T66" i="86"/>
  <c r="S66" i="86"/>
  <c r="R66" i="86"/>
  <c r="Q66" i="86"/>
  <c r="P66" i="86"/>
  <c r="O66" i="86"/>
  <c r="A66" i="86"/>
  <c r="D65" i="86"/>
  <c r="C65" i="86"/>
  <c r="A65" i="86"/>
  <c r="V64" i="86"/>
  <c r="U64" i="86"/>
  <c r="T64" i="86"/>
  <c r="S64" i="86"/>
  <c r="R64" i="86"/>
  <c r="Q64" i="86"/>
  <c r="P64" i="86"/>
  <c r="O64" i="86"/>
  <c r="D64" i="86"/>
  <c r="C64" i="86"/>
  <c r="A64" i="86"/>
  <c r="V63" i="86"/>
  <c r="U63" i="86"/>
  <c r="T63" i="86"/>
  <c r="S63" i="86"/>
  <c r="R63" i="86"/>
  <c r="Q63" i="86"/>
  <c r="P63" i="86"/>
  <c r="O63" i="86"/>
  <c r="A63" i="86"/>
  <c r="V62" i="86"/>
  <c r="U62" i="86"/>
  <c r="T62" i="86"/>
  <c r="S62" i="86"/>
  <c r="R62" i="86"/>
  <c r="Q62" i="86"/>
  <c r="P62" i="86"/>
  <c r="O62" i="86"/>
  <c r="A62" i="86"/>
  <c r="V61" i="86"/>
  <c r="U61" i="86"/>
  <c r="T61" i="86"/>
  <c r="S61" i="86"/>
  <c r="R61" i="86"/>
  <c r="Q61" i="86"/>
  <c r="P61" i="86"/>
  <c r="O61" i="86"/>
  <c r="A61" i="86"/>
  <c r="V60" i="86"/>
  <c r="U60" i="86"/>
  <c r="T60" i="86"/>
  <c r="S60" i="86"/>
  <c r="R60" i="86"/>
  <c r="Q60" i="86"/>
  <c r="P60" i="86"/>
  <c r="O60" i="86"/>
  <c r="A60" i="86"/>
  <c r="V59" i="86"/>
  <c r="U59" i="86"/>
  <c r="T59" i="86"/>
  <c r="S59" i="86"/>
  <c r="R59" i="86"/>
  <c r="Q59" i="86"/>
  <c r="P59" i="86"/>
  <c r="O59" i="86"/>
  <c r="A59" i="86"/>
  <c r="V58" i="86"/>
  <c r="U58" i="86"/>
  <c r="T58" i="86"/>
  <c r="S58" i="86"/>
  <c r="R58" i="86"/>
  <c r="Q58" i="86"/>
  <c r="P58" i="86"/>
  <c r="O58" i="86"/>
  <c r="D58" i="86"/>
  <c r="C58" i="86"/>
  <c r="A58" i="86"/>
  <c r="V57" i="86"/>
  <c r="U57" i="86"/>
  <c r="T57" i="86"/>
  <c r="S57" i="86"/>
  <c r="R57" i="86"/>
  <c r="Q57" i="86"/>
  <c r="P57" i="86"/>
  <c r="O57" i="86"/>
  <c r="D57" i="86"/>
  <c r="C57" i="86"/>
  <c r="A57" i="86"/>
  <c r="V56" i="86"/>
  <c r="U56" i="86"/>
  <c r="T56" i="86"/>
  <c r="S56" i="86"/>
  <c r="R56" i="86"/>
  <c r="Q56" i="86"/>
  <c r="P56" i="86"/>
  <c r="O56" i="86"/>
  <c r="A56" i="86"/>
  <c r="V55" i="86"/>
  <c r="U55" i="86"/>
  <c r="T55" i="86"/>
  <c r="S55" i="86"/>
  <c r="R55" i="86"/>
  <c r="Q55" i="86"/>
  <c r="P55" i="86"/>
  <c r="O55" i="86"/>
  <c r="A55" i="86"/>
  <c r="V54" i="86"/>
  <c r="U54" i="86"/>
  <c r="T54" i="86"/>
  <c r="S54" i="86"/>
  <c r="R54" i="86"/>
  <c r="Q54" i="86"/>
  <c r="P54" i="86"/>
  <c r="O54" i="86"/>
  <c r="D54" i="86"/>
  <c r="C54" i="86"/>
  <c r="A54" i="86"/>
  <c r="V53" i="86"/>
  <c r="U53" i="86"/>
  <c r="T53" i="86"/>
  <c r="S53" i="86"/>
  <c r="R53" i="86"/>
  <c r="Q53" i="86"/>
  <c r="P53" i="86"/>
  <c r="O53" i="86"/>
  <c r="L53" i="86"/>
  <c r="K53" i="86"/>
  <c r="J53" i="86"/>
  <c r="I53" i="86"/>
  <c r="H53" i="86"/>
  <c r="G53" i="86"/>
  <c r="F53" i="86"/>
  <c r="E53" i="86"/>
  <c r="D53" i="86"/>
  <c r="C53" i="86"/>
  <c r="A53" i="86"/>
  <c r="V52" i="86"/>
  <c r="U52" i="86"/>
  <c r="T52" i="86"/>
  <c r="S52" i="86"/>
  <c r="R52" i="86"/>
  <c r="Q52" i="86"/>
  <c r="P52" i="86"/>
  <c r="O52" i="86"/>
  <c r="L52" i="86"/>
  <c r="K52" i="86"/>
  <c r="J52" i="86"/>
  <c r="I52" i="86"/>
  <c r="H52" i="86"/>
  <c r="G52" i="86"/>
  <c r="F52" i="86"/>
  <c r="E52" i="86"/>
  <c r="D52" i="86"/>
  <c r="C52" i="86"/>
  <c r="A52" i="86"/>
  <c r="V51" i="86"/>
  <c r="U51" i="86"/>
  <c r="T51" i="86"/>
  <c r="S51" i="86"/>
  <c r="R51" i="86"/>
  <c r="Q51" i="86"/>
  <c r="P51" i="86"/>
  <c r="O51" i="86"/>
  <c r="A51" i="86"/>
  <c r="V50" i="86"/>
  <c r="U50" i="86"/>
  <c r="T50" i="86"/>
  <c r="S50" i="86"/>
  <c r="R50" i="86"/>
  <c r="Q50" i="86"/>
  <c r="P50" i="86"/>
  <c r="O50" i="86"/>
  <c r="A50" i="86"/>
  <c r="V49" i="86"/>
  <c r="U49" i="86"/>
  <c r="T49" i="86"/>
  <c r="S49" i="86"/>
  <c r="R49" i="86"/>
  <c r="Q49" i="86"/>
  <c r="P49" i="86"/>
  <c r="O49" i="86"/>
  <c r="A49" i="86"/>
  <c r="V48" i="86"/>
  <c r="U48" i="86"/>
  <c r="T48" i="86"/>
  <c r="S48" i="86"/>
  <c r="R48" i="86"/>
  <c r="Q48" i="86"/>
  <c r="P48" i="86"/>
  <c r="O48" i="86"/>
  <c r="A48" i="86"/>
  <c r="V47" i="86"/>
  <c r="U47" i="86"/>
  <c r="T47" i="86"/>
  <c r="S47" i="86"/>
  <c r="R47" i="86"/>
  <c r="Q47" i="86"/>
  <c r="P47" i="86"/>
  <c r="O47" i="86"/>
  <c r="A47" i="86"/>
  <c r="V46" i="86"/>
  <c r="U46" i="86"/>
  <c r="T46" i="86"/>
  <c r="S46" i="86"/>
  <c r="R46" i="86"/>
  <c r="Q46" i="86"/>
  <c r="P46" i="86"/>
  <c r="O46" i="86"/>
  <c r="A46" i="86"/>
  <c r="V45" i="86"/>
  <c r="U45" i="86"/>
  <c r="T45" i="86"/>
  <c r="S45" i="86"/>
  <c r="R45" i="86"/>
  <c r="Q45" i="86"/>
  <c r="P45" i="86"/>
  <c r="O45" i="86"/>
  <c r="A45" i="86"/>
  <c r="V44" i="86"/>
  <c r="U44" i="86"/>
  <c r="T44" i="86"/>
  <c r="S44" i="86"/>
  <c r="R44" i="86"/>
  <c r="Q44" i="86"/>
  <c r="P44" i="86"/>
  <c r="O44" i="86"/>
  <c r="A44" i="86"/>
  <c r="V43" i="86"/>
  <c r="U43" i="86"/>
  <c r="T43" i="86"/>
  <c r="S43" i="86"/>
  <c r="R43" i="86"/>
  <c r="Q43" i="86"/>
  <c r="P43" i="86"/>
  <c r="O43" i="86"/>
  <c r="L43" i="86"/>
  <c r="K43" i="86"/>
  <c r="J43" i="86"/>
  <c r="I43" i="86"/>
  <c r="H43" i="86"/>
  <c r="G43" i="86"/>
  <c r="F43" i="86"/>
  <c r="E43" i="86"/>
  <c r="D43" i="86"/>
  <c r="C43" i="86"/>
  <c r="A43" i="86"/>
  <c r="V42" i="86"/>
  <c r="U42" i="86"/>
  <c r="T42" i="86"/>
  <c r="S42" i="86"/>
  <c r="R42" i="86"/>
  <c r="Q42" i="86"/>
  <c r="P42" i="86"/>
  <c r="O42" i="86"/>
  <c r="L42" i="86"/>
  <c r="K42" i="86"/>
  <c r="J42" i="86"/>
  <c r="I42" i="86"/>
  <c r="H42" i="86"/>
  <c r="G42" i="86"/>
  <c r="F42" i="86"/>
  <c r="E42" i="86"/>
  <c r="D42" i="86"/>
  <c r="C42" i="86"/>
  <c r="A42" i="86"/>
  <c r="V41" i="86"/>
  <c r="U41" i="86"/>
  <c r="T41" i="86"/>
  <c r="S41" i="86"/>
  <c r="R41" i="86"/>
  <c r="Q41" i="86"/>
  <c r="P41" i="86"/>
  <c r="O41" i="86"/>
  <c r="L41" i="86"/>
  <c r="K41" i="86"/>
  <c r="J41" i="86"/>
  <c r="I41" i="86"/>
  <c r="H41" i="86"/>
  <c r="G41" i="86"/>
  <c r="F41" i="86"/>
  <c r="E41" i="86"/>
  <c r="D41" i="86"/>
  <c r="C41" i="86"/>
  <c r="A41" i="86"/>
  <c r="V40" i="86"/>
  <c r="U40" i="86"/>
  <c r="T40" i="86"/>
  <c r="S40" i="86"/>
  <c r="R40" i="86"/>
  <c r="Q40" i="86"/>
  <c r="P40" i="86"/>
  <c r="O40" i="86"/>
  <c r="A40" i="86"/>
  <c r="V39" i="86"/>
  <c r="U39" i="86"/>
  <c r="T39" i="86"/>
  <c r="S39" i="86"/>
  <c r="R39" i="86"/>
  <c r="Q39" i="86"/>
  <c r="P39" i="86"/>
  <c r="O39" i="86"/>
  <c r="L39" i="86"/>
  <c r="K39" i="86"/>
  <c r="J39" i="86"/>
  <c r="I39" i="86"/>
  <c r="H39" i="86"/>
  <c r="G39" i="86"/>
  <c r="F39" i="86"/>
  <c r="E39" i="86"/>
  <c r="D39" i="86"/>
  <c r="C39" i="86"/>
  <c r="A39" i="86"/>
  <c r="V38" i="86"/>
  <c r="U38" i="86"/>
  <c r="T38" i="86"/>
  <c r="S38" i="86"/>
  <c r="R38" i="86"/>
  <c r="Q38" i="86"/>
  <c r="P38" i="86"/>
  <c r="O38" i="86"/>
  <c r="A38" i="86"/>
  <c r="V37" i="86"/>
  <c r="U37" i="86"/>
  <c r="T37" i="86"/>
  <c r="S37" i="86"/>
  <c r="R37" i="86"/>
  <c r="Q37" i="86"/>
  <c r="P37" i="86"/>
  <c r="O37" i="86"/>
  <c r="L37" i="86"/>
  <c r="K37" i="86"/>
  <c r="J37" i="86"/>
  <c r="I37" i="86"/>
  <c r="H37" i="86"/>
  <c r="G37" i="86"/>
  <c r="F37" i="86"/>
  <c r="E37" i="86"/>
  <c r="D37" i="86"/>
  <c r="C37" i="86"/>
  <c r="A37" i="86"/>
  <c r="V36" i="86"/>
  <c r="U36" i="86"/>
  <c r="T36" i="86"/>
  <c r="S36" i="86"/>
  <c r="R36" i="86"/>
  <c r="Q36" i="86"/>
  <c r="P36" i="86"/>
  <c r="O36" i="86"/>
  <c r="D36" i="86"/>
  <c r="C36" i="86"/>
  <c r="A36" i="86"/>
  <c r="V35" i="86"/>
  <c r="U35" i="86"/>
  <c r="T35" i="86"/>
  <c r="S35" i="86"/>
  <c r="R35" i="86"/>
  <c r="Q35" i="86"/>
  <c r="P35" i="86"/>
  <c r="O35" i="86"/>
  <c r="A35" i="86"/>
  <c r="V34" i="86"/>
  <c r="U34" i="86"/>
  <c r="T34" i="86"/>
  <c r="S34" i="86"/>
  <c r="R34" i="86"/>
  <c r="Q34" i="86"/>
  <c r="P34" i="86"/>
  <c r="O34" i="86"/>
  <c r="L34" i="86"/>
  <c r="K34" i="86"/>
  <c r="J34" i="86"/>
  <c r="I34" i="86"/>
  <c r="H34" i="86"/>
  <c r="G34" i="86"/>
  <c r="F34" i="86"/>
  <c r="E34" i="86"/>
  <c r="D34" i="86"/>
  <c r="C34" i="86"/>
  <c r="A34" i="86"/>
  <c r="V33" i="86"/>
  <c r="U33" i="86"/>
  <c r="T33" i="86"/>
  <c r="S33" i="86"/>
  <c r="R33" i="86"/>
  <c r="Q33" i="86"/>
  <c r="P33" i="86"/>
  <c r="O33" i="86"/>
  <c r="L33" i="86"/>
  <c r="K33" i="86"/>
  <c r="J33" i="86"/>
  <c r="I33" i="86"/>
  <c r="H33" i="86"/>
  <c r="G33" i="86"/>
  <c r="F33" i="86"/>
  <c r="E33" i="86"/>
  <c r="T32" i="86"/>
  <c r="S32" i="86"/>
  <c r="V31" i="86"/>
  <c r="U31" i="86"/>
  <c r="T31" i="86"/>
  <c r="S31" i="86"/>
  <c r="R31" i="86"/>
  <c r="Q31" i="86"/>
  <c r="P31" i="86"/>
  <c r="O31" i="86"/>
  <c r="N31" i="86"/>
  <c r="M31" i="86"/>
  <c r="J20" i="86"/>
  <c r="I20" i="86"/>
  <c r="H20" i="86"/>
  <c r="G20" i="86"/>
  <c r="J19" i="86"/>
  <c r="I19" i="86"/>
  <c r="H19" i="86"/>
  <c r="G19" i="86"/>
  <c r="J18" i="86"/>
  <c r="I18" i="86"/>
  <c r="H18" i="86"/>
  <c r="G18" i="86"/>
  <c r="J17" i="86"/>
  <c r="I17" i="86"/>
  <c r="H17" i="86"/>
  <c r="G17" i="86"/>
  <c r="J16" i="86"/>
  <c r="I16" i="86"/>
  <c r="H16" i="86"/>
  <c r="G16" i="86"/>
  <c r="J15" i="86"/>
  <c r="I15" i="86"/>
  <c r="H15" i="86"/>
  <c r="G15" i="86"/>
  <c r="J14" i="86"/>
  <c r="I14" i="86"/>
  <c r="H14" i="86"/>
  <c r="G14" i="86"/>
  <c r="J13" i="86"/>
  <c r="I13" i="86"/>
  <c r="H13" i="86"/>
  <c r="G13" i="86"/>
  <c r="J12" i="86"/>
  <c r="H12" i="86"/>
  <c r="G12" i="86"/>
  <c r="J11" i="86"/>
  <c r="H11" i="86"/>
  <c r="G11" i="86"/>
  <c r="E7" i="86"/>
  <c r="B7" i="86"/>
  <c r="I11" i="86" s="1"/>
  <c r="C33" i="86" s="1"/>
  <c r="V103" i="100"/>
  <c r="U103" i="100"/>
  <c r="T103" i="100"/>
  <c r="S103" i="100"/>
  <c r="R103" i="100"/>
  <c r="Q103" i="100"/>
  <c r="P103" i="100"/>
  <c r="O103" i="100"/>
  <c r="N103" i="100"/>
  <c r="A103" i="100"/>
  <c r="V102" i="100"/>
  <c r="U102" i="100"/>
  <c r="T102" i="100"/>
  <c r="S102" i="100"/>
  <c r="R102" i="100"/>
  <c r="Q102" i="100"/>
  <c r="P102" i="100"/>
  <c r="O102" i="100"/>
  <c r="N102" i="100"/>
  <c r="A102" i="100"/>
  <c r="V101" i="100"/>
  <c r="U101" i="100"/>
  <c r="T101" i="100"/>
  <c r="S101" i="100"/>
  <c r="R101" i="100"/>
  <c r="Q101" i="100"/>
  <c r="P101" i="100"/>
  <c r="O101" i="100"/>
  <c r="N101" i="100"/>
  <c r="A101" i="100"/>
  <c r="V100" i="100"/>
  <c r="U100" i="100"/>
  <c r="T100" i="100"/>
  <c r="S100" i="100"/>
  <c r="R100" i="100"/>
  <c r="Q100" i="100"/>
  <c r="P100" i="100"/>
  <c r="O100" i="100"/>
  <c r="N100" i="100"/>
  <c r="A100" i="100"/>
  <c r="V99" i="100"/>
  <c r="U99" i="100"/>
  <c r="T99" i="100"/>
  <c r="S99" i="100"/>
  <c r="R99" i="100"/>
  <c r="Q99" i="100"/>
  <c r="P99" i="100"/>
  <c r="O99" i="100"/>
  <c r="N99" i="100"/>
  <c r="A99" i="100"/>
  <c r="V98" i="100"/>
  <c r="U98" i="100"/>
  <c r="T98" i="100"/>
  <c r="S98" i="100"/>
  <c r="R98" i="100"/>
  <c r="Q98" i="100"/>
  <c r="P98" i="100"/>
  <c r="O98" i="100"/>
  <c r="N98" i="100"/>
  <c r="A98" i="100"/>
  <c r="V97" i="100"/>
  <c r="U97" i="100"/>
  <c r="T97" i="100"/>
  <c r="S97" i="100"/>
  <c r="R97" i="100"/>
  <c r="Q97" i="100"/>
  <c r="P97" i="100"/>
  <c r="O97" i="100"/>
  <c r="N97" i="100"/>
  <c r="A97" i="100"/>
  <c r="V96" i="100"/>
  <c r="U96" i="100"/>
  <c r="T96" i="100"/>
  <c r="S96" i="100"/>
  <c r="R96" i="100"/>
  <c r="Q96" i="100"/>
  <c r="P96" i="100"/>
  <c r="O96" i="100"/>
  <c r="N96" i="100"/>
  <c r="A96" i="100"/>
  <c r="V95" i="100"/>
  <c r="U95" i="100"/>
  <c r="T95" i="100"/>
  <c r="S95" i="100"/>
  <c r="R95" i="100"/>
  <c r="Q95" i="100"/>
  <c r="P95" i="100"/>
  <c r="O95" i="100"/>
  <c r="N95" i="100"/>
  <c r="A95" i="100"/>
  <c r="V94" i="100"/>
  <c r="U94" i="100"/>
  <c r="T94" i="100"/>
  <c r="S94" i="100"/>
  <c r="R94" i="100"/>
  <c r="Q94" i="100"/>
  <c r="P94" i="100"/>
  <c r="O94" i="100"/>
  <c r="N94" i="100"/>
  <c r="A94" i="100"/>
  <c r="V93" i="100"/>
  <c r="U93" i="100"/>
  <c r="T93" i="100"/>
  <c r="S93" i="100"/>
  <c r="R93" i="100"/>
  <c r="Q93" i="100"/>
  <c r="P93" i="100"/>
  <c r="O93" i="100"/>
  <c r="N93" i="100"/>
  <c r="A93" i="100"/>
  <c r="V92" i="100"/>
  <c r="U92" i="100"/>
  <c r="T92" i="100"/>
  <c r="S92" i="100"/>
  <c r="R92" i="100"/>
  <c r="Q92" i="100"/>
  <c r="P92" i="100"/>
  <c r="O92" i="100"/>
  <c r="N92" i="100"/>
  <c r="A92" i="100"/>
  <c r="V91" i="100"/>
  <c r="U91" i="100"/>
  <c r="T91" i="100"/>
  <c r="S91" i="100"/>
  <c r="R91" i="100"/>
  <c r="Q91" i="100"/>
  <c r="P91" i="100"/>
  <c r="O91" i="100"/>
  <c r="N91" i="100"/>
  <c r="A91" i="100"/>
  <c r="V90" i="100"/>
  <c r="U90" i="100"/>
  <c r="T90" i="100"/>
  <c r="S90" i="100"/>
  <c r="R90" i="100"/>
  <c r="Q90" i="100"/>
  <c r="P90" i="100"/>
  <c r="O90" i="100"/>
  <c r="N90" i="100"/>
  <c r="A90" i="100"/>
  <c r="V89" i="100"/>
  <c r="U89" i="100"/>
  <c r="T89" i="100"/>
  <c r="S89" i="100"/>
  <c r="R89" i="100"/>
  <c r="Q89" i="100"/>
  <c r="P89" i="100"/>
  <c r="O89" i="100"/>
  <c r="N89" i="100"/>
  <c r="A89" i="100"/>
  <c r="V88" i="100"/>
  <c r="U88" i="100"/>
  <c r="T88" i="100"/>
  <c r="S88" i="100"/>
  <c r="R88" i="100"/>
  <c r="Q88" i="100"/>
  <c r="P88" i="100"/>
  <c r="O88" i="100"/>
  <c r="N88" i="100"/>
  <c r="A88" i="100"/>
  <c r="V87" i="100"/>
  <c r="U87" i="100"/>
  <c r="T87" i="100"/>
  <c r="S87" i="100"/>
  <c r="R87" i="100"/>
  <c r="Q87" i="100"/>
  <c r="P87" i="100"/>
  <c r="O87" i="100"/>
  <c r="N87" i="100"/>
  <c r="A87" i="100"/>
  <c r="V86" i="100"/>
  <c r="U86" i="100"/>
  <c r="T86" i="100"/>
  <c r="S86" i="100"/>
  <c r="R86" i="100"/>
  <c r="Q86" i="100"/>
  <c r="P86" i="100"/>
  <c r="O86" i="100"/>
  <c r="N86" i="100"/>
  <c r="A86" i="100"/>
  <c r="V85" i="100"/>
  <c r="U85" i="100"/>
  <c r="T85" i="100"/>
  <c r="S85" i="100"/>
  <c r="R85" i="100"/>
  <c r="Q85" i="100"/>
  <c r="P85" i="100"/>
  <c r="O85" i="100"/>
  <c r="N85" i="100"/>
  <c r="A85" i="100"/>
  <c r="V84" i="100"/>
  <c r="U84" i="100"/>
  <c r="T84" i="100"/>
  <c r="S84" i="100"/>
  <c r="R84" i="100"/>
  <c r="Q84" i="100"/>
  <c r="P84" i="100"/>
  <c r="O84" i="100"/>
  <c r="N84" i="100"/>
  <c r="A84" i="100"/>
  <c r="V83" i="100"/>
  <c r="U83" i="100"/>
  <c r="T83" i="100"/>
  <c r="S83" i="100"/>
  <c r="R83" i="100"/>
  <c r="Q83" i="100"/>
  <c r="P83" i="100"/>
  <c r="O83" i="100"/>
  <c r="N83" i="100"/>
  <c r="A83" i="100"/>
  <c r="V82" i="100"/>
  <c r="U82" i="100"/>
  <c r="T82" i="100"/>
  <c r="S82" i="100"/>
  <c r="R82" i="100"/>
  <c r="Q82" i="100"/>
  <c r="P82" i="100"/>
  <c r="O82" i="100"/>
  <c r="N82" i="100"/>
  <c r="L82" i="100"/>
  <c r="K82" i="100"/>
  <c r="J82" i="100"/>
  <c r="I82" i="100"/>
  <c r="H82" i="100"/>
  <c r="G82" i="100"/>
  <c r="F82" i="100"/>
  <c r="A82" i="100"/>
  <c r="V81" i="100"/>
  <c r="U81" i="100"/>
  <c r="T81" i="100"/>
  <c r="S81" i="100"/>
  <c r="R81" i="100"/>
  <c r="Q81" i="100"/>
  <c r="P81" i="100"/>
  <c r="O81" i="100"/>
  <c r="N81" i="100"/>
  <c r="A81" i="100"/>
  <c r="V80" i="100"/>
  <c r="U80" i="100"/>
  <c r="T80" i="100"/>
  <c r="S80" i="100"/>
  <c r="R80" i="100"/>
  <c r="Q80" i="100"/>
  <c r="P80" i="100"/>
  <c r="O80" i="100"/>
  <c r="N80" i="100"/>
  <c r="A80" i="100"/>
  <c r="V79" i="100"/>
  <c r="U79" i="100"/>
  <c r="T79" i="100"/>
  <c r="S79" i="100"/>
  <c r="R79" i="100"/>
  <c r="Q79" i="100"/>
  <c r="P79" i="100"/>
  <c r="O79" i="100"/>
  <c r="N79" i="100"/>
  <c r="A79" i="100"/>
  <c r="V78" i="100"/>
  <c r="U78" i="100"/>
  <c r="T78" i="100"/>
  <c r="S78" i="100"/>
  <c r="R78" i="100"/>
  <c r="Q78" i="100"/>
  <c r="P78" i="100"/>
  <c r="O78" i="100"/>
  <c r="N78" i="100"/>
  <c r="A78" i="100"/>
  <c r="V77" i="100"/>
  <c r="U77" i="100"/>
  <c r="T77" i="100"/>
  <c r="S77" i="100"/>
  <c r="R77" i="100"/>
  <c r="Q77" i="100"/>
  <c r="P77" i="100"/>
  <c r="O77" i="100"/>
  <c r="N77" i="100"/>
  <c r="A77" i="100"/>
  <c r="V76" i="100"/>
  <c r="U76" i="100"/>
  <c r="T76" i="100"/>
  <c r="S76" i="100"/>
  <c r="R76" i="100"/>
  <c r="Q76" i="100"/>
  <c r="P76" i="100"/>
  <c r="O76" i="100"/>
  <c r="N76" i="100"/>
  <c r="A76" i="100"/>
  <c r="V75" i="100"/>
  <c r="U75" i="100"/>
  <c r="T75" i="100"/>
  <c r="S75" i="100"/>
  <c r="R75" i="100"/>
  <c r="Q75" i="100"/>
  <c r="P75" i="100"/>
  <c r="O75" i="100"/>
  <c r="N75" i="100"/>
  <c r="A75" i="100"/>
  <c r="V74" i="100"/>
  <c r="U74" i="100"/>
  <c r="T74" i="100"/>
  <c r="S74" i="100"/>
  <c r="R74" i="100"/>
  <c r="Q74" i="100"/>
  <c r="P74" i="100"/>
  <c r="O74" i="100"/>
  <c r="N74" i="100"/>
  <c r="A74" i="100"/>
  <c r="V73" i="100"/>
  <c r="U73" i="100"/>
  <c r="T73" i="100"/>
  <c r="S73" i="100"/>
  <c r="R73" i="100"/>
  <c r="Q73" i="100"/>
  <c r="P73" i="100"/>
  <c r="O73" i="100"/>
  <c r="N73" i="100"/>
  <c r="A73" i="100"/>
  <c r="V72" i="100"/>
  <c r="U72" i="100"/>
  <c r="T72" i="100"/>
  <c r="S72" i="100"/>
  <c r="R72" i="100"/>
  <c r="Q72" i="100"/>
  <c r="P72" i="100"/>
  <c r="O72" i="100"/>
  <c r="N72" i="100"/>
  <c r="A72" i="100"/>
  <c r="V71" i="100"/>
  <c r="U71" i="100"/>
  <c r="T71" i="100"/>
  <c r="S71" i="100"/>
  <c r="R71" i="100"/>
  <c r="Q71" i="100"/>
  <c r="P71" i="100"/>
  <c r="O71" i="100"/>
  <c r="N71" i="100"/>
  <c r="L71" i="100"/>
  <c r="K71" i="100"/>
  <c r="J71" i="100"/>
  <c r="I71" i="100"/>
  <c r="H71" i="100"/>
  <c r="G71" i="100"/>
  <c r="F71" i="100"/>
  <c r="E71" i="100"/>
  <c r="D71" i="100"/>
  <c r="C71" i="100"/>
  <c r="A71" i="100"/>
  <c r="V70" i="100"/>
  <c r="U70" i="100"/>
  <c r="T70" i="100"/>
  <c r="S70" i="100"/>
  <c r="R70" i="100"/>
  <c r="Q70" i="100"/>
  <c r="P70" i="100"/>
  <c r="O70" i="100"/>
  <c r="N70" i="100"/>
  <c r="A70" i="100"/>
  <c r="L69" i="100"/>
  <c r="K69" i="100"/>
  <c r="J69" i="100"/>
  <c r="I69" i="100"/>
  <c r="H69" i="100"/>
  <c r="G69" i="100"/>
  <c r="F69" i="100"/>
  <c r="E69" i="100"/>
  <c r="D69" i="100"/>
  <c r="C69" i="100"/>
  <c r="A69" i="100"/>
  <c r="V68" i="100"/>
  <c r="U68" i="100"/>
  <c r="T68" i="100"/>
  <c r="S68" i="100"/>
  <c r="R68" i="100"/>
  <c r="Q68" i="100"/>
  <c r="P68" i="100"/>
  <c r="O68" i="100"/>
  <c r="N68" i="100"/>
  <c r="C68" i="100"/>
  <c r="A68" i="100"/>
  <c r="V67" i="100"/>
  <c r="U67" i="100"/>
  <c r="T67" i="100"/>
  <c r="S67" i="100"/>
  <c r="R67" i="100"/>
  <c r="Q67" i="100"/>
  <c r="P67" i="100"/>
  <c r="O67" i="100"/>
  <c r="N67" i="100"/>
  <c r="A67" i="100"/>
  <c r="V66" i="100"/>
  <c r="U66" i="100"/>
  <c r="T66" i="100"/>
  <c r="S66" i="100"/>
  <c r="R66" i="100"/>
  <c r="Q66" i="100"/>
  <c r="P66" i="100"/>
  <c r="O66" i="100"/>
  <c r="N66" i="100"/>
  <c r="A66" i="100"/>
  <c r="C65" i="100"/>
  <c r="A65" i="100"/>
  <c r="V64" i="100"/>
  <c r="U64" i="100"/>
  <c r="T64" i="100"/>
  <c r="S64" i="100"/>
  <c r="R64" i="100"/>
  <c r="Q64" i="100"/>
  <c r="P64" i="100"/>
  <c r="O64" i="100"/>
  <c r="N64" i="100"/>
  <c r="C64" i="100"/>
  <c r="A64" i="100"/>
  <c r="V63" i="100"/>
  <c r="U63" i="100"/>
  <c r="T63" i="100"/>
  <c r="S63" i="100"/>
  <c r="R63" i="100"/>
  <c r="Q63" i="100"/>
  <c r="P63" i="100"/>
  <c r="O63" i="100"/>
  <c r="N63" i="100"/>
  <c r="A63" i="100"/>
  <c r="V62" i="100"/>
  <c r="U62" i="100"/>
  <c r="T62" i="100"/>
  <c r="S62" i="100"/>
  <c r="R62" i="100"/>
  <c r="Q62" i="100"/>
  <c r="P62" i="100"/>
  <c r="O62" i="100"/>
  <c r="N62" i="100"/>
  <c r="A62" i="100"/>
  <c r="V61" i="100"/>
  <c r="U61" i="100"/>
  <c r="T61" i="100"/>
  <c r="S61" i="100"/>
  <c r="R61" i="100"/>
  <c r="Q61" i="100"/>
  <c r="P61" i="100"/>
  <c r="O61" i="100"/>
  <c r="N61" i="100"/>
  <c r="A61" i="100"/>
  <c r="V60" i="100"/>
  <c r="U60" i="100"/>
  <c r="T60" i="100"/>
  <c r="S60" i="100"/>
  <c r="R60" i="100"/>
  <c r="Q60" i="100"/>
  <c r="P60" i="100"/>
  <c r="O60" i="100"/>
  <c r="N60" i="100"/>
  <c r="A60" i="100"/>
  <c r="V59" i="100"/>
  <c r="U59" i="100"/>
  <c r="T59" i="100"/>
  <c r="S59" i="100"/>
  <c r="R59" i="100"/>
  <c r="Q59" i="100"/>
  <c r="P59" i="100"/>
  <c r="O59" i="100"/>
  <c r="N59" i="100"/>
  <c r="A59" i="100"/>
  <c r="V58" i="100"/>
  <c r="U58" i="100"/>
  <c r="T58" i="100"/>
  <c r="S58" i="100"/>
  <c r="R58" i="100"/>
  <c r="Q58" i="100"/>
  <c r="P58" i="100"/>
  <c r="O58" i="100"/>
  <c r="N58" i="100"/>
  <c r="C58" i="100"/>
  <c r="A58" i="100"/>
  <c r="V57" i="100"/>
  <c r="U57" i="100"/>
  <c r="T57" i="100"/>
  <c r="S57" i="100"/>
  <c r="R57" i="100"/>
  <c r="Q57" i="100"/>
  <c r="P57" i="100"/>
  <c r="O57" i="100"/>
  <c r="N57" i="100"/>
  <c r="C57" i="100"/>
  <c r="A57" i="100"/>
  <c r="V56" i="100"/>
  <c r="U56" i="100"/>
  <c r="T56" i="100"/>
  <c r="S56" i="100"/>
  <c r="R56" i="100"/>
  <c r="Q56" i="100"/>
  <c r="P56" i="100"/>
  <c r="O56" i="100"/>
  <c r="N56" i="100"/>
  <c r="A56" i="100"/>
  <c r="V55" i="100"/>
  <c r="U55" i="100"/>
  <c r="T55" i="100"/>
  <c r="S55" i="100"/>
  <c r="R55" i="100"/>
  <c r="Q55" i="100"/>
  <c r="P55" i="100"/>
  <c r="O55" i="100"/>
  <c r="N55" i="100"/>
  <c r="A55" i="100"/>
  <c r="V54" i="100"/>
  <c r="U54" i="100"/>
  <c r="T54" i="100"/>
  <c r="S54" i="100"/>
  <c r="R54" i="100"/>
  <c r="Q54" i="100"/>
  <c r="P54" i="100"/>
  <c r="O54" i="100"/>
  <c r="N54" i="100"/>
  <c r="C54" i="100"/>
  <c r="A54" i="100"/>
  <c r="V53" i="100"/>
  <c r="U53" i="100"/>
  <c r="T53" i="100"/>
  <c r="S53" i="100"/>
  <c r="R53" i="100"/>
  <c r="Q53" i="100"/>
  <c r="P53" i="100"/>
  <c r="O53" i="100"/>
  <c r="N53" i="100"/>
  <c r="L53" i="100"/>
  <c r="K53" i="100"/>
  <c r="J53" i="100"/>
  <c r="I53" i="100"/>
  <c r="H53" i="100"/>
  <c r="G53" i="100"/>
  <c r="F53" i="100"/>
  <c r="E53" i="100"/>
  <c r="D53" i="100"/>
  <c r="C53" i="100"/>
  <c r="A53" i="100"/>
  <c r="V52" i="100"/>
  <c r="U52" i="100"/>
  <c r="T52" i="100"/>
  <c r="S52" i="100"/>
  <c r="R52" i="100"/>
  <c r="Q52" i="100"/>
  <c r="P52" i="100"/>
  <c r="O52" i="100"/>
  <c r="N52" i="100"/>
  <c r="L52" i="100"/>
  <c r="K52" i="100"/>
  <c r="J52" i="100"/>
  <c r="I52" i="100"/>
  <c r="H52" i="100"/>
  <c r="G52" i="100"/>
  <c r="F52" i="100"/>
  <c r="E52" i="100"/>
  <c r="D52" i="100"/>
  <c r="C52" i="100"/>
  <c r="A52" i="100"/>
  <c r="V51" i="100"/>
  <c r="U51" i="100"/>
  <c r="T51" i="100"/>
  <c r="S51" i="100"/>
  <c r="R51" i="100"/>
  <c r="Q51" i="100"/>
  <c r="P51" i="100"/>
  <c r="O51" i="100"/>
  <c r="N51" i="100"/>
  <c r="A51" i="100"/>
  <c r="V50" i="100"/>
  <c r="U50" i="100"/>
  <c r="T50" i="100"/>
  <c r="S50" i="100"/>
  <c r="R50" i="100"/>
  <c r="Q50" i="100"/>
  <c r="P50" i="100"/>
  <c r="O50" i="100"/>
  <c r="N50" i="100"/>
  <c r="A50" i="100"/>
  <c r="V49" i="100"/>
  <c r="U49" i="100"/>
  <c r="T49" i="100"/>
  <c r="S49" i="100"/>
  <c r="R49" i="100"/>
  <c r="Q49" i="100"/>
  <c r="P49" i="100"/>
  <c r="O49" i="100"/>
  <c r="N49" i="100"/>
  <c r="A49" i="100"/>
  <c r="V48" i="100"/>
  <c r="U48" i="100"/>
  <c r="T48" i="100"/>
  <c r="S48" i="100"/>
  <c r="R48" i="100"/>
  <c r="Q48" i="100"/>
  <c r="P48" i="100"/>
  <c r="O48" i="100"/>
  <c r="N48" i="100"/>
  <c r="A48" i="100"/>
  <c r="V47" i="100"/>
  <c r="U47" i="100"/>
  <c r="T47" i="100"/>
  <c r="S47" i="100"/>
  <c r="R47" i="100"/>
  <c r="Q47" i="100"/>
  <c r="P47" i="100"/>
  <c r="O47" i="100"/>
  <c r="N47" i="100"/>
  <c r="A47" i="100"/>
  <c r="V46" i="100"/>
  <c r="U46" i="100"/>
  <c r="T46" i="100"/>
  <c r="S46" i="100"/>
  <c r="R46" i="100"/>
  <c r="Q46" i="100"/>
  <c r="P46" i="100"/>
  <c r="O46" i="100"/>
  <c r="N46" i="100"/>
  <c r="A46" i="100"/>
  <c r="V45" i="100"/>
  <c r="U45" i="100"/>
  <c r="T45" i="100"/>
  <c r="S45" i="100"/>
  <c r="R45" i="100"/>
  <c r="Q45" i="100"/>
  <c r="P45" i="100"/>
  <c r="O45" i="100"/>
  <c r="N45" i="100"/>
  <c r="A45" i="100"/>
  <c r="V44" i="100"/>
  <c r="U44" i="100"/>
  <c r="T44" i="100"/>
  <c r="S44" i="100"/>
  <c r="R44" i="100"/>
  <c r="Q44" i="100"/>
  <c r="P44" i="100"/>
  <c r="O44" i="100"/>
  <c r="N44" i="100"/>
  <c r="A44" i="100"/>
  <c r="V43" i="100"/>
  <c r="U43" i="100"/>
  <c r="T43" i="100"/>
  <c r="S43" i="100"/>
  <c r="R43" i="100"/>
  <c r="Q43" i="100"/>
  <c r="P43" i="100"/>
  <c r="O43" i="100"/>
  <c r="N43" i="100"/>
  <c r="L43" i="100"/>
  <c r="K43" i="100"/>
  <c r="J43" i="100"/>
  <c r="I43" i="100"/>
  <c r="H43" i="100"/>
  <c r="G43" i="100"/>
  <c r="F43" i="100"/>
  <c r="E43" i="100"/>
  <c r="D43" i="100"/>
  <c r="C43" i="100"/>
  <c r="A43" i="100"/>
  <c r="V42" i="100"/>
  <c r="U42" i="100"/>
  <c r="T42" i="100"/>
  <c r="S42" i="100"/>
  <c r="R42" i="100"/>
  <c r="Q42" i="100"/>
  <c r="P42" i="100"/>
  <c r="O42" i="100"/>
  <c r="N42" i="100"/>
  <c r="L42" i="100"/>
  <c r="K42" i="100"/>
  <c r="J42" i="100"/>
  <c r="I42" i="100"/>
  <c r="H42" i="100"/>
  <c r="G42" i="100"/>
  <c r="F42" i="100"/>
  <c r="E42" i="100"/>
  <c r="D42" i="100"/>
  <c r="C42" i="100"/>
  <c r="A42" i="100"/>
  <c r="V41" i="100"/>
  <c r="U41" i="100"/>
  <c r="T41" i="100"/>
  <c r="S41" i="100"/>
  <c r="R41" i="100"/>
  <c r="Q41" i="100"/>
  <c r="P41" i="100"/>
  <c r="O41" i="100"/>
  <c r="N41" i="100"/>
  <c r="L41" i="100"/>
  <c r="K41" i="100"/>
  <c r="J41" i="100"/>
  <c r="I41" i="100"/>
  <c r="H41" i="100"/>
  <c r="G41" i="100"/>
  <c r="F41" i="100"/>
  <c r="E41" i="100"/>
  <c r="D41" i="100"/>
  <c r="C41" i="100"/>
  <c r="A41" i="100"/>
  <c r="V40" i="100"/>
  <c r="U40" i="100"/>
  <c r="T40" i="100"/>
  <c r="S40" i="100"/>
  <c r="R40" i="100"/>
  <c r="Q40" i="100"/>
  <c r="P40" i="100"/>
  <c r="O40" i="100"/>
  <c r="N40" i="100"/>
  <c r="A40" i="100"/>
  <c r="V39" i="100"/>
  <c r="U39" i="100"/>
  <c r="T39" i="100"/>
  <c r="S39" i="100"/>
  <c r="R39" i="100"/>
  <c r="Q39" i="100"/>
  <c r="P39" i="100"/>
  <c r="O39" i="100"/>
  <c r="N39" i="100"/>
  <c r="L39" i="100"/>
  <c r="K39" i="100"/>
  <c r="J39" i="100"/>
  <c r="I39" i="100"/>
  <c r="H39" i="100"/>
  <c r="G39" i="100"/>
  <c r="F39" i="100"/>
  <c r="E39" i="100"/>
  <c r="D39" i="100"/>
  <c r="A39" i="100"/>
  <c r="V38" i="100"/>
  <c r="U38" i="100"/>
  <c r="T38" i="100"/>
  <c r="S38" i="100"/>
  <c r="R38" i="100"/>
  <c r="Q38" i="100"/>
  <c r="P38" i="100"/>
  <c r="O38" i="100"/>
  <c r="N38" i="100"/>
  <c r="A38" i="100"/>
  <c r="V37" i="100"/>
  <c r="U37" i="100"/>
  <c r="T37" i="100"/>
  <c r="S37" i="100"/>
  <c r="R37" i="100"/>
  <c r="Q37" i="100"/>
  <c r="P37" i="100"/>
  <c r="O37" i="100"/>
  <c r="N37" i="100"/>
  <c r="L37" i="100"/>
  <c r="K37" i="100"/>
  <c r="J37" i="100"/>
  <c r="I37" i="100"/>
  <c r="H37" i="100"/>
  <c r="G37" i="100"/>
  <c r="F37" i="100"/>
  <c r="E37" i="100"/>
  <c r="D37" i="100"/>
  <c r="C37" i="100"/>
  <c r="A37" i="100"/>
  <c r="V36" i="100"/>
  <c r="U36" i="100"/>
  <c r="T36" i="100"/>
  <c r="S36" i="100"/>
  <c r="R36" i="100"/>
  <c r="Q36" i="100"/>
  <c r="P36" i="100"/>
  <c r="O36" i="100"/>
  <c r="N36" i="100"/>
  <c r="C36" i="100"/>
  <c r="A36" i="100"/>
  <c r="V35" i="100"/>
  <c r="U35" i="100"/>
  <c r="T35" i="100"/>
  <c r="S35" i="100"/>
  <c r="R35" i="100"/>
  <c r="Q35" i="100"/>
  <c r="P35" i="100"/>
  <c r="O35" i="100"/>
  <c r="N35" i="100"/>
  <c r="A35" i="100"/>
  <c r="V34" i="100"/>
  <c r="U34" i="100"/>
  <c r="T34" i="100"/>
  <c r="S34" i="100"/>
  <c r="R34" i="100"/>
  <c r="Q34" i="100"/>
  <c r="P34" i="100"/>
  <c r="O34" i="100"/>
  <c r="N34" i="100"/>
  <c r="L34" i="100"/>
  <c r="K34" i="100"/>
  <c r="J34" i="100"/>
  <c r="I34" i="100"/>
  <c r="H34" i="100"/>
  <c r="G34" i="100"/>
  <c r="F34" i="100"/>
  <c r="E34" i="100"/>
  <c r="D34" i="100"/>
  <c r="C34" i="100"/>
  <c r="A34" i="100"/>
  <c r="V33" i="100"/>
  <c r="U33" i="100"/>
  <c r="T33" i="100"/>
  <c r="S33" i="100"/>
  <c r="R33" i="100"/>
  <c r="Q33" i="100"/>
  <c r="P33" i="100"/>
  <c r="O33" i="100"/>
  <c r="N33" i="100"/>
  <c r="L33" i="100"/>
  <c r="K33" i="100"/>
  <c r="J33" i="100"/>
  <c r="I33" i="100"/>
  <c r="H33" i="100"/>
  <c r="G33" i="100"/>
  <c r="F33" i="100"/>
  <c r="E33" i="100"/>
  <c r="D33" i="100"/>
  <c r="T32" i="100"/>
  <c r="S32" i="100"/>
  <c r="V31" i="100"/>
  <c r="U31" i="100"/>
  <c r="T31" i="100"/>
  <c r="S31" i="100"/>
  <c r="R31" i="100"/>
  <c r="Q31" i="100"/>
  <c r="P31" i="100"/>
  <c r="O31" i="100"/>
  <c r="N31" i="100"/>
  <c r="M31" i="100"/>
  <c r="J20" i="100"/>
  <c r="I20" i="100"/>
  <c r="H20" i="100"/>
  <c r="G20" i="100"/>
  <c r="J19" i="100"/>
  <c r="I19" i="100"/>
  <c r="H19" i="100"/>
  <c r="G19" i="100"/>
  <c r="J18" i="100"/>
  <c r="I18" i="100"/>
  <c r="H18" i="100"/>
  <c r="G18" i="100"/>
  <c r="J17" i="100"/>
  <c r="I17" i="100"/>
  <c r="H17" i="100"/>
  <c r="G17" i="100"/>
  <c r="J16" i="100"/>
  <c r="I16" i="100"/>
  <c r="H16" i="100"/>
  <c r="G16" i="100"/>
  <c r="J15" i="100"/>
  <c r="I15" i="100"/>
  <c r="H15" i="100"/>
  <c r="G15" i="100"/>
  <c r="J14" i="100"/>
  <c r="I14" i="100"/>
  <c r="H14" i="100"/>
  <c r="G14" i="100"/>
  <c r="J13" i="100"/>
  <c r="I13" i="100"/>
  <c r="H13" i="100"/>
  <c r="G13" i="100"/>
  <c r="J12" i="100"/>
  <c r="I12" i="100"/>
  <c r="H12" i="100"/>
  <c r="G12" i="100"/>
  <c r="J11" i="100"/>
  <c r="H11" i="100"/>
  <c r="G11" i="100"/>
  <c r="B7" i="100"/>
  <c r="I11" i="100" s="1"/>
  <c r="C33" i="100" s="1"/>
  <c r="H128" i="69"/>
  <c r="G128" i="69"/>
  <c r="F128" i="69"/>
  <c r="I127" i="69"/>
  <c r="H127" i="69"/>
  <c r="G127" i="69"/>
  <c r="F127" i="69"/>
  <c r="I126" i="69"/>
  <c r="H126" i="69"/>
  <c r="G126" i="69"/>
  <c r="F126" i="69"/>
  <c r="I125" i="69"/>
  <c r="H125" i="69"/>
  <c r="G125" i="69"/>
  <c r="F125" i="69"/>
  <c r="I124" i="69"/>
  <c r="H124" i="69"/>
  <c r="G124" i="69"/>
  <c r="F124" i="69"/>
  <c r="I123" i="69"/>
  <c r="H123" i="69"/>
  <c r="G123" i="69"/>
  <c r="F123" i="69"/>
  <c r="I122" i="69"/>
  <c r="H122" i="69"/>
  <c r="G122" i="69"/>
  <c r="F122" i="69"/>
  <c r="I121" i="69"/>
  <c r="H121" i="69"/>
  <c r="G121" i="69"/>
  <c r="F121" i="69"/>
  <c r="I120" i="69"/>
  <c r="H120" i="69"/>
  <c r="G120" i="69"/>
  <c r="F120" i="69"/>
  <c r="V103" i="69"/>
  <c r="U103" i="69"/>
  <c r="T103" i="69"/>
  <c r="S103" i="69"/>
  <c r="R103" i="69"/>
  <c r="Q103" i="69"/>
  <c r="P103" i="69"/>
  <c r="O103" i="69"/>
  <c r="N103" i="69"/>
  <c r="A103" i="69"/>
  <c r="V102" i="69"/>
  <c r="U102" i="69"/>
  <c r="T102" i="69"/>
  <c r="S102" i="69"/>
  <c r="R102" i="69"/>
  <c r="Q102" i="69"/>
  <c r="P102" i="69"/>
  <c r="O102" i="69"/>
  <c r="N102" i="69"/>
  <c r="A102" i="69"/>
  <c r="V101" i="69"/>
  <c r="U101" i="69"/>
  <c r="T101" i="69"/>
  <c r="S101" i="69"/>
  <c r="R101" i="69"/>
  <c r="Q101" i="69"/>
  <c r="P101" i="69"/>
  <c r="O101" i="69"/>
  <c r="N101" i="69"/>
  <c r="A101" i="69"/>
  <c r="V100" i="69"/>
  <c r="U100" i="69"/>
  <c r="T100" i="69"/>
  <c r="S100" i="69"/>
  <c r="R100" i="69"/>
  <c r="Q100" i="69"/>
  <c r="P100" i="69"/>
  <c r="O100" i="69"/>
  <c r="N100" i="69"/>
  <c r="A100" i="69"/>
  <c r="V99" i="69"/>
  <c r="U99" i="69"/>
  <c r="T99" i="69"/>
  <c r="S99" i="69"/>
  <c r="R99" i="69"/>
  <c r="Q99" i="69"/>
  <c r="P99" i="69"/>
  <c r="O99" i="69"/>
  <c r="N99" i="69"/>
  <c r="A99" i="69"/>
  <c r="V98" i="69"/>
  <c r="U98" i="69"/>
  <c r="T98" i="69"/>
  <c r="S98" i="69"/>
  <c r="R98" i="69"/>
  <c r="Q98" i="69"/>
  <c r="P98" i="69"/>
  <c r="O98" i="69"/>
  <c r="N98" i="69"/>
  <c r="A98" i="69"/>
  <c r="V97" i="69"/>
  <c r="U97" i="69"/>
  <c r="T97" i="69"/>
  <c r="S97" i="69"/>
  <c r="R97" i="69"/>
  <c r="Q97" i="69"/>
  <c r="P97" i="69"/>
  <c r="O97" i="69"/>
  <c r="N97" i="69"/>
  <c r="A97" i="69"/>
  <c r="V96" i="69"/>
  <c r="U96" i="69"/>
  <c r="T96" i="69"/>
  <c r="S96" i="69"/>
  <c r="R96" i="69"/>
  <c r="Q96" i="69"/>
  <c r="P96" i="69"/>
  <c r="O96" i="69"/>
  <c r="N96" i="69"/>
  <c r="A96" i="69"/>
  <c r="V95" i="69"/>
  <c r="U95" i="69"/>
  <c r="T95" i="69"/>
  <c r="S95" i="69"/>
  <c r="R95" i="69"/>
  <c r="Q95" i="69"/>
  <c r="P95" i="69"/>
  <c r="O95" i="69"/>
  <c r="N95" i="69"/>
  <c r="A95" i="69"/>
  <c r="V94" i="69"/>
  <c r="U94" i="69"/>
  <c r="T94" i="69"/>
  <c r="S94" i="69"/>
  <c r="R94" i="69"/>
  <c r="Q94" i="69"/>
  <c r="P94" i="69"/>
  <c r="O94" i="69"/>
  <c r="N94" i="69"/>
  <c r="A94" i="69"/>
  <c r="V93" i="69"/>
  <c r="U93" i="69"/>
  <c r="T93" i="69"/>
  <c r="S93" i="69"/>
  <c r="R93" i="69"/>
  <c r="Q93" i="69"/>
  <c r="P93" i="69"/>
  <c r="O93" i="69"/>
  <c r="N93" i="69"/>
  <c r="A93" i="69"/>
  <c r="V92" i="69"/>
  <c r="U92" i="69"/>
  <c r="T92" i="69"/>
  <c r="S92" i="69"/>
  <c r="R92" i="69"/>
  <c r="Q92" i="69"/>
  <c r="P92" i="69"/>
  <c r="O92" i="69"/>
  <c r="N92" i="69"/>
  <c r="A92" i="69"/>
  <c r="V91" i="69"/>
  <c r="U91" i="69"/>
  <c r="T91" i="69"/>
  <c r="S91" i="69"/>
  <c r="R91" i="69"/>
  <c r="Q91" i="69"/>
  <c r="P91" i="69"/>
  <c r="O91" i="69"/>
  <c r="N91" i="69"/>
  <c r="A91" i="69"/>
  <c r="V90" i="69"/>
  <c r="U90" i="69"/>
  <c r="T90" i="69"/>
  <c r="S90" i="69"/>
  <c r="R90" i="69"/>
  <c r="Q90" i="69"/>
  <c r="P90" i="69"/>
  <c r="O90" i="69"/>
  <c r="N90" i="69"/>
  <c r="A90" i="69"/>
  <c r="V89" i="69"/>
  <c r="U89" i="69"/>
  <c r="T89" i="69"/>
  <c r="S89" i="69"/>
  <c r="R89" i="69"/>
  <c r="Q89" i="69"/>
  <c r="P89" i="69"/>
  <c r="O89" i="69"/>
  <c r="N89" i="69"/>
  <c r="A89" i="69"/>
  <c r="V88" i="69"/>
  <c r="U88" i="69"/>
  <c r="T88" i="69"/>
  <c r="S88" i="69"/>
  <c r="R88" i="69"/>
  <c r="Q88" i="69"/>
  <c r="P88" i="69"/>
  <c r="O88" i="69"/>
  <c r="N88" i="69"/>
  <c r="A88" i="69"/>
  <c r="V87" i="69"/>
  <c r="U87" i="69"/>
  <c r="T87" i="69"/>
  <c r="S87" i="69"/>
  <c r="R87" i="69"/>
  <c r="Q87" i="69"/>
  <c r="P87" i="69"/>
  <c r="O87" i="69"/>
  <c r="N87" i="69"/>
  <c r="A87" i="69"/>
  <c r="V86" i="69"/>
  <c r="U86" i="69"/>
  <c r="T86" i="69"/>
  <c r="S86" i="69"/>
  <c r="R86" i="69"/>
  <c r="Q86" i="69"/>
  <c r="P86" i="69"/>
  <c r="O86" i="69"/>
  <c r="N86" i="69"/>
  <c r="A86" i="69"/>
  <c r="V85" i="69"/>
  <c r="U85" i="69"/>
  <c r="T85" i="69"/>
  <c r="S85" i="69"/>
  <c r="R85" i="69"/>
  <c r="Q85" i="69"/>
  <c r="P85" i="69"/>
  <c r="O85" i="69"/>
  <c r="N85" i="69"/>
  <c r="A85" i="69"/>
  <c r="V84" i="69"/>
  <c r="U84" i="69"/>
  <c r="T84" i="69"/>
  <c r="S84" i="69"/>
  <c r="R84" i="69"/>
  <c r="Q84" i="69"/>
  <c r="P84" i="69"/>
  <c r="O84" i="69"/>
  <c r="N84" i="69"/>
  <c r="A84" i="69"/>
  <c r="V83" i="69"/>
  <c r="U83" i="69"/>
  <c r="T83" i="69"/>
  <c r="S83" i="69"/>
  <c r="R83" i="69"/>
  <c r="Q83" i="69"/>
  <c r="P83" i="69"/>
  <c r="O83" i="69"/>
  <c r="N83" i="69"/>
  <c r="A83" i="69"/>
  <c r="V82" i="69"/>
  <c r="U82" i="69"/>
  <c r="T82" i="69"/>
  <c r="S82" i="69"/>
  <c r="R82" i="69"/>
  <c r="Q82" i="69"/>
  <c r="P82" i="69"/>
  <c r="O82" i="69"/>
  <c r="N82" i="69"/>
  <c r="L82" i="69"/>
  <c r="K82" i="69"/>
  <c r="J82" i="69"/>
  <c r="I82" i="69"/>
  <c r="H82" i="69"/>
  <c r="G82" i="69"/>
  <c r="F82" i="69"/>
  <c r="A82" i="69"/>
  <c r="V81" i="69"/>
  <c r="U81" i="69"/>
  <c r="T81" i="69"/>
  <c r="S81" i="69"/>
  <c r="R81" i="69"/>
  <c r="Q81" i="69"/>
  <c r="P81" i="69"/>
  <c r="O81" i="69"/>
  <c r="N81" i="69"/>
  <c r="A81" i="69"/>
  <c r="V80" i="69"/>
  <c r="U80" i="69"/>
  <c r="T80" i="69"/>
  <c r="S80" i="69"/>
  <c r="R80" i="69"/>
  <c r="Q80" i="69"/>
  <c r="P80" i="69"/>
  <c r="O80" i="69"/>
  <c r="N80" i="69"/>
  <c r="A80" i="69"/>
  <c r="V79" i="69"/>
  <c r="U79" i="69"/>
  <c r="T79" i="69"/>
  <c r="S79" i="69"/>
  <c r="R79" i="69"/>
  <c r="Q79" i="69"/>
  <c r="P79" i="69"/>
  <c r="O79" i="69"/>
  <c r="N79" i="69"/>
  <c r="A79" i="69"/>
  <c r="V78" i="69"/>
  <c r="U78" i="69"/>
  <c r="T78" i="69"/>
  <c r="S78" i="69"/>
  <c r="R78" i="69"/>
  <c r="Q78" i="69"/>
  <c r="P78" i="69"/>
  <c r="O78" i="69"/>
  <c r="N78" i="69"/>
  <c r="A78" i="69"/>
  <c r="V77" i="69"/>
  <c r="U77" i="69"/>
  <c r="T77" i="69"/>
  <c r="S77" i="69"/>
  <c r="R77" i="69"/>
  <c r="Q77" i="69"/>
  <c r="P77" i="69"/>
  <c r="O77" i="69"/>
  <c r="N77" i="69"/>
  <c r="A77" i="69"/>
  <c r="V76" i="69"/>
  <c r="U76" i="69"/>
  <c r="T76" i="69"/>
  <c r="S76" i="69"/>
  <c r="R76" i="69"/>
  <c r="Q76" i="69"/>
  <c r="P76" i="69"/>
  <c r="O76" i="69"/>
  <c r="N76" i="69"/>
  <c r="A76" i="69"/>
  <c r="V75" i="69"/>
  <c r="U75" i="69"/>
  <c r="T75" i="69"/>
  <c r="S75" i="69"/>
  <c r="R75" i="69"/>
  <c r="Q75" i="69"/>
  <c r="P75" i="69"/>
  <c r="O75" i="69"/>
  <c r="N75" i="69"/>
  <c r="A75" i="69"/>
  <c r="V74" i="69"/>
  <c r="U74" i="69"/>
  <c r="T74" i="69"/>
  <c r="S74" i="69"/>
  <c r="R74" i="69"/>
  <c r="Q74" i="69"/>
  <c r="P74" i="69"/>
  <c r="O74" i="69"/>
  <c r="N74" i="69"/>
  <c r="A74" i="69"/>
  <c r="V73" i="69"/>
  <c r="U73" i="69"/>
  <c r="T73" i="69"/>
  <c r="S73" i="69"/>
  <c r="R73" i="69"/>
  <c r="Q73" i="69"/>
  <c r="P73" i="69"/>
  <c r="O73" i="69"/>
  <c r="N73" i="69"/>
  <c r="A73" i="69"/>
  <c r="V72" i="69"/>
  <c r="U72" i="69"/>
  <c r="T72" i="69"/>
  <c r="S72" i="69"/>
  <c r="R72" i="69"/>
  <c r="Q72" i="69"/>
  <c r="P72" i="69"/>
  <c r="O72" i="69"/>
  <c r="N72" i="69"/>
  <c r="A72" i="69"/>
  <c r="V71" i="69"/>
  <c r="U71" i="69"/>
  <c r="T71" i="69"/>
  <c r="S71" i="69"/>
  <c r="R71" i="69"/>
  <c r="Q71" i="69"/>
  <c r="P71" i="69"/>
  <c r="O71" i="69"/>
  <c r="N71" i="69"/>
  <c r="L71" i="69"/>
  <c r="K71" i="69"/>
  <c r="J71" i="69"/>
  <c r="I71" i="69"/>
  <c r="H71" i="69"/>
  <c r="G71" i="69"/>
  <c r="F71" i="69"/>
  <c r="E71" i="69"/>
  <c r="D71" i="69"/>
  <c r="C71" i="69"/>
  <c r="A71" i="69"/>
  <c r="V70" i="69"/>
  <c r="U70" i="69"/>
  <c r="T70" i="69"/>
  <c r="S70" i="69"/>
  <c r="R70" i="69"/>
  <c r="Q70" i="69"/>
  <c r="P70" i="69"/>
  <c r="O70" i="69"/>
  <c r="N70" i="69"/>
  <c r="A70" i="69"/>
  <c r="L69" i="69"/>
  <c r="K69" i="69"/>
  <c r="J69" i="69"/>
  <c r="I69" i="69"/>
  <c r="H69" i="69"/>
  <c r="G69" i="69"/>
  <c r="F69" i="69"/>
  <c r="E69" i="69"/>
  <c r="D69" i="69"/>
  <c r="C69" i="69"/>
  <c r="A69" i="69"/>
  <c r="V68" i="69"/>
  <c r="U68" i="69"/>
  <c r="T68" i="69"/>
  <c r="S68" i="69"/>
  <c r="R68" i="69"/>
  <c r="Q68" i="69"/>
  <c r="P68" i="69"/>
  <c r="O68" i="69"/>
  <c r="N68" i="69"/>
  <c r="C68" i="69"/>
  <c r="A68" i="69"/>
  <c r="V67" i="69"/>
  <c r="U67" i="69"/>
  <c r="T67" i="69"/>
  <c r="S67" i="69"/>
  <c r="R67" i="69"/>
  <c r="Q67" i="69"/>
  <c r="P67" i="69"/>
  <c r="O67" i="69"/>
  <c r="N67" i="69"/>
  <c r="A67" i="69"/>
  <c r="V66" i="69"/>
  <c r="U66" i="69"/>
  <c r="T66" i="69"/>
  <c r="S66" i="69"/>
  <c r="R66" i="69"/>
  <c r="Q66" i="69"/>
  <c r="P66" i="69"/>
  <c r="O66" i="69"/>
  <c r="N66" i="69"/>
  <c r="A66" i="69"/>
  <c r="C65" i="69"/>
  <c r="A65" i="69"/>
  <c r="V64" i="69"/>
  <c r="U64" i="69"/>
  <c r="T64" i="69"/>
  <c r="S64" i="69"/>
  <c r="R64" i="69"/>
  <c r="Q64" i="69"/>
  <c r="P64" i="69"/>
  <c r="O64" i="69"/>
  <c r="N64" i="69"/>
  <c r="C64" i="69"/>
  <c r="A64" i="69"/>
  <c r="V63" i="69"/>
  <c r="U63" i="69"/>
  <c r="T63" i="69"/>
  <c r="S63" i="69"/>
  <c r="R63" i="69"/>
  <c r="Q63" i="69"/>
  <c r="P63" i="69"/>
  <c r="O63" i="69"/>
  <c r="N63" i="69"/>
  <c r="A63" i="69"/>
  <c r="V62" i="69"/>
  <c r="U62" i="69"/>
  <c r="T62" i="69"/>
  <c r="S62" i="69"/>
  <c r="R62" i="69"/>
  <c r="Q62" i="69"/>
  <c r="P62" i="69"/>
  <c r="O62" i="69"/>
  <c r="N62" i="69"/>
  <c r="A62" i="69"/>
  <c r="V61" i="69"/>
  <c r="U61" i="69"/>
  <c r="T61" i="69"/>
  <c r="S61" i="69"/>
  <c r="R61" i="69"/>
  <c r="Q61" i="69"/>
  <c r="P61" i="69"/>
  <c r="O61" i="69"/>
  <c r="N61" i="69"/>
  <c r="A61" i="69"/>
  <c r="V60" i="69"/>
  <c r="U60" i="69"/>
  <c r="T60" i="69"/>
  <c r="S60" i="69"/>
  <c r="R60" i="69"/>
  <c r="Q60" i="69"/>
  <c r="P60" i="69"/>
  <c r="O60" i="69"/>
  <c r="N60" i="69"/>
  <c r="A60" i="69"/>
  <c r="V59" i="69"/>
  <c r="U59" i="69"/>
  <c r="T59" i="69"/>
  <c r="S59" i="69"/>
  <c r="R59" i="69"/>
  <c r="Q59" i="69"/>
  <c r="P59" i="69"/>
  <c r="O59" i="69"/>
  <c r="N59" i="69"/>
  <c r="A59" i="69"/>
  <c r="V58" i="69"/>
  <c r="U58" i="69"/>
  <c r="T58" i="69"/>
  <c r="S58" i="69"/>
  <c r="R58" i="69"/>
  <c r="Q58" i="69"/>
  <c r="P58" i="69"/>
  <c r="O58" i="69"/>
  <c r="N58" i="69"/>
  <c r="C58" i="69"/>
  <c r="A58" i="69"/>
  <c r="V57" i="69"/>
  <c r="U57" i="69"/>
  <c r="T57" i="69"/>
  <c r="S57" i="69"/>
  <c r="R57" i="69"/>
  <c r="Q57" i="69"/>
  <c r="P57" i="69"/>
  <c r="O57" i="69"/>
  <c r="N57" i="69"/>
  <c r="C57" i="69"/>
  <c r="A57" i="69"/>
  <c r="V56" i="69"/>
  <c r="U56" i="69"/>
  <c r="T56" i="69"/>
  <c r="S56" i="69"/>
  <c r="R56" i="69"/>
  <c r="Q56" i="69"/>
  <c r="P56" i="69"/>
  <c r="O56" i="69"/>
  <c r="N56" i="69"/>
  <c r="A56" i="69"/>
  <c r="V55" i="69"/>
  <c r="U55" i="69"/>
  <c r="T55" i="69"/>
  <c r="S55" i="69"/>
  <c r="R55" i="69"/>
  <c r="Q55" i="69"/>
  <c r="P55" i="69"/>
  <c r="O55" i="69"/>
  <c r="N55" i="69"/>
  <c r="A55" i="69"/>
  <c r="V54" i="69"/>
  <c r="U54" i="69"/>
  <c r="T54" i="69"/>
  <c r="S54" i="69"/>
  <c r="R54" i="69"/>
  <c r="Q54" i="69"/>
  <c r="P54" i="69"/>
  <c r="O54" i="69"/>
  <c r="N54" i="69"/>
  <c r="C54" i="69"/>
  <c r="A54" i="69"/>
  <c r="V53" i="69"/>
  <c r="U53" i="69"/>
  <c r="T53" i="69"/>
  <c r="S53" i="69"/>
  <c r="R53" i="69"/>
  <c r="Q53" i="69"/>
  <c r="P53" i="69"/>
  <c r="O53" i="69"/>
  <c r="N53" i="69"/>
  <c r="L53" i="69"/>
  <c r="K53" i="69"/>
  <c r="J53" i="69"/>
  <c r="I53" i="69"/>
  <c r="H53" i="69"/>
  <c r="G53" i="69"/>
  <c r="F53" i="69"/>
  <c r="E53" i="69"/>
  <c r="D53" i="69"/>
  <c r="C53" i="69"/>
  <c r="A53" i="69"/>
  <c r="V52" i="69"/>
  <c r="U52" i="69"/>
  <c r="T52" i="69"/>
  <c r="S52" i="69"/>
  <c r="R52" i="69"/>
  <c r="Q52" i="69"/>
  <c r="P52" i="69"/>
  <c r="O52" i="69"/>
  <c r="N52" i="69"/>
  <c r="L52" i="69"/>
  <c r="K52" i="69"/>
  <c r="J52" i="69"/>
  <c r="I52" i="69"/>
  <c r="H52" i="69"/>
  <c r="G52" i="69"/>
  <c r="F52" i="69"/>
  <c r="E52" i="69"/>
  <c r="D52" i="69"/>
  <c r="C52" i="69"/>
  <c r="A52" i="69"/>
  <c r="V51" i="69"/>
  <c r="U51" i="69"/>
  <c r="T51" i="69"/>
  <c r="S51" i="69"/>
  <c r="R51" i="69"/>
  <c r="Q51" i="69"/>
  <c r="P51" i="69"/>
  <c r="O51" i="69"/>
  <c r="N51" i="69"/>
  <c r="A51" i="69"/>
  <c r="V50" i="69"/>
  <c r="U50" i="69"/>
  <c r="T50" i="69"/>
  <c r="S50" i="69"/>
  <c r="R50" i="69"/>
  <c r="Q50" i="69"/>
  <c r="P50" i="69"/>
  <c r="O50" i="69"/>
  <c r="N50" i="69"/>
  <c r="A50" i="69"/>
  <c r="V49" i="69"/>
  <c r="U49" i="69"/>
  <c r="T49" i="69"/>
  <c r="S49" i="69"/>
  <c r="R49" i="69"/>
  <c r="Q49" i="69"/>
  <c r="P49" i="69"/>
  <c r="O49" i="69"/>
  <c r="N49" i="69"/>
  <c r="A49" i="69"/>
  <c r="V48" i="69"/>
  <c r="U48" i="69"/>
  <c r="T48" i="69"/>
  <c r="S48" i="69"/>
  <c r="R48" i="69"/>
  <c r="Q48" i="69"/>
  <c r="P48" i="69"/>
  <c r="O48" i="69"/>
  <c r="N48" i="69"/>
  <c r="A48" i="69"/>
  <c r="V47" i="69"/>
  <c r="U47" i="69"/>
  <c r="T47" i="69"/>
  <c r="S47" i="69"/>
  <c r="R47" i="69"/>
  <c r="Q47" i="69"/>
  <c r="P47" i="69"/>
  <c r="O47" i="69"/>
  <c r="N47" i="69"/>
  <c r="A47" i="69"/>
  <c r="V46" i="69"/>
  <c r="U46" i="69"/>
  <c r="T46" i="69"/>
  <c r="S46" i="69"/>
  <c r="R46" i="69"/>
  <c r="Q46" i="69"/>
  <c r="P46" i="69"/>
  <c r="O46" i="69"/>
  <c r="N46" i="69"/>
  <c r="A46" i="69"/>
  <c r="V45" i="69"/>
  <c r="U45" i="69"/>
  <c r="T45" i="69"/>
  <c r="S45" i="69"/>
  <c r="R45" i="69"/>
  <c r="Q45" i="69"/>
  <c r="P45" i="69"/>
  <c r="O45" i="69"/>
  <c r="N45" i="69"/>
  <c r="A45" i="69"/>
  <c r="V44" i="69"/>
  <c r="U44" i="69"/>
  <c r="T44" i="69"/>
  <c r="S44" i="69"/>
  <c r="R44" i="69"/>
  <c r="Q44" i="69"/>
  <c r="P44" i="69"/>
  <c r="O44" i="69"/>
  <c r="N44" i="69"/>
  <c r="A44" i="69"/>
  <c r="V43" i="69"/>
  <c r="U43" i="69"/>
  <c r="T43" i="69"/>
  <c r="S43" i="69"/>
  <c r="R43" i="69"/>
  <c r="Q43" i="69"/>
  <c r="P43" i="69"/>
  <c r="O43" i="69"/>
  <c r="N43" i="69"/>
  <c r="L43" i="69"/>
  <c r="K43" i="69"/>
  <c r="J43" i="69"/>
  <c r="I43" i="69"/>
  <c r="H43" i="69"/>
  <c r="G43" i="69"/>
  <c r="F43" i="69"/>
  <c r="E43" i="69"/>
  <c r="D43" i="69"/>
  <c r="C43" i="69"/>
  <c r="A43" i="69"/>
  <c r="V42" i="69"/>
  <c r="U42" i="69"/>
  <c r="T42" i="69"/>
  <c r="S42" i="69"/>
  <c r="R42" i="69"/>
  <c r="Q42" i="69"/>
  <c r="P42" i="69"/>
  <c r="O42" i="69"/>
  <c r="N42" i="69"/>
  <c r="L42" i="69"/>
  <c r="K42" i="69"/>
  <c r="J42" i="69"/>
  <c r="I42" i="69"/>
  <c r="H42" i="69"/>
  <c r="G42" i="69"/>
  <c r="F42" i="69"/>
  <c r="E42" i="69"/>
  <c r="D42" i="69"/>
  <c r="C42" i="69"/>
  <c r="A42" i="69"/>
  <c r="V41" i="69"/>
  <c r="U41" i="69"/>
  <c r="T41" i="69"/>
  <c r="S41" i="69"/>
  <c r="R41" i="69"/>
  <c r="Q41" i="69"/>
  <c r="P41" i="69"/>
  <c r="O41" i="69"/>
  <c r="N41" i="69"/>
  <c r="L41" i="69"/>
  <c r="K41" i="69"/>
  <c r="J41" i="69"/>
  <c r="I41" i="69"/>
  <c r="H41" i="69"/>
  <c r="G41" i="69"/>
  <c r="F41" i="69"/>
  <c r="E41" i="69"/>
  <c r="D41" i="69"/>
  <c r="C41" i="69"/>
  <c r="A41" i="69"/>
  <c r="V40" i="69"/>
  <c r="U40" i="69"/>
  <c r="T40" i="69"/>
  <c r="S40" i="69"/>
  <c r="R40" i="69"/>
  <c r="Q40" i="69"/>
  <c r="P40" i="69"/>
  <c r="O40" i="69"/>
  <c r="N40" i="69"/>
  <c r="A40" i="69"/>
  <c r="V39" i="69"/>
  <c r="U39" i="69"/>
  <c r="T39" i="69"/>
  <c r="S39" i="69"/>
  <c r="R39" i="69"/>
  <c r="Q39" i="69"/>
  <c r="P39" i="69"/>
  <c r="O39" i="69"/>
  <c r="N39" i="69"/>
  <c r="L39" i="69"/>
  <c r="K39" i="69"/>
  <c r="J39" i="69"/>
  <c r="I39" i="69"/>
  <c r="H39" i="69"/>
  <c r="G39" i="69"/>
  <c r="F39" i="69"/>
  <c r="E39" i="69"/>
  <c r="D39" i="69"/>
  <c r="A39" i="69"/>
  <c r="V38" i="69"/>
  <c r="U38" i="69"/>
  <c r="T38" i="69"/>
  <c r="S38" i="69"/>
  <c r="R38" i="69"/>
  <c r="Q38" i="69"/>
  <c r="P38" i="69"/>
  <c r="O38" i="69"/>
  <c r="N38" i="69"/>
  <c r="A38" i="69"/>
  <c r="V37" i="69"/>
  <c r="U37" i="69"/>
  <c r="T37" i="69"/>
  <c r="S37" i="69"/>
  <c r="R37" i="69"/>
  <c r="Q37" i="69"/>
  <c r="P37" i="69"/>
  <c r="O37" i="69"/>
  <c r="N37" i="69"/>
  <c r="L37" i="69"/>
  <c r="K37" i="69"/>
  <c r="J37" i="69"/>
  <c r="I37" i="69"/>
  <c r="H37" i="69"/>
  <c r="G37" i="69"/>
  <c r="F37" i="69"/>
  <c r="E37" i="69"/>
  <c r="D37" i="69"/>
  <c r="C37" i="69"/>
  <c r="A37" i="69"/>
  <c r="V36" i="69"/>
  <c r="U36" i="69"/>
  <c r="T36" i="69"/>
  <c r="S36" i="69"/>
  <c r="R36" i="69"/>
  <c r="Q36" i="69"/>
  <c r="P36" i="69"/>
  <c r="O36" i="69"/>
  <c r="N36" i="69"/>
  <c r="C36" i="69"/>
  <c r="A36" i="69"/>
  <c r="V35" i="69"/>
  <c r="U35" i="69"/>
  <c r="T35" i="69"/>
  <c r="S35" i="69"/>
  <c r="R35" i="69"/>
  <c r="Q35" i="69"/>
  <c r="P35" i="69"/>
  <c r="O35" i="69"/>
  <c r="N35" i="69"/>
  <c r="A35" i="69"/>
  <c r="V34" i="69"/>
  <c r="U34" i="69"/>
  <c r="T34" i="69"/>
  <c r="S34" i="69"/>
  <c r="R34" i="69"/>
  <c r="Q34" i="69"/>
  <c r="P34" i="69"/>
  <c r="O34" i="69"/>
  <c r="N34" i="69"/>
  <c r="L34" i="69"/>
  <c r="K34" i="69"/>
  <c r="J34" i="69"/>
  <c r="I34" i="69"/>
  <c r="H34" i="69"/>
  <c r="G34" i="69"/>
  <c r="F34" i="69"/>
  <c r="E34" i="69"/>
  <c r="D34" i="69"/>
  <c r="C34" i="69"/>
  <c r="A34" i="69"/>
  <c r="V33" i="69"/>
  <c r="U33" i="69"/>
  <c r="T33" i="69"/>
  <c r="S33" i="69"/>
  <c r="R33" i="69"/>
  <c r="Q33" i="69"/>
  <c r="P33" i="69"/>
  <c r="O33" i="69"/>
  <c r="N33" i="69"/>
  <c r="L33" i="69"/>
  <c r="K33" i="69"/>
  <c r="J33" i="69"/>
  <c r="I33" i="69"/>
  <c r="H33" i="69"/>
  <c r="G33" i="69"/>
  <c r="F33" i="69"/>
  <c r="E33" i="69"/>
  <c r="D33" i="69"/>
  <c r="T32" i="69"/>
  <c r="S32" i="69"/>
  <c r="V31" i="69"/>
  <c r="U31" i="69"/>
  <c r="T31" i="69"/>
  <c r="S31" i="69"/>
  <c r="R31" i="69"/>
  <c r="Q31" i="69"/>
  <c r="P31" i="69"/>
  <c r="O31" i="69"/>
  <c r="N31" i="69"/>
  <c r="M31" i="69"/>
  <c r="J20" i="69"/>
  <c r="I20" i="69"/>
  <c r="H20" i="69"/>
  <c r="G20" i="69"/>
  <c r="J19" i="69"/>
  <c r="I19" i="69"/>
  <c r="H19" i="69"/>
  <c r="G19" i="69"/>
  <c r="J18" i="69"/>
  <c r="I18" i="69"/>
  <c r="H18" i="69"/>
  <c r="G18" i="69"/>
  <c r="J17" i="69"/>
  <c r="I17" i="69"/>
  <c r="H17" i="69"/>
  <c r="G17" i="69"/>
  <c r="J16" i="69"/>
  <c r="I16" i="69"/>
  <c r="H16" i="69"/>
  <c r="G16" i="69"/>
  <c r="J15" i="69"/>
  <c r="I15" i="69"/>
  <c r="H15" i="69"/>
  <c r="G15" i="69"/>
  <c r="J14" i="69"/>
  <c r="I14" i="69"/>
  <c r="H14" i="69"/>
  <c r="G14" i="69"/>
  <c r="J13" i="69"/>
  <c r="I13" i="69"/>
  <c r="H13" i="69"/>
  <c r="G13" i="69"/>
  <c r="J12" i="69"/>
  <c r="I12" i="69"/>
  <c r="H12" i="69"/>
  <c r="G12" i="69"/>
  <c r="J11" i="69"/>
  <c r="H11" i="69"/>
  <c r="G11" i="69"/>
  <c r="B7" i="69"/>
  <c r="I11" i="69" s="1"/>
  <c r="C33" i="69" s="1"/>
  <c r="H128" i="68"/>
  <c r="G128" i="68"/>
  <c r="F128" i="68"/>
  <c r="I127" i="68"/>
  <c r="H127" i="68"/>
  <c r="G127" i="68"/>
  <c r="F127" i="68"/>
  <c r="I126" i="68"/>
  <c r="H126" i="68"/>
  <c r="G126" i="68"/>
  <c r="F126" i="68"/>
  <c r="I125" i="68"/>
  <c r="H125" i="68"/>
  <c r="G125" i="68"/>
  <c r="F125" i="68"/>
  <c r="I124" i="68"/>
  <c r="H124" i="68"/>
  <c r="G124" i="68"/>
  <c r="F124" i="68"/>
  <c r="I123" i="68"/>
  <c r="H123" i="68"/>
  <c r="G123" i="68"/>
  <c r="F123" i="68"/>
  <c r="I122" i="68"/>
  <c r="H122" i="68"/>
  <c r="G122" i="68"/>
  <c r="F122" i="68"/>
  <c r="I121" i="68"/>
  <c r="H121" i="68"/>
  <c r="G121" i="68"/>
  <c r="F121" i="68"/>
  <c r="I120" i="68"/>
  <c r="H120" i="68"/>
  <c r="G120" i="68"/>
  <c r="F120" i="68"/>
  <c r="V103" i="68"/>
  <c r="U103" i="68"/>
  <c r="T103" i="68"/>
  <c r="S103" i="68"/>
  <c r="R103" i="68"/>
  <c r="Q103" i="68"/>
  <c r="P103" i="68"/>
  <c r="O103" i="68"/>
  <c r="N103" i="68"/>
  <c r="A103" i="68"/>
  <c r="V102" i="68"/>
  <c r="U102" i="68"/>
  <c r="T102" i="68"/>
  <c r="S102" i="68"/>
  <c r="R102" i="68"/>
  <c r="Q102" i="68"/>
  <c r="P102" i="68"/>
  <c r="O102" i="68"/>
  <c r="N102" i="68"/>
  <c r="A102" i="68"/>
  <c r="V101" i="68"/>
  <c r="U101" i="68"/>
  <c r="T101" i="68"/>
  <c r="S101" i="68"/>
  <c r="R101" i="68"/>
  <c r="Q101" i="68"/>
  <c r="P101" i="68"/>
  <c r="O101" i="68"/>
  <c r="N101" i="68"/>
  <c r="A101" i="68"/>
  <c r="V100" i="68"/>
  <c r="U100" i="68"/>
  <c r="T100" i="68"/>
  <c r="S100" i="68"/>
  <c r="R100" i="68"/>
  <c r="Q100" i="68"/>
  <c r="P100" i="68"/>
  <c r="O100" i="68"/>
  <c r="N100" i="68"/>
  <c r="A100" i="68"/>
  <c r="V99" i="68"/>
  <c r="U99" i="68"/>
  <c r="T99" i="68"/>
  <c r="S99" i="68"/>
  <c r="R99" i="68"/>
  <c r="Q99" i="68"/>
  <c r="P99" i="68"/>
  <c r="O99" i="68"/>
  <c r="N99" i="68"/>
  <c r="A99" i="68"/>
  <c r="V98" i="68"/>
  <c r="U98" i="68"/>
  <c r="T98" i="68"/>
  <c r="S98" i="68"/>
  <c r="R98" i="68"/>
  <c r="Q98" i="68"/>
  <c r="P98" i="68"/>
  <c r="O98" i="68"/>
  <c r="N98" i="68"/>
  <c r="A98" i="68"/>
  <c r="V97" i="68"/>
  <c r="U97" i="68"/>
  <c r="T97" i="68"/>
  <c r="S97" i="68"/>
  <c r="R97" i="68"/>
  <c r="Q97" i="68"/>
  <c r="P97" i="68"/>
  <c r="O97" i="68"/>
  <c r="N97" i="68"/>
  <c r="A97" i="68"/>
  <c r="V96" i="68"/>
  <c r="U96" i="68"/>
  <c r="T96" i="68"/>
  <c r="S96" i="68"/>
  <c r="R96" i="68"/>
  <c r="Q96" i="68"/>
  <c r="P96" i="68"/>
  <c r="O96" i="68"/>
  <c r="N96" i="68"/>
  <c r="A96" i="68"/>
  <c r="V95" i="68"/>
  <c r="U95" i="68"/>
  <c r="T95" i="68"/>
  <c r="S95" i="68"/>
  <c r="R95" i="68"/>
  <c r="Q95" i="68"/>
  <c r="P95" i="68"/>
  <c r="O95" i="68"/>
  <c r="N95" i="68"/>
  <c r="A95" i="68"/>
  <c r="V94" i="68"/>
  <c r="U94" i="68"/>
  <c r="T94" i="68"/>
  <c r="S94" i="68"/>
  <c r="R94" i="68"/>
  <c r="Q94" i="68"/>
  <c r="P94" i="68"/>
  <c r="O94" i="68"/>
  <c r="N94" i="68"/>
  <c r="A94" i="68"/>
  <c r="V93" i="68"/>
  <c r="U93" i="68"/>
  <c r="T93" i="68"/>
  <c r="S93" i="68"/>
  <c r="R93" i="68"/>
  <c r="Q93" i="68"/>
  <c r="P93" i="68"/>
  <c r="O93" i="68"/>
  <c r="N93" i="68"/>
  <c r="A93" i="68"/>
  <c r="V92" i="68"/>
  <c r="U92" i="68"/>
  <c r="T92" i="68"/>
  <c r="S92" i="68"/>
  <c r="R92" i="68"/>
  <c r="Q92" i="68"/>
  <c r="P92" i="68"/>
  <c r="O92" i="68"/>
  <c r="N92" i="68"/>
  <c r="A92" i="68"/>
  <c r="V91" i="68"/>
  <c r="U91" i="68"/>
  <c r="T91" i="68"/>
  <c r="S91" i="68"/>
  <c r="R91" i="68"/>
  <c r="Q91" i="68"/>
  <c r="P91" i="68"/>
  <c r="O91" i="68"/>
  <c r="N91" i="68"/>
  <c r="A91" i="68"/>
  <c r="V90" i="68"/>
  <c r="U90" i="68"/>
  <c r="T90" i="68"/>
  <c r="S90" i="68"/>
  <c r="R90" i="68"/>
  <c r="Q90" i="68"/>
  <c r="P90" i="68"/>
  <c r="O90" i="68"/>
  <c r="N90" i="68"/>
  <c r="A90" i="68"/>
  <c r="V89" i="68"/>
  <c r="U89" i="68"/>
  <c r="T89" i="68"/>
  <c r="S89" i="68"/>
  <c r="R89" i="68"/>
  <c r="Q89" i="68"/>
  <c r="P89" i="68"/>
  <c r="O89" i="68"/>
  <c r="N89" i="68"/>
  <c r="A89" i="68"/>
  <c r="V88" i="68"/>
  <c r="U88" i="68"/>
  <c r="T88" i="68"/>
  <c r="S88" i="68"/>
  <c r="R88" i="68"/>
  <c r="Q88" i="68"/>
  <c r="P88" i="68"/>
  <c r="O88" i="68"/>
  <c r="N88" i="68"/>
  <c r="A88" i="68"/>
  <c r="V87" i="68"/>
  <c r="U87" i="68"/>
  <c r="T87" i="68"/>
  <c r="S87" i="68"/>
  <c r="R87" i="68"/>
  <c r="Q87" i="68"/>
  <c r="P87" i="68"/>
  <c r="O87" i="68"/>
  <c r="N87" i="68"/>
  <c r="A87" i="68"/>
  <c r="V86" i="68"/>
  <c r="U86" i="68"/>
  <c r="T86" i="68"/>
  <c r="S86" i="68"/>
  <c r="R86" i="68"/>
  <c r="Q86" i="68"/>
  <c r="P86" i="68"/>
  <c r="O86" i="68"/>
  <c r="N86" i="68"/>
  <c r="A86" i="68"/>
  <c r="V85" i="68"/>
  <c r="U85" i="68"/>
  <c r="T85" i="68"/>
  <c r="S85" i="68"/>
  <c r="R85" i="68"/>
  <c r="Q85" i="68"/>
  <c r="P85" i="68"/>
  <c r="O85" i="68"/>
  <c r="N85" i="68"/>
  <c r="A85" i="68"/>
  <c r="V84" i="68"/>
  <c r="U84" i="68"/>
  <c r="T84" i="68"/>
  <c r="S84" i="68"/>
  <c r="R84" i="68"/>
  <c r="Q84" i="68"/>
  <c r="P84" i="68"/>
  <c r="O84" i="68"/>
  <c r="N84" i="68"/>
  <c r="A84" i="68"/>
  <c r="V83" i="68"/>
  <c r="U83" i="68"/>
  <c r="T83" i="68"/>
  <c r="S83" i="68"/>
  <c r="R83" i="68"/>
  <c r="Q83" i="68"/>
  <c r="P83" i="68"/>
  <c r="O83" i="68"/>
  <c r="N83" i="68"/>
  <c r="A83" i="68"/>
  <c r="V82" i="68"/>
  <c r="U82" i="68"/>
  <c r="T82" i="68"/>
  <c r="S82" i="68"/>
  <c r="R82" i="68"/>
  <c r="Q82" i="68"/>
  <c r="P82" i="68"/>
  <c r="O82" i="68"/>
  <c r="N82" i="68"/>
  <c r="L82" i="68"/>
  <c r="K82" i="68"/>
  <c r="J82" i="68"/>
  <c r="I82" i="68"/>
  <c r="H82" i="68"/>
  <c r="G82" i="68"/>
  <c r="F82" i="68"/>
  <c r="A82" i="68"/>
  <c r="V81" i="68"/>
  <c r="U81" i="68"/>
  <c r="T81" i="68"/>
  <c r="S81" i="68"/>
  <c r="R81" i="68"/>
  <c r="Q81" i="68"/>
  <c r="P81" i="68"/>
  <c r="O81" i="68"/>
  <c r="N81" i="68"/>
  <c r="A81" i="68"/>
  <c r="V80" i="68"/>
  <c r="U80" i="68"/>
  <c r="T80" i="68"/>
  <c r="S80" i="68"/>
  <c r="R80" i="68"/>
  <c r="Q80" i="68"/>
  <c r="P80" i="68"/>
  <c r="O80" i="68"/>
  <c r="N80" i="68"/>
  <c r="A80" i="68"/>
  <c r="V79" i="68"/>
  <c r="U79" i="68"/>
  <c r="T79" i="68"/>
  <c r="S79" i="68"/>
  <c r="R79" i="68"/>
  <c r="Q79" i="68"/>
  <c r="P79" i="68"/>
  <c r="O79" i="68"/>
  <c r="N79" i="68"/>
  <c r="A79" i="68"/>
  <c r="V78" i="68"/>
  <c r="U78" i="68"/>
  <c r="T78" i="68"/>
  <c r="S78" i="68"/>
  <c r="R78" i="68"/>
  <c r="Q78" i="68"/>
  <c r="P78" i="68"/>
  <c r="O78" i="68"/>
  <c r="N78" i="68"/>
  <c r="A78" i="68"/>
  <c r="V77" i="68"/>
  <c r="U77" i="68"/>
  <c r="T77" i="68"/>
  <c r="S77" i="68"/>
  <c r="R77" i="68"/>
  <c r="Q77" i="68"/>
  <c r="P77" i="68"/>
  <c r="O77" i="68"/>
  <c r="N77" i="68"/>
  <c r="A77" i="68"/>
  <c r="V76" i="68"/>
  <c r="U76" i="68"/>
  <c r="T76" i="68"/>
  <c r="S76" i="68"/>
  <c r="R76" i="68"/>
  <c r="Q76" i="68"/>
  <c r="P76" i="68"/>
  <c r="O76" i="68"/>
  <c r="N76" i="68"/>
  <c r="A76" i="68"/>
  <c r="V75" i="68"/>
  <c r="U75" i="68"/>
  <c r="T75" i="68"/>
  <c r="S75" i="68"/>
  <c r="R75" i="68"/>
  <c r="Q75" i="68"/>
  <c r="P75" i="68"/>
  <c r="O75" i="68"/>
  <c r="N75" i="68"/>
  <c r="A75" i="68"/>
  <c r="V74" i="68"/>
  <c r="U74" i="68"/>
  <c r="T74" i="68"/>
  <c r="S74" i="68"/>
  <c r="R74" i="68"/>
  <c r="Q74" i="68"/>
  <c r="P74" i="68"/>
  <c r="O74" i="68"/>
  <c r="N74" i="68"/>
  <c r="A74" i="68"/>
  <c r="V73" i="68"/>
  <c r="U73" i="68"/>
  <c r="T73" i="68"/>
  <c r="S73" i="68"/>
  <c r="R73" i="68"/>
  <c r="Q73" i="68"/>
  <c r="P73" i="68"/>
  <c r="O73" i="68"/>
  <c r="N73" i="68"/>
  <c r="A73" i="68"/>
  <c r="V72" i="68"/>
  <c r="U72" i="68"/>
  <c r="T72" i="68"/>
  <c r="S72" i="68"/>
  <c r="R72" i="68"/>
  <c r="Q72" i="68"/>
  <c r="P72" i="68"/>
  <c r="O72" i="68"/>
  <c r="N72" i="68"/>
  <c r="A72" i="68"/>
  <c r="V71" i="68"/>
  <c r="U71" i="68"/>
  <c r="T71" i="68"/>
  <c r="S71" i="68"/>
  <c r="R71" i="68"/>
  <c r="Q71" i="68"/>
  <c r="P71" i="68"/>
  <c r="O71" i="68"/>
  <c r="N71" i="68"/>
  <c r="L71" i="68"/>
  <c r="K71" i="68"/>
  <c r="J71" i="68"/>
  <c r="I71" i="68"/>
  <c r="H71" i="68"/>
  <c r="G71" i="68"/>
  <c r="F71" i="68"/>
  <c r="E71" i="68"/>
  <c r="D71" i="68"/>
  <c r="C71" i="68"/>
  <c r="A71" i="68"/>
  <c r="V70" i="68"/>
  <c r="U70" i="68"/>
  <c r="T70" i="68"/>
  <c r="S70" i="68"/>
  <c r="R70" i="68"/>
  <c r="Q70" i="68"/>
  <c r="P70" i="68"/>
  <c r="O70" i="68"/>
  <c r="N70" i="68"/>
  <c r="A70" i="68"/>
  <c r="L69" i="68"/>
  <c r="K69" i="68"/>
  <c r="J69" i="68"/>
  <c r="I69" i="68"/>
  <c r="H69" i="68"/>
  <c r="G69" i="68"/>
  <c r="F69" i="68"/>
  <c r="E69" i="68"/>
  <c r="D69" i="68"/>
  <c r="C69" i="68"/>
  <c r="A69" i="68"/>
  <c r="V68" i="68"/>
  <c r="U68" i="68"/>
  <c r="T68" i="68"/>
  <c r="S68" i="68"/>
  <c r="R68" i="68"/>
  <c r="Q68" i="68"/>
  <c r="P68" i="68"/>
  <c r="O68" i="68"/>
  <c r="N68" i="68"/>
  <c r="C68" i="68"/>
  <c r="A68" i="68"/>
  <c r="V67" i="68"/>
  <c r="U67" i="68"/>
  <c r="T67" i="68"/>
  <c r="S67" i="68"/>
  <c r="R67" i="68"/>
  <c r="Q67" i="68"/>
  <c r="P67" i="68"/>
  <c r="O67" i="68"/>
  <c r="N67" i="68"/>
  <c r="A67" i="68"/>
  <c r="V66" i="68"/>
  <c r="U66" i="68"/>
  <c r="T66" i="68"/>
  <c r="S66" i="68"/>
  <c r="R66" i="68"/>
  <c r="Q66" i="68"/>
  <c r="P66" i="68"/>
  <c r="O66" i="68"/>
  <c r="N66" i="68"/>
  <c r="A66" i="68"/>
  <c r="C65" i="68"/>
  <c r="A65" i="68"/>
  <c r="V64" i="68"/>
  <c r="U64" i="68"/>
  <c r="T64" i="68"/>
  <c r="S64" i="68"/>
  <c r="R64" i="68"/>
  <c r="Q64" i="68"/>
  <c r="P64" i="68"/>
  <c r="O64" i="68"/>
  <c r="N64" i="68"/>
  <c r="C64" i="68"/>
  <c r="A64" i="68"/>
  <c r="V63" i="68"/>
  <c r="U63" i="68"/>
  <c r="T63" i="68"/>
  <c r="S63" i="68"/>
  <c r="R63" i="68"/>
  <c r="Q63" i="68"/>
  <c r="P63" i="68"/>
  <c r="O63" i="68"/>
  <c r="N63" i="68"/>
  <c r="A63" i="68"/>
  <c r="V62" i="68"/>
  <c r="U62" i="68"/>
  <c r="T62" i="68"/>
  <c r="S62" i="68"/>
  <c r="R62" i="68"/>
  <c r="Q62" i="68"/>
  <c r="P62" i="68"/>
  <c r="O62" i="68"/>
  <c r="N62" i="68"/>
  <c r="A62" i="68"/>
  <c r="V61" i="68"/>
  <c r="U61" i="68"/>
  <c r="T61" i="68"/>
  <c r="S61" i="68"/>
  <c r="R61" i="68"/>
  <c r="Q61" i="68"/>
  <c r="P61" i="68"/>
  <c r="O61" i="68"/>
  <c r="N61" i="68"/>
  <c r="A61" i="68"/>
  <c r="V60" i="68"/>
  <c r="U60" i="68"/>
  <c r="T60" i="68"/>
  <c r="S60" i="68"/>
  <c r="R60" i="68"/>
  <c r="Q60" i="68"/>
  <c r="P60" i="68"/>
  <c r="O60" i="68"/>
  <c r="N60" i="68"/>
  <c r="A60" i="68"/>
  <c r="V59" i="68"/>
  <c r="U59" i="68"/>
  <c r="T59" i="68"/>
  <c r="S59" i="68"/>
  <c r="R59" i="68"/>
  <c r="Q59" i="68"/>
  <c r="P59" i="68"/>
  <c r="O59" i="68"/>
  <c r="N59" i="68"/>
  <c r="A59" i="68"/>
  <c r="V58" i="68"/>
  <c r="U58" i="68"/>
  <c r="T58" i="68"/>
  <c r="S58" i="68"/>
  <c r="R58" i="68"/>
  <c r="Q58" i="68"/>
  <c r="P58" i="68"/>
  <c r="O58" i="68"/>
  <c r="N58" i="68"/>
  <c r="C58" i="68"/>
  <c r="A58" i="68"/>
  <c r="V57" i="68"/>
  <c r="U57" i="68"/>
  <c r="T57" i="68"/>
  <c r="S57" i="68"/>
  <c r="R57" i="68"/>
  <c r="Q57" i="68"/>
  <c r="P57" i="68"/>
  <c r="O57" i="68"/>
  <c r="N57" i="68"/>
  <c r="C57" i="68"/>
  <c r="A57" i="68"/>
  <c r="V56" i="68"/>
  <c r="U56" i="68"/>
  <c r="T56" i="68"/>
  <c r="S56" i="68"/>
  <c r="R56" i="68"/>
  <c r="Q56" i="68"/>
  <c r="P56" i="68"/>
  <c r="O56" i="68"/>
  <c r="N56" i="68"/>
  <c r="A56" i="68"/>
  <c r="V55" i="68"/>
  <c r="U55" i="68"/>
  <c r="T55" i="68"/>
  <c r="S55" i="68"/>
  <c r="R55" i="68"/>
  <c r="Q55" i="68"/>
  <c r="P55" i="68"/>
  <c r="O55" i="68"/>
  <c r="N55" i="68"/>
  <c r="A55" i="68"/>
  <c r="V54" i="68"/>
  <c r="U54" i="68"/>
  <c r="T54" i="68"/>
  <c r="S54" i="68"/>
  <c r="R54" i="68"/>
  <c r="Q54" i="68"/>
  <c r="P54" i="68"/>
  <c r="O54" i="68"/>
  <c r="N54" i="68"/>
  <c r="C54" i="68"/>
  <c r="A54" i="68"/>
  <c r="V53" i="68"/>
  <c r="U53" i="68"/>
  <c r="T53" i="68"/>
  <c r="S53" i="68"/>
  <c r="R53" i="68"/>
  <c r="Q53" i="68"/>
  <c r="P53" i="68"/>
  <c r="O53" i="68"/>
  <c r="N53" i="68"/>
  <c r="L53" i="68"/>
  <c r="K53" i="68"/>
  <c r="J53" i="68"/>
  <c r="I53" i="68"/>
  <c r="H53" i="68"/>
  <c r="G53" i="68"/>
  <c r="F53" i="68"/>
  <c r="E53" i="68"/>
  <c r="D53" i="68"/>
  <c r="C53" i="68"/>
  <c r="A53" i="68"/>
  <c r="V52" i="68"/>
  <c r="U52" i="68"/>
  <c r="T52" i="68"/>
  <c r="S52" i="68"/>
  <c r="R52" i="68"/>
  <c r="Q52" i="68"/>
  <c r="P52" i="68"/>
  <c r="O52" i="68"/>
  <c r="N52" i="68"/>
  <c r="L52" i="68"/>
  <c r="K52" i="68"/>
  <c r="J52" i="68"/>
  <c r="I52" i="68"/>
  <c r="H52" i="68"/>
  <c r="G52" i="68"/>
  <c r="F52" i="68"/>
  <c r="E52" i="68"/>
  <c r="D52" i="68"/>
  <c r="C52" i="68"/>
  <c r="A52" i="68"/>
  <c r="V51" i="68"/>
  <c r="U51" i="68"/>
  <c r="T51" i="68"/>
  <c r="S51" i="68"/>
  <c r="R51" i="68"/>
  <c r="Q51" i="68"/>
  <c r="P51" i="68"/>
  <c r="O51" i="68"/>
  <c r="N51" i="68"/>
  <c r="A51" i="68"/>
  <c r="V50" i="68"/>
  <c r="U50" i="68"/>
  <c r="T50" i="68"/>
  <c r="S50" i="68"/>
  <c r="R50" i="68"/>
  <c r="Q50" i="68"/>
  <c r="P50" i="68"/>
  <c r="O50" i="68"/>
  <c r="N50" i="68"/>
  <c r="A50" i="68"/>
  <c r="V49" i="68"/>
  <c r="U49" i="68"/>
  <c r="T49" i="68"/>
  <c r="S49" i="68"/>
  <c r="R49" i="68"/>
  <c r="Q49" i="68"/>
  <c r="P49" i="68"/>
  <c r="O49" i="68"/>
  <c r="N49" i="68"/>
  <c r="A49" i="68"/>
  <c r="V48" i="68"/>
  <c r="U48" i="68"/>
  <c r="T48" i="68"/>
  <c r="S48" i="68"/>
  <c r="R48" i="68"/>
  <c r="Q48" i="68"/>
  <c r="P48" i="68"/>
  <c r="O48" i="68"/>
  <c r="N48" i="68"/>
  <c r="A48" i="68"/>
  <c r="V47" i="68"/>
  <c r="U47" i="68"/>
  <c r="T47" i="68"/>
  <c r="S47" i="68"/>
  <c r="R47" i="68"/>
  <c r="Q47" i="68"/>
  <c r="P47" i="68"/>
  <c r="O47" i="68"/>
  <c r="N47" i="68"/>
  <c r="A47" i="68"/>
  <c r="V46" i="68"/>
  <c r="U46" i="68"/>
  <c r="T46" i="68"/>
  <c r="S46" i="68"/>
  <c r="R46" i="68"/>
  <c r="Q46" i="68"/>
  <c r="P46" i="68"/>
  <c r="O46" i="68"/>
  <c r="N46" i="68"/>
  <c r="A46" i="68"/>
  <c r="V45" i="68"/>
  <c r="U45" i="68"/>
  <c r="T45" i="68"/>
  <c r="S45" i="68"/>
  <c r="R45" i="68"/>
  <c r="Q45" i="68"/>
  <c r="P45" i="68"/>
  <c r="O45" i="68"/>
  <c r="N45" i="68"/>
  <c r="A45" i="68"/>
  <c r="V44" i="68"/>
  <c r="U44" i="68"/>
  <c r="T44" i="68"/>
  <c r="S44" i="68"/>
  <c r="R44" i="68"/>
  <c r="Q44" i="68"/>
  <c r="P44" i="68"/>
  <c r="O44" i="68"/>
  <c r="N44" i="68"/>
  <c r="A44" i="68"/>
  <c r="V43" i="68"/>
  <c r="U43" i="68"/>
  <c r="T43" i="68"/>
  <c r="S43" i="68"/>
  <c r="R43" i="68"/>
  <c r="Q43" i="68"/>
  <c r="P43" i="68"/>
  <c r="O43" i="68"/>
  <c r="N43" i="68"/>
  <c r="L43" i="68"/>
  <c r="K43" i="68"/>
  <c r="J43" i="68"/>
  <c r="I43" i="68"/>
  <c r="H43" i="68"/>
  <c r="G43" i="68"/>
  <c r="F43" i="68"/>
  <c r="E43" i="68"/>
  <c r="D43" i="68"/>
  <c r="C43" i="68"/>
  <c r="A43" i="68"/>
  <c r="V42" i="68"/>
  <c r="U42" i="68"/>
  <c r="T42" i="68"/>
  <c r="S42" i="68"/>
  <c r="R42" i="68"/>
  <c r="Q42" i="68"/>
  <c r="P42" i="68"/>
  <c r="O42" i="68"/>
  <c r="N42" i="68"/>
  <c r="L42" i="68"/>
  <c r="K42" i="68"/>
  <c r="J42" i="68"/>
  <c r="I42" i="68"/>
  <c r="H42" i="68"/>
  <c r="G42" i="68"/>
  <c r="F42" i="68"/>
  <c r="E42" i="68"/>
  <c r="D42" i="68"/>
  <c r="C42" i="68"/>
  <c r="A42" i="68"/>
  <c r="V41" i="68"/>
  <c r="U41" i="68"/>
  <c r="T41" i="68"/>
  <c r="S41" i="68"/>
  <c r="R41" i="68"/>
  <c r="Q41" i="68"/>
  <c r="P41" i="68"/>
  <c r="O41" i="68"/>
  <c r="N41" i="68"/>
  <c r="L41" i="68"/>
  <c r="K41" i="68"/>
  <c r="J41" i="68"/>
  <c r="I41" i="68"/>
  <c r="H41" i="68"/>
  <c r="G41" i="68"/>
  <c r="F41" i="68"/>
  <c r="E41" i="68"/>
  <c r="D41" i="68"/>
  <c r="C41" i="68"/>
  <c r="A41" i="68"/>
  <c r="V40" i="68"/>
  <c r="U40" i="68"/>
  <c r="T40" i="68"/>
  <c r="S40" i="68"/>
  <c r="R40" i="68"/>
  <c r="Q40" i="68"/>
  <c r="P40" i="68"/>
  <c r="O40" i="68"/>
  <c r="N40" i="68"/>
  <c r="A40" i="68"/>
  <c r="V39" i="68"/>
  <c r="U39" i="68"/>
  <c r="T39" i="68"/>
  <c r="S39" i="68"/>
  <c r="R39" i="68"/>
  <c r="Q39" i="68"/>
  <c r="P39" i="68"/>
  <c r="O39" i="68"/>
  <c r="N39" i="68"/>
  <c r="L39" i="68"/>
  <c r="K39" i="68"/>
  <c r="J39" i="68"/>
  <c r="I39" i="68"/>
  <c r="H39" i="68"/>
  <c r="G39" i="68"/>
  <c r="F39" i="68"/>
  <c r="E39" i="68"/>
  <c r="D39" i="68"/>
  <c r="A39" i="68"/>
  <c r="V38" i="68"/>
  <c r="U38" i="68"/>
  <c r="T38" i="68"/>
  <c r="S38" i="68"/>
  <c r="R38" i="68"/>
  <c r="Q38" i="68"/>
  <c r="P38" i="68"/>
  <c r="O38" i="68"/>
  <c r="N38" i="68"/>
  <c r="A38" i="68"/>
  <c r="V37" i="68"/>
  <c r="U37" i="68"/>
  <c r="T37" i="68"/>
  <c r="S37" i="68"/>
  <c r="R37" i="68"/>
  <c r="Q37" i="68"/>
  <c r="P37" i="68"/>
  <c r="O37" i="68"/>
  <c r="N37" i="68"/>
  <c r="L37" i="68"/>
  <c r="K37" i="68"/>
  <c r="J37" i="68"/>
  <c r="I37" i="68"/>
  <c r="H37" i="68"/>
  <c r="G37" i="68"/>
  <c r="F37" i="68"/>
  <c r="E37" i="68"/>
  <c r="D37" i="68"/>
  <c r="C37" i="68"/>
  <c r="A37" i="68"/>
  <c r="V36" i="68"/>
  <c r="U36" i="68"/>
  <c r="T36" i="68"/>
  <c r="S36" i="68"/>
  <c r="R36" i="68"/>
  <c r="Q36" i="68"/>
  <c r="P36" i="68"/>
  <c r="O36" i="68"/>
  <c r="N36" i="68"/>
  <c r="C36" i="68"/>
  <c r="A36" i="68"/>
  <c r="V35" i="68"/>
  <c r="U35" i="68"/>
  <c r="T35" i="68"/>
  <c r="S35" i="68"/>
  <c r="R35" i="68"/>
  <c r="Q35" i="68"/>
  <c r="P35" i="68"/>
  <c r="O35" i="68"/>
  <c r="N35" i="68"/>
  <c r="A35" i="68"/>
  <c r="V34" i="68"/>
  <c r="U34" i="68"/>
  <c r="T34" i="68"/>
  <c r="S34" i="68"/>
  <c r="R34" i="68"/>
  <c r="Q34" i="68"/>
  <c r="P34" i="68"/>
  <c r="O34" i="68"/>
  <c r="N34" i="68"/>
  <c r="L34" i="68"/>
  <c r="K34" i="68"/>
  <c r="J34" i="68"/>
  <c r="I34" i="68"/>
  <c r="H34" i="68"/>
  <c r="G34" i="68"/>
  <c r="F34" i="68"/>
  <c r="E34" i="68"/>
  <c r="D34" i="68"/>
  <c r="C34" i="68"/>
  <c r="A34" i="68"/>
  <c r="V33" i="68"/>
  <c r="U33" i="68"/>
  <c r="T33" i="68"/>
  <c r="S33" i="68"/>
  <c r="R33" i="68"/>
  <c r="Q33" i="68"/>
  <c r="P33" i="68"/>
  <c r="O33" i="68"/>
  <c r="N33" i="68"/>
  <c r="L33" i="68"/>
  <c r="K33" i="68"/>
  <c r="J33" i="68"/>
  <c r="I33" i="68"/>
  <c r="H33" i="68"/>
  <c r="G33" i="68"/>
  <c r="F33" i="68"/>
  <c r="E33" i="68"/>
  <c r="D33" i="68"/>
  <c r="T32" i="68"/>
  <c r="S32" i="68"/>
  <c r="V31" i="68"/>
  <c r="U31" i="68"/>
  <c r="T31" i="68"/>
  <c r="S31" i="68"/>
  <c r="R31" i="68"/>
  <c r="Q31" i="68"/>
  <c r="P31" i="68"/>
  <c r="O31" i="68"/>
  <c r="N31" i="68"/>
  <c r="M31" i="68"/>
  <c r="J20" i="68"/>
  <c r="I20" i="68"/>
  <c r="H20" i="68"/>
  <c r="G20" i="68"/>
  <c r="J19" i="68"/>
  <c r="I19" i="68"/>
  <c r="H19" i="68"/>
  <c r="G19" i="68"/>
  <c r="J18" i="68"/>
  <c r="I18" i="68"/>
  <c r="H18" i="68"/>
  <c r="G18" i="68"/>
  <c r="J17" i="68"/>
  <c r="I17" i="68"/>
  <c r="H17" i="68"/>
  <c r="G17" i="68"/>
  <c r="J16" i="68"/>
  <c r="I16" i="68"/>
  <c r="H16" i="68"/>
  <c r="G16" i="68"/>
  <c r="J15" i="68"/>
  <c r="I15" i="68"/>
  <c r="H15" i="68"/>
  <c r="G15" i="68"/>
  <c r="J14" i="68"/>
  <c r="I14" i="68"/>
  <c r="H14" i="68"/>
  <c r="G14" i="68"/>
  <c r="J13" i="68"/>
  <c r="I13" i="68"/>
  <c r="H13" i="68"/>
  <c r="G13" i="68"/>
  <c r="J12" i="68"/>
  <c r="I12" i="68"/>
  <c r="H12" i="68"/>
  <c r="G12" i="68"/>
  <c r="J11" i="68"/>
  <c r="H11" i="68"/>
  <c r="G11" i="68"/>
  <c r="E7" i="68"/>
  <c r="B7" i="68"/>
  <c r="I11" i="68" s="1"/>
  <c r="C33" i="68" s="1"/>
  <c r="O168" i="31"/>
  <c r="N168" i="31"/>
  <c r="M168" i="31"/>
  <c r="L168" i="31"/>
  <c r="K168" i="31"/>
  <c r="P167" i="31"/>
  <c r="O167" i="31"/>
  <c r="N167" i="31"/>
  <c r="M167" i="31"/>
  <c r="L167" i="31"/>
  <c r="K167" i="31"/>
  <c r="J167" i="31"/>
  <c r="I167" i="31"/>
  <c r="H167" i="31"/>
  <c r="G167" i="31"/>
  <c r="F167" i="31"/>
  <c r="E167" i="31"/>
  <c r="D167" i="31"/>
  <c r="C167" i="31"/>
  <c r="P166" i="31"/>
  <c r="O166" i="31"/>
  <c r="N166" i="31"/>
  <c r="M166" i="31"/>
  <c r="L166" i="31"/>
  <c r="K166" i="31"/>
  <c r="J166" i="31"/>
  <c r="I166" i="31"/>
  <c r="H166" i="31"/>
  <c r="G166" i="31"/>
  <c r="F166" i="31"/>
  <c r="E166" i="31"/>
  <c r="D166" i="31"/>
  <c r="C166" i="31"/>
  <c r="P165" i="31"/>
  <c r="O165" i="31"/>
  <c r="N165" i="31"/>
  <c r="M165" i="31"/>
  <c r="L165" i="31"/>
  <c r="K165" i="31"/>
  <c r="J165" i="31"/>
  <c r="I165" i="31"/>
  <c r="H165" i="31"/>
  <c r="G165" i="31"/>
  <c r="F165" i="31"/>
  <c r="E165" i="31"/>
  <c r="D165" i="31"/>
  <c r="C165" i="31"/>
  <c r="P164" i="31"/>
  <c r="O164" i="31"/>
  <c r="N164" i="31"/>
  <c r="M164" i="31"/>
  <c r="L164" i="31"/>
  <c r="K164" i="31"/>
  <c r="J164" i="31"/>
  <c r="I164" i="31"/>
  <c r="H164" i="31"/>
  <c r="G164" i="31"/>
  <c r="F164" i="31"/>
  <c r="E164" i="31"/>
  <c r="D164" i="31"/>
  <c r="C164" i="31"/>
  <c r="P163" i="31"/>
  <c r="O163" i="31"/>
  <c r="N163" i="31"/>
  <c r="M163" i="31"/>
  <c r="L163" i="31"/>
  <c r="K163" i="31"/>
  <c r="J163" i="31"/>
  <c r="I163" i="31"/>
  <c r="H163" i="31"/>
  <c r="G163" i="31"/>
  <c r="F163" i="31"/>
  <c r="E163" i="31"/>
  <c r="D163" i="31"/>
  <c r="C163" i="31"/>
  <c r="O160" i="31"/>
  <c r="N160" i="31"/>
  <c r="M160" i="31"/>
  <c r="L160" i="31"/>
  <c r="K160" i="31"/>
  <c r="P159" i="31"/>
  <c r="O159" i="31"/>
  <c r="N159" i="31"/>
  <c r="M159" i="31"/>
  <c r="K159" i="31"/>
  <c r="J159" i="31"/>
  <c r="I159" i="31"/>
  <c r="H159" i="31"/>
  <c r="G159" i="31"/>
  <c r="F159" i="31"/>
  <c r="E159" i="31"/>
  <c r="D159" i="31"/>
  <c r="C159" i="31"/>
  <c r="P158" i="31"/>
  <c r="O158" i="31"/>
  <c r="N158" i="31"/>
  <c r="M158" i="31"/>
  <c r="K158" i="31"/>
  <c r="J158" i="31"/>
  <c r="I158" i="31"/>
  <c r="H158" i="31"/>
  <c r="G158" i="31"/>
  <c r="F158" i="31"/>
  <c r="E158" i="31"/>
  <c r="D158" i="31"/>
  <c r="C158" i="31"/>
  <c r="P157" i="31"/>
  <c r="O157" i="31"/>
  <c r="N157" i="31"/>
  <c r="M157" i="31"/>
  <c r="K157" i="31"/>
  <c r="J157" i="31"/>
  <c r="I157" i="31"/>
  <c r="H157" i="31"/>
  <c r="G157" i="31"/>
  <c r="F157" i="31"/>
  <c r="E157" i="31"/>
  <c r="D157" i="31"/>
  <c r="C157" i="31"/>
  <c r="P156" i="31"/>
  <c r="O156" i="31"/>
  <c r="N156" i="31"/>
  <c r="M156" i="31"/>
  <c r="K156" i="31"/>
  <c r="J156" i="31"/>
  <c r="I156" i="31"/>
  <c r="H156" i="31"/>
  <c r="G156" i="31"/>
  <c r="F156" i="31"/>
  <c r="E156" i="31"/>
  <c r="D156" i="31"/>
  <c r="C156" i="31"/>
  <c r="P155" i="31"/>
  <c r="O155" i="31"/>
  <c r="N155" i="31"/>
  <c r="M155" i="31"/>
  <c r="K155" i="31"/>
  <c r="J155" i="31"/>
  <c r="I155" i="31"/>
  <c r="H155" i="31"/>
  <c r="G155" i="31"/>
  <c r="F155" i="31"/>
  <c r="E155" i="31"/>
  <c r="D155" i="31"/>
  <c r="C155" i="31"/>
  <c r="V103" i="31"/>
  <c r="U103" i="31"/>
  <c r="T103" i="31"/>
  <c r="S103" i="31"/>
  <c r="R103" i="31"/>
  <c r="Q103" i="31"/>
  <c r="P103" i="31"/>
  <c r="O103" i="31"/>
  <c r="A103" i="31"/>
  <c r="V102" i="31"/>
  <c r="U102" i="31"/>
  <c r="T102" i="31"/>
  <c r="S102" i="31"/>
  <c r="R102" i="31"/>
  <c r="Q102" i="31"/>
  <c r="P102" i="31"/>
  <c r="O102" i="31"/>
  <c r="A102" i="31"/>
  <c r="V101" i="31"/>
  <c r="U101" i="31"/>
  <c r="T101" i="31"/>
  <c r="S101" i="31"/>
  <c r="R101" i="31"/>
  <c r="Q101" i="31"/>
  <c r="P101" i="31"/>
  <c r="O101" i="31"/>
  <c r="A101" i="31"/>
  <c r="V100" i="31"/>
  <c r="U100" i="31"/>
  <c r="T100" i="31"/>
  <c r="S100" i="31"/>
  <c r="R100" i="31"/>
  <c r="Q100" i="31"/>
  <c r="P100" i="31"/>
  <c r="O100" i="31"/>
  <c r="A100" i="31"/>
  <c r="V99" i="31"/>
  <c r="U99" i="31"/>
  <c r="T99" i="31"/>
  <c r="S99" i="31"/>
  <c r="R99" i="31"/>
  <c r="Q99" i="31"/>
  <c r="P99" i="31"/>
  <c r="O99" i="31"/>
  <c r="A99" i="31"/>
  <c r="V98" i="31"/>
  <c r="U98" i="31"/>
  <c r="T98" i="31"/>
  <c r="S98" i="31"/>
  <c r="R98" i="31"/>
  <c r="Q98" i="31"/>
  <c r="P98" i="31"/>
  <c r="O98" i="31"/>
  <c r="A98" i="31"/>
  <c r="V97" i="31"/>
  <c r="U97" i="31"/>
  <c r="T97" i="31"/>
  <c r="S97" i="31"/>
  <c r="R97" i="31"/>
  <c r="Q97" i="31"/>
  <c r="P97" i="31"/>
  <c r="O97" i="31"/>
  <c r="A97" i="31"/>
  <c r="V96" i="31"/>
  <c r="U96" i="31"/>
  <c r="T96" i="31"/>
  <c r="S96" i="31"/>
  <c r="R96" i="31"/>
  <c r="Q96" i="31"/>
  <c r="P96" i="31"/>
  <c r="O96" i="31"/>
  <c r="A96" i="31"/>
  <c r="V95" i="31"/>
  <c r="U95" i="31"/>
  <c r="T95" i="31"/>
  <c r="S95" i="31"/>
  <c r="R95" i="31"/>
  <c r="Q95" i="31"/>
  <c r="P95" i="31"/>
  <c r="O95" i="31"/>
  <c r="A95" i="31"/>
  <c r="V94" i="31"/>
  <c r="U94" i="31"/>
  <c r="T94" i="31"/>
  <c r="S94" i="31"/>
  <c r="R94" i="31"/>
  <c r="Q94" i="31"/>
  <c r="P94" i="31"/>
  <c r="O94" i="31"/>
  <c r="A94" i="31"/>
  <c r="V93" i="31"/>
  <c r="U93" i="31"/>
  <c r="T93" i="31"/>
  <c r="S93" i="31"/>
  <c r="R93" i="31"/>
  <c r="Q93" i="31"/>
  <c r="P93" i="31"/>
  <c r="O93" i="31"/>
  <c r="A93" i="31"/>
  <c r="V92" i="31"/>
  <c r="U92" i="31"/>
  <c r="T92" i="31"/>
  <c r="S92" i="31"/>
  <c r="R92" i="31"/>
  <c r="Q92" i="31"/>
  <c r="P92" i="31"/>
  <c r="O92" i="31"/>
  <c r="A92" i="31"/>
  <c r="V91" i="31"/>
  <c r="U91" i="31"/>
  <c r="T91" i="31"/>
  <c r="S91" i="31"/>
  <c r="R91" i="31"/>
  <c r="Q91" i="31"/>
  <c r="P91" i="31"/>
  <c r="O91" i="31"/>
  <c r="A91" i="31"/>
  <c r="V90" i="31"/>
  <c r="U90" i="31"/>
  <c r="T90" i="31"/>
  <c r="S90" i="31"/>
  <c r="R90" i="31"/>
  <c r="Q90" i="31"/>
  <c r="P90" i="31"/>
  <c r="O90" i="31"/>
  <c r="A90" i="31"/>
  <c r="V89" i="31"/>
  <c r="U89" i="31"/>
  <c r="T89" i="31"/>
  <c r="S89" i="31"/>
  <c r="R89" i="31"/>
  <c r="Q89" i="31"/>
  <c r="P89" i="31"/>
  <c r="O89" i="31"/>
  <c r="A89" i="31"/>
  <c r="V88" i="31"/>
  <c r="U88" i="31"/>
  <c r="T88" i="31"/>
  <c r="S88" i="31"/>
  <c r="R88" i="31"/>
  <c r="Q88" i="31"/>
  <c r="P88" i="31"/>
  <c r="O88" i="31"/>
  <c r="A88" i="31"/>
  <c r="V87" i="31"/>
  <c r="U87" i="31"/>
  <c r="T87" i="31"/>
  <c r="S87" i="31"/>
  <c r="R87" i="31"/>
  <c r="Q87" i="31"/>
  <c r="P87" i="31"/>
  <c r="O87" i="31"/>
  <c r="A87" i="31"/>
  <c r="V86" i="31"/>
  <c r="U86" i="31"/>
  <c r="T86" i="31"/>
  <c r="S86" i="31"/>
  <c r="R86" i="31"/>
  <c r="Q86" i="31"/>
  <c r="P86" i="31"/>
  <c r="O86" i="31"/>
  <c r="A86" i="31"/>
  <c r="V85" i="31"/>
  <c r="U85" i="31"/>
  <c r="T85" i="31"/>
  <c r="S85" i="31"/>
  <c r="R85" i="31"/>
  <c r="Q85" i="31"/>
  <c r="P85" i="31"/>
  <c r="O85" i="31"/>
  <c r="A85" i="31"/>
  <c r="V84" i="31"/>
  <c r="U84" i="31"/>
  <c r="T84" i="31"/>
  <c r="S84" i="31"/>
  <c r="R84" i="31"/>
  <c r="Q84" i="31"/>
  <c r="P84" i="31"/>
  <c r="O84" i="31"/>
  <c r="A84" i="31"/>
  <c r="V83" i="31"/>
  <c r="U83" i="31"/>
  <c r="T83" i="31"/>
  <c r="S83" i="31"/>
  <c r="R83" i="31"/>
  <c r="Q83" i="31"/>
  <c r="P83" i="31"/>
  <c r="O83" i="31"/>
  <c r="A83" i="31"/>
  <c r="V82" i="31"/>
  <c r="U82" i="31"/>
  <c r="T82" i="31"/>
  <c r="S82" i="31"/>
  <c r="R82" i="31"/>
  <c r="Q82" i="31"/>
  <c r="P82" i="31"/>
  <c r="O82" i="31"/>
  <c r="L82" i="31"/>
  <c r="K82" i="31"/>
  <c r="J82" i="31"/>
  <c r="I82" i="31"/>
  <c r="H82" i="31"/>
  <c r="G82" i="31"/>
  <c r="F82" i="31"/>
  <c r="A82" i="31"/>
  <c r="V81" i="31"/>
  <c r="U81" i="31"/>
  <c r="T81" i="31"/>
  <c r="S81" i="31"/>
  <c r="R81" i="31"/>
  <c r="Q81" i="31"/>
  <c r="P81" i="31"/>
  <c r="O81" i="31"/>
  <c r="A81" i="31"/>
  <c r="V80" i="31"/>
  <c r="U80" i="31"/>
  <c r="T80" i="31"/>
  <c r="S80" i="31"/>
  <c r="R80" i="31"/>
  <c r="Q80" i="31"/>
  <c r="P80" i="31"/>
  <c r="O80" i="31"/>
  <c r="A80" i="31"/>
  <c r="V79" i="31"/>
  <c r="U79" i="31"/>
  <c r="T79" i="31"/>
  <c r="S79" i="31"/>
  <c r="R79" i="31"/>
  <c r="Q79" i="31"/>
  <c r="P79" i="31"/>
  <c r="O79" i="31"/>
  <c r="A79" i="31"/>
  <c r="V78" i="31"/>
  <c r="U78" i="31"/>
  <c r="T78" i="31"/>
  <c r="S78" i="31"/>
  <c r="R78" i="31"/>
  <c r="Q78" i="31"/>
  <c r="P78" i="31"/>
  <c r="O78" i="31"/>
  <c r="A78" i="31"/>
  <c r="V77" i="31"/>
  <c r="U77" i="31"/>
  <c r="T77" i="31"/>
  <c r="S77" i="31"/>
  <c r="R77" i="31"/>
  <c r="Q77" i="31"/>
  <c r="P77" i="31"/>
  <c r="O77" i="31"/>
  <c r="A77" i="31"/>
  <c r="V76" i="31"/>
  <c r="U76" i="31"/>
  <c r="T76" i="31"/>
  <c r="S76" i="31"/>
  <c r="R76" i="31"/>
  <c r="Q76" i="31"/>
  <c r="P76" i="31"/>
  <c r="O76" i="31"/>
  <c r="A76" i="31"/>
  <c r="V75" i="31"/>
  <c r="U75" i="31"/>
  <c r="T75" i="31"/>
  <c r="S75" i="31"/>
  <c r="R75" i="31"/>
  <c r="Q75" i="31"/>
  <c r="P75" i="31"/>
  <c r="O75" i="31"/>
  <c r="A75" i="31"/>
  <c r="V74" i="31"/>
  <c r="U74" i="31"/>
  <c r="T74" i="31"/>
  <c r="S74" i="31"/>
  <c r="R74" i="31"/>
  <c r="Q74" i="31"/>
  <c r="P74" i="31"/>
  <c r="O74" i="31"/>
  <c r="A74" i="31"/>
  <c r="V73" i="31"/>
  <c r="U73" i="31"/>
  <c r="T73" i="31"/>
  <c r="S73" i="31"/>
  <c r="R73" i="31"/>
  <c r="Q73" i="31"/>
  <c r="P73" i="31"/>
  <c r="O73" i="31"/>
  <c r="A73" i="31"/>
  <c r="V72" i="31"/>
  <c r="U72" i="31"/>
  <c r="T72" i="31"/>
  <c r="S72" i="31"/>
  <c r="R72" i="31"/>
  <c r="Q72" i="31"/>
  <c r="P72" i="31"/>
  <c r="O72" i="31"/>
  <c r="A72" i="31"/>
  <c r="V71" i="31"/>
  <c r="U71" i="31"/>
  <c r="T71" i="31"/>
  <c r="S71" i="31"/>
  <c r="R71" i="31"/>
  <c r="Q71" i="31"/>
  <c r="P71" i="31"/>
  <c r="O71" i="31"/>
  <c r="L71" i="31"/>
  <c r="K71" i="31"/>
  <c r="J71" i="31"/>
  <c r="I71" i="31"/>
  <c r="H71" i="31"/>
  <c r="G71" i="31"/>
  <c r="F71" i="31"/>
  <c r="E71" i="31"/>
  <c r="D71" i="31"/>
  <c r="C71" i="31"/>
  <c r="A71" i="31"/>
  <c r="V70" i="31"/>
  <c r="U70" i="31"/>
  <c r="T70" i="31"/>
  <c r="S70" i="31"/>
  <c r="R70" i="31"/>
  <c r="Q70" i="31"/>
  <c r="P70" i="31"/>
  <c r="O70" i="31"/>
  <c r="A70" i="31"/>
  <c r="V69" i="31"/>
  <c r="U69" i="31"/>
  <c r="T69" i="31"/>
  <c r="S69" i="31"/>
  <c r="R69" i="31"/>
  <c r="Q69" i="31"/>
  <c r="P69" i="31"/>
  <c r="O69" i="31"/>
  <c r="L69" i="31"/>
  <c r="K69" i="31"/>
  <c r="J69" i="31"/>
  <c r="I69" i="31"/>
  <c r="H69" i="31"/>
  <c r="G69" i="31"/>
  <c r="F69" i="31"/>
  <c r="D69" i="31"/>
  <c r="C69" i="31"/>
  <c r="A69" i="31"/>
  <c r="V68" i="31"/>
  <c r="U68" i="31"/>
  <c r="T68" i="31"/>
  <c r="S68" i="31"/>
  <c r="R68" i="31"/>
  <c r="Q68" i="31"/>
  <c r="P68" i="31"/>
  <c r="O68" i="31"/>
  <c r="D68" i="31"/>
  <c r="C68" i="31"/>
  <c r="A68" i="31"/>
  <c r="V67" i="31"/>
  <c r="U67" i="31"/>
  <c r="T67" i="31"/>
  <c r="S67" i="31"/>
  <c r="R67" i="31"/>
  <c r="Q67" i="31"/>
  <c r="P67" i="31"/>
  <c r="O67" i="31"/>
  <c r="A67" i="31"/>
  <c r="V66" i="31"/>
  <c r="U66" i="31"/>
  <c r="T66" i="31"/>
  <c r="S66" i="31"/>
  <c r="R66" i="31"/>
  <c r="Q66" i="31"/>
  <c r="P66" i="31"/>
  <c r="O66" i="31"/>
  <c r="A66" i="31"/>
  <c r="V65" i="31"/>
  <c r="U65" i="31"/>
  <c r="T65" i="31"/>
  <c r="S65" i="31"/>
  <c r="R65" i="31"/>
  <c r="Q65" i="31"/>
  <c r="P65" i="31"/>
  <c r="O65" i="31"/>
  <c r="D65" i="31"/>
  <c r="C65" i="31"/>
  <c r="A65" i="31"/>
  <c r="V64" i="31"/>
  <c r="U64" i="31"/>
  <c r="T64" i="31"/>
  <c r="S64" i="31"/>
  <c r="R64" i="31"/>
  <c r="Q64" i="31"/>
  <c r="P64" i="31"/>
  <c r="O64" i="31"/>
  <c r="D64" i="31"/>
  <c r="C64" i="31"/>
  <c r="A64" i="31"/>
  <c r="V63" i="31"/>
  <c r="U63" i="31"/>
  <c r="T63" i="31"/>
  <c r="S63" i="31"/>
  <c r="R63" i="31"/>
  <c r="Q63" i="31"/>
  <c r="P63" i="31"/>
  <c r="O63" i="31"/>
  <c r="A63" i="31"/>
  <c r="V62" i="31"/>
  <c r="U62" i="31"/>
  <c r="T62" i="31"/>
  <c r="S62" i="31"/>
  <c r="R62" i="31"/>
  <c r="Q62" i="31"/>
  <c r="P62" i="31"/>
  <c r="O62" i="31"/>
  <c r="A62" i="31"/>
  <c r="V61" i="31"/>
  <c r="U61" i="31"/>
  <c r="T61" i="31"/>
  <c r="S61" i="31"/>
  <c r="R61" i="31"/>
  <c r="Q61" i="31"/>
  <c r="P61" i="31"/>
  <c r="O61" i="31"/>
  <c r="A61" i="31"/>
  <c r="V60" i="31"/>
  <c r="U60" i="31"/>
  <c r="T60" i="31"/>
  <c r="S60" i="31"/>
  <c r="R60" i="31"/>
  <c r="Q60" i="31"/>
  <c r="P60" i="31"/>
  <c r="O60" i="31"/>
  <c r="A60" i="31"/>
  <c r="V59" i="31"/>
  <c r="U59" i="31"/>
  <c r="T59" i="31"/>
  <c r="S59" i="31"/>
  <c r="R59" i="31"/>
  <c r="Q59" i="31"/>
  <c r="P59" i="31"/>
  <c r="O59" i="31"/>
  <c r="A59" i="31"/>
  <c r="V58" i="31"/>
  <c r="U58" i="31"/>
  <c r="T58" i="31"/>
  <c r="S58" i="31"/>
  <c r="R58" i="31"/>
  <c r="Q58" i="31"/>
  <c r="P58" i="31"/>
  <c r="O58" i="31"/>
  <c r="D58" i="31"/>
  <c r="C58" i="31"/>
  <c r="A58" i="31"/>
  <c r="V57" i="31"/>
  <c r="U57" i="31"/>
  <c r="T57" i="31"/>
  <c r="S57" i="31"/>
  <c r="R57" i="31"/>
  <c r="Q57" i="31"/>
  <c r="P57" i="31"/>
  <c r="O57" i="31"/>
  <c r="C57" i="31"/>
  <c r="D57" i="31" s="1"/>
  <c r="A57" i="31"/>
  <c r="V56" i="31"/>
  <c r="U56" i="31"/>
  <c r="T56" i="31"/>
  <c r="S56" i="31"/>
  <c r="R56" i="31"/>
  <c r="Q56" i="31"/>
  <c r="P56" i="31"/>
  <c r="O56" i="31"/>
  <c r="A56" i="31"/>
  <c r="V55" i="31"/>
  <c r="U55" i="31"/>
  <c r="T55" i="31"/>
  <c r="S55" i="31"/>
  <c r="R55" i="31"/>
  <c r="Q55" i="31"/>
  <c r="P55" i="31"/>
  <c r="O55" i="31"/>
  <c r="A55" i="31"/>
  <c r="V54" i="31"/>
  <c r="U54" i="31"/>
  <c r="T54" i="31"/>
  <c r="S54" i="31"/>
  <c r="R54" i="31"/>
  <c r="Q54" i="31"/>
  <c r="P54" i="31"/>
  <c r="O54" i="31"/>
  <c r="D54" i="31"/>
  <c r="C54" i="31"/>
  <c r="A54" i="31"/>
  <c r="V53" i="31"/>
  <c r="U53" i="31"/>
  <c r="T53" i="31"/>
  <c r="S53" i="31"/>
  <c r="R53" i="31"/>
  <c r="Q53" i="31"/>
  <c r="P53" i="31"/>
  <c r="O53" i="31"/>
  <c r="L53" i="31"/>
  <c r="K53" i="31"/>
  <c r="J53" i="31"/>
  <c r="I53" i="31"/>
  <c r="H53" i="31"/>
  <c r="G53" i="31"/>
  <c r="F53" i="31"/>
  <c r="E53" i="31"/>
  <c r="D53" i="31"/>
  <c r="C53" i="31"/>
  <c r="A53" i="31"/>
  <c r="V52" i="31"/>
  <c r="U52" i="31"/>
  <c r="T52" i="31"/>
  <c r="S52" i="31"/>
  <c r="R52" i="31"/>
  <c r="Q52" i="31"/>
  <c r="P52" i="31"/>
  <c r="O52" i="31"/>
  <c r="L52" i="31"/>
  <c r="K52" i="31"/>
  <c r="J52" i="31"/>
  <c r="I52" i="31"/>
  <c r="H52" i="31"/>
  <c r="G52" i="31"/>
  <c r="F52" i="31"/>
  <c r="E52" i="31"/>
  <c r="D52" i="31"/>
  <c r="C52" i="31"/>
  <c r="A52" i="31"/>
  <c r="V51" i="31"/>
  <c r="U51" i="31"/>
  <c r="T51" i="31"/>
  <c r="S51" i="31"/>
  <c r="R51" i="31"/>
  <c r="Q51" i="31"/>
  <c r="P51" i="31"/>
  <c r="O51" i="31"/>
  <c r="A51" i="31"/>
  <c r="V50" i="31"/>
  <c r="U50" i="31"/>
  <c r="T50" i="31"/>
  <c r="S50" i="31"/>
  <c r="R50" i="31"/>
  <c r="Q50" i="31"/>
  <c r="P50" i="31"/>
  <c r="O50" i="31"/>
  <c r="A50" i="31"/>
  <c r="V49" i="31"/>
  <c r="U49" i="31"/>
  <c r="T49" i="31"/>
  <c r="S49" i="31"/>
  <c r="R49" i="31"/>
  <c r="Q49" i="31"/>
  <c r="P49" i="31"/>
  <c r="O49" i="31"/>
  <c r="A49" i="31"/>
  <c r="V48" i="31"/>
  <c r="U48" i="31"/>
  <c r="T48" i="31"/>
  <c r="S48" i="31"/>
  <c r="R48" i="31"/>
  <c r="Q48" i="31"/>
  <c r="P48" i="31"/>
  <c r="O48" i="31"/>
  <c r="A48" i="31"/>
  <c r="V47" i="31"/>
  <c r="U47" i="31"/>
  <c r="T47" i="31"/>
  <c r="S47" i="31"/>
  <c r="R47" i="31"/>
  <c r="Q47" i="31"/>
  <c r="P47" i="31"/>
  <c r="O47" i="31"/>
  <c r="A47" i="31"/>
  <c r="V46" i="31"/>
  <c r="U46" i="31"/>
  <c r="T46" i="31"/>
  <c r="S46" i="31"/>
  <c r="R46" i="31"/>
  <c r="Q46" i="31"/>
  <c r="P46" i="31"/>
  <c r="O46" i="31"/>
  <c r="A46" i="31"/>
  <c r="V45" i="31"/>
  <c r="U45" i="31"/>
  <c r="T45" i="31"/>
  <c r="S45" i="31"/>
  <c r="R45" i="31"/>
  <c r="Q45" i="31"/>
  <c r="P45" i="31"/>
  <c r="O45" i="31"/>
  <c r="A45" i="31"/>
  <c r="V44" i="31"/>
  <c r="U44" i="31"/>
  <c r="T44" i="31"/>
  <c r="S44" i="31"/>
  <c r="R44" i="31"/>
  <c r="Q44" i="31"/>
  <c r="P44" i="31"/>
  <c r="O44" i="31"/>
  <c r="A44" i="31"/>
  <c r="V43" i="31"/>
  <c r="U43" i="31"/>
  <c r="T43" i="31"/>
  <c r="S43" i="31"/>
  <c r="R43" i="31"/>
  <c r="Q43" i="31"/>
  <c r="P43" i="31"/>
  <c r="O43" i="31"/>
  <c r="L43" i="31"/>
  <c r="K43" i="31"/>
  <c r="J43" i="31"/>
  <c r="I43" i="31"/>
  <c r="H43" i="31"/>
  <c r="G43" i="31"/>
  <c r="F43" i="31"/>
  <c r="E43" i="31"/>
  <c r="D43" i="31"/>
  <c r="C43" i="31"/>
  <c r="A43" i="31"/>
  <c r="V42" i="31"/>
  <c r="U42" i="31"/>
  <c r="T42" i="31"/>
  <c r="S42" i="31"/>
  <c r="R42" i="31"/>
  <c r="Q42" i="31"/>
  <c r="P42" i="31"/>
  <c r="O42" i="31"/>
  <c r="L42" i="31"/>
  <c r="K42" i="31"/>
  <c r="J42" i="31"/>
  <c r="I42" i="31"/>
  <c r="H42" i="31"/>
  <c r="G42" i="31"/>
  <c r="F42" i="31"/>
  <c r="E42" i="31"/>
  <c r="D42" i="31"/>
  <c r="C42" i="31"/>
  <c r="A42" i="31"/>
  <c r="V41" i="31"/>
  <c r="U41" i="31"/>
  <c r="T41" i="31"/>
  <c r="S41" i="31"/>
  <c r="R41" i="31"/>
  <c r="Q41" i="31"/>
  <c r="P41" i="31"/>
  <c r="O41" i="31"/>
  <c r="L41" i="31"/>
  <c r="K41" i="31"/>
  <c r="J41" i="31"/>
  <c r="I41" i="31"/>
  <c r="H41" i="31"/>
  <c r="G41" i="31"/>
  <c r="F41" i="31"/>
  <c r="E41" i="31"/>
  <c r="D41" i="31"/>
  <c r="C41" i="31"/>
  <c r="A41" i="31"/>
  <c r="V40" i="31"/>
  <c r="U40" i="31"/>
  <c r="T40" i="31"/>
  <c r="S40" i="31"/>
  <c r="R40" i="31"/>
  <c r="Q40" i="31"/>
  <c r="P40" i="31"/>
  <c r="O40" i="31"/>
  <c r="A40" i="31"/>
  <c r="V39" i="31"/>
  <c r="U39" i="31"/>
  <c r="T39" i="31"/>
  <c r="S39" i="31"/>
  <c r="R39" i="31"/>
  <c r="Q39" i="31"/>
  <c r="P39" i="31"/>
  <c r="O39" i="31"/>
  <c r="L39" i="31"/>
  <c r="K39" i="31"/>
  <c r="J39" i="31"/>
  <c r="I39" i="31"/>
  <c r="H39" i="31"/>
  <c r="G39" i="31"/>
  <c r="F39" i="31"/>
  <c r="E39" i="31"/>
  <c r="D39" i="31"/>
  <c r="C39" i="31"/>
  <c r="A39" i="31"/>
  <c r="V38" i="31"/>
  <c r="U38" i="31"/>
  <c r="T38" i="31"/>
  <c r="S38" i="31"/>
  <c r="R38" i="31"/>
  <c r="Q38" i="31"/>
  <c r="P38" i="31"/>
  <c r="O38" i="31"/>
  <c r="A38" i="31"/>
  <c r="V37" i="31"/>
  <c r="U37" i="31"/>
  <c r="T37" i="31"/>
  <c r="S37" i="31"/>
  <c r="R37" i="31"/>
  <c r="Q37" i="31"/>
  <c r="P37" i="31"/>
  <c r="O37" i="31"/>
  <c r="L37" i="31"/>
  <c r="K37" i="31"/>
  <c r="J37" i="31"/>
  <c r="I37" i="31"/>
  <c r="H37" i="31"/>
  <c r="G37" i="31"/>
  <c r="F37" i="31"/>
  <c r="E37" i="31"/>
  <c r="D37" i="31"/>
  <c r="C37" i="31"/>
  <c r="A37" i="31"/>
  <c r="V36" i="31"/>
  <c r="U36" i="31"/>
  <c r="T36" i="31"/>
  <c r="S36" i="31"/>
  <c r="R36" i="31"/>
  <c r="Q36" i="31"/>
  <c r="P36" i="31"/>
  <c r="O36" i="31"/>
  <c r="D36" i="31"/>
  <c r="C36" i="31"/>
  <c r="A36" i="31"/>
  <c r="V35" i="31"/>
  <c r="U35" i="31"/>
  <c r="T35" i="31"/>
  <c r="S35" i="31"/>
  <c r="R35" i="31"/>
  <c r="Q35" i="31"/>
  <c r="P35" i="31"/>
  <c r="O35" i="31"/>
  <c r="A35" i="31"/>
  <c r="V34" i="31"/>
  <c r="U34" i="31"/>
  <c r="T34" i="31"/>
  <c r="S34" i="31"/>
  <c r="R34" i="31"/>
  <c r="Q34" i="31"/>
  <c r="P34" i="31"/>
  <c r="O34" i="31"/>
  <c r="L34" i="31"/>
  <c r="K34" i="31"/>
  <c r="J34" i="31"/>
  <c r="I34" i="31"/>
  <c r="H34" i="31"/>
  <c r="G34" i="31"/>
  <c r="F34" i="31"/>
  <c r="E34" i="31"/>
  <c r="D34" i="31"/>
  <c r="C34" i="31"/>
  <c r="A34" i="31"/>
  <c r="V33" i="31"/>
  <c r="U33" i="31"/>
  <c r="T33" i="31"/>
  <c r="S33" i="31"/>
  <c r="R33" i="31"/>
  <c r="Q33" i="31"/>
  <c r="P33" i="31"/>
  <c r="O33" i="31"/>
  <c r="L33" i="31"/>
  <c r="K33" i="31"/>
  <c r="J33" i="31"/>
  <c r="I33" i="31"/>
  <c r="H33" i="31"/>
  <c r="G33" i="31"/>
  <c r="F33" i="31"/>
  <c r="E33" i="31"/>
  <c r="T32" i="31"/>
  <c r="S32" i="31"/>
  <c r="V31" i="31"/>
  <c r="U31" i="31"/>
  <c r="T31" i="31"/>
  <c r="S31" i="31"/>
  <c r="R31" i="31"/>
  <c r="Q31" i="31"/>
  <c r="P31" i="31"/>
  <c r="O31" i="31"/>
  <c r="N31" i="31"/>
  <c r="M31" i="31"/>
  <c r="J20" i="31"/>
  <c r="I20" i="31"/>
  <c r="H20" i="31"/>
  <c r="G20" i="31"/>
  <c r="J19" i="31"/>
  <c r="I19" i="31"/>
  <c r="H19" i="31"/>
  <c r="G19" i="31"/>
  <c r="J18" i="31"/>
  <c r="I18" i="31"/>
  <c r="H18" i="31"/>
  <c r="G18" i="31"/>
  <c r="J17" i="31"/>
  <c r="I17" i="31"/>
  <c r="H17" i="31"/>
  <c r="G17" i="31"/>
  <c r="J16" i="31"/>
  <c r="I16" i="31"/>
  <c r="H16" i="31"/>
  <c r="G16" i="31"/>
  <c r="J15" i="31"/>
  <c r="I15" i="31"/>
  <c r="H15" i="31"/>
  <c r="G15" i="31"/>
  <c r="J14" i="31"/>
  <c r="I14" i="31"/>
  <c r="H14" i="31"/>
  <c r="G14" i="31"/>
  <c r="J13" i="31"/>
  <c r="I13" i="31"/>
  <c r="H13" i="31"/>
  <c r="G13" i="31"/>
  <c r="J12" i="31"/>
  <c r="H12" i="31"/>
  <c r="G12" i="31"/>
  <c r="J11" i="31"/>
  <c r="H11" i="31"/>
  <c r="G11" i="31"/>
  <c r="E7" i="31"/>
  <c r="B7" i="31"/>
  <c r="I11" i="31" s="1"/>
  <c r="C33" i="31" s="1"/>
  <c r="J136" i="30"/>
  <c r="I136" i="30"/>
  <c r="H136" i="30"/>
  <c r="G136" i="30"/>
  <c r="F136" i="30"/>
  <c r="K135" i="30"/>
  <c r="J135" i="30"/>
  <c r="H135" i="30"/>
  <c r="G135" i="30"/>
  <c r="F135" i="30"/>
  <c r="E135" i="30"/>
  <c r="D135" i="30"/>
  <c r="K134" i="30"/>
  <c r="J134" i="30"/>
  <c r="H134" i="30"/>
  <c r="G134" i="30"/>
  <c r="F134" i="30"/>
  <c r="E134" i="30"/>
  <c r="D134" i="30"/>
  <c r="K133" i="30"/>
  <c r="J133" i="30"/>
  <c r="H133" i="30"/>
  <c r="G133" i="30"/>
  <c r="F133" i="30"/>
  <c r="E133" i="30"/>
  <c r="D133" i="30"/>
  <c r="V103" i="30"/>
  <c r="U103" i="30"/>
  <c r="T103" i="30"/>
  <c r="S103" i="30"/>
  <c r="R103" i="30"/>
  <c r="Q103" i="30"/>
  <c r="P103" i="30"/>
  <c r="O103" i="30"/>
  <c r="N103" i="30"/>
  <c r="A103" i="30"/>
  <c r="V102" i="30"/>
  <c r="U102" i="30"/>
  <c r="T102" i="30"/>
  <c r="S102" i="30"/>
  <c r="R102" i="30"/>
  <c r="Q102" i="30"/>
  <c r="P102" i="30"/>
  <c r="O102" i="30"/>
  <c r="N102" i="30"/>
  <c r="A102" i="30"/>
  <c r="V101" i="30"/>
  <c r="U101" i="30"/>
  <c r="T101" i="30"/>
  <c r="S101" i="30"/>
  <c r="R101" i="30"/>
  <c r="Q101" i="30"/>
  <c r="P101" i="30"/>
  <c r="O101" i="30"/>
  <c r="N101" i="30"/>
  <c r="A101" i="30"/>
  <c r="V100" i="30"/>
  <c r="U100" i="30"/>
  <c r="T100" i="30"/>
  <c r="S100" i="30"/>
  <c r="R100" i="30"/>
  <c r="Q100" i="30"/>
  <c r="P100" i="30"/>
  <c r="O100" i="30"/>
  <c r="N100" i="30"/>
  <c r="A100" i="30"/>
  <c r="V99" i="30"/>
  <c r="U99" i="30"/>
  <c r="T99" i="30"/>
  <c r="S99" i="30"/>
  <c r="R99" i="30"/>
  <c r="Q99" i="30"/>
  <c r="P99" i="30"/>
  <c r="O99" i="30"/>
  <c r="N99" i="30"/>
  <c r="A99" i="30"/>
  <c r="V98" i="30"/>
  <c r="U98" i="30"/>
  <c r="T98" i="30"/>
  <c r="S98" i="30"/>
  <c r="R98" i="30"/>
  <c r="Q98" i="30"/>
  <c r="P98" i="30"/>
  <c r="O98" i="30"/>
  <c r="N98" i="30"/>
  <c r="A98" i="30"/>
  <c r="V97" i="30"/>
  <c r="U97" i="30"/>
  <c r="T97" i="30"/>
  <c r="S97" i="30"/>
  <c r="R97" i="30"/>
  <c r="Q97" i="30"/>
  <c r="P97" i="30"/>
  <c r="O97" i="30"/>
  <c r="N97" i="30"/>
  <c r="A97" i="30"/>
  <c r="V96" i="30"/>
  <c r="U96" i="30"/>
  <c r="T96" i="30"/>
  <c r="S96" i="30"/>
  <c r="R96" i="30"/>
  <c r="Q96" i="30"/>
  <c r="P96" i="30"/>
  <c r="O96" i="30"/>
  <c r="N96" i="30"/>
  <c r="A96" i="30"/>
  <c r="V95" i="30"/>
  <c r="U95" i="30"/>
  <c r="T95" i="30"/>
  <c r="S95" i="30"/>
  <c r="R95" i="30"/>
  <c r="Q95" i="30"/>
  <c r="P95" i="30"/>
  <c r="O95" i="30"/>
  <c r="N95" i="30"/>
  <c r="A95" i="30"/>
  <c r="V94" i="30"/>
  <c r="U94" i="30"/>
  <c r="T94" i="30"/>
  <c r="S94" i="30"/>
  <c r="R94" i="30"/>
  <c r="Q94" i="30"/>
  <c r="P94" i="30"/>
  <c r="O94" i="30"/>
  <c r="N94" i="30"/>
  <c r="A94" i="30"/>
  <c r="V93" i="30"/>
  <c r="U93" i="30"/>
  <c r="T93" i="30"/>
  <c r="S93" i="30"/>
  <c r="R93" i="30"/>
  <c r="Q93" i="30"/>
  <c r="P93" i="30"/>
  <c r="O93" i="30"/>
  <c r="N93" i="30"/>
  <c r="A93" i="30"/>
  <c r="V92" i="30"/>
  <c r="U92" i="30"/>
  <c r="T92" i="30"/>
  <c r="S92" i="30"/>
  <c r="R92" i="30"/>
  <c r="Q92" i="30"/>
  <c r="P92" i="30"/>
  <c r="O92" i="30"/>
  <c r="N92" i="30"/>
  <c r="A92" i="30"/>
  <c r="V91" i="30"/>
  <c r="U91" i="30"/>
  <c r="T91" i="30"/>
  <c r="S91" i="30"/>
  <c r="R91" i="30"/>
  <c r="Q91" i="30"/>
  <c r="P91" i="30"/>
  <c r="O91" i="30"/>
  <c r="N91" i="30"/>
  <c r="A91" i="30"/>
  <c r="V90" i="30"/>
  <c r="U90" i="30"/>
  <c r="T90" i="30"/>
  <c r="S90" i="30"/>
  <c r="R90" i="30"/>
  <c r="Q90" i="30"/>
  <c r="P90" i="30"/>
  <c r="O90" i="30"/>
  <c r="N90" i="30"/>
  <c r="A90" i="30"/>
  <c r="V89" i="30"/>
  <c r="U89" i="30"/>
  <c r="T89" i="30"/>
  <c r="S89" i="30"/>
  <c r="R89" i="30"/>
  <c r="Q89" i="30"/>
  <c r="P89" i="30"/>
  <c r="O89" i="30"/>
  <c r="N89" i="30"/>
  <c r="A89" i="30"/>
  <c r="V88" i="30"/>
  <c r="U88" i="30"/>
  <c r="T88" i="30"/>
  <c r="S88" i="30"/>
  <c r="R88" i="30"/>
  <c r="Q88" i="30"/>
  <c r="P88" i="30"/>
  <c r="O88" i="30"/>
  <c r="N88" i="30"/>
  <c r="A88" i="30"/>
  <c r="V87" i="30"/>
  <c r="U87" i="30"/>
  <c r="T87" i="30"/>
  <c r="S87" i="30"/>
  <c r="R87" i="30"/>
  <c r="Q87" i="30"/>
  <c r="P87" i="30"/>
  <c r="O87" i="30"/>
  <c r="N87" i="30"/>
  <c r="A87" i="30"/>
  <c r="V86" i="30"/>
  <c r="U86" i="30"/>
  <c r="T86" i="30"/>
  <c r="S86" i="30"/>
  <c r="R86" i="30"/>
  <c r="Q86" i="30"/>
  <c r="P86" i="30"/>
  <c r="O86" i="30"/>
  <c r="N86" i="30"/>
  <c r="A86" i="30"/>
  <c r="V85" i="30"/>
  <c r="U85" i="30"/>
  <c r="T85" i="30"/>
  <c r="S85" i="30"/>
  <c r="R85" i="30"/>
  <c r="Q85" i="30"/>
  <c r="P85" i="30"/>
  <c r="O85" i="30"/>
  <c r="N85" i="30"/>
  <c r="A85" i="30"/>
  <c r="V84" i="30"/>
  <c r="U84" i="30"/>
  <c r="T84" i="30"/>
  <c r="S84" i="30"/>
  <c r="R84" i="30"/>
  <c r="Q84" i="30"/>
  <c r="P84" i="30"/>
  <c r="O84" i="30"/>
  <c r="N84" i="30"/>
  <c r="A84" i="30"/>
  <c r="V83" i="30"/>
  <c r="U83" i="30"/>
  <c r="T83" i="30"/>
  <c r="S83" i="30"/>
  <c r="R83" i="30"/>
  <c r="Q83" i="30"/>
  <c r="P83" i="30"/>
  <c r="O83" i="30"/>
  <c r="N83" i="30"/>
  <c r="A83" i="30"/>
  <c r="V82" i="30"/>
  <c r="U82" i="30"/>
  <c r="T82" i="30"/>
  <c r="S82" i="30"/>
  <c r="R82" i="30"/>
  <c r="Q82" i="30"/>
  <c r="P82" i="30"/>
  <c r="O82" i="30"/>
  <c r="N82" i="30"/>
  <c r="L82" i="30"/>
  <c r="K82" i="30"/>
  <c r="J82" i="30"/>
  <c r="I82" i="30"/>
  <c r="H82" i="30"/>
  <c r="G82" i="30"/>
  <c r="F82" i="30"/>
  <c r="A82" i="30"/>
  <c r="V81" i="30"/>
  <c r="U81" i="30"/>
  <c r="T81" i="30"/>
  <c r="S81" i="30"/>
  <c r="R81" i="30"/>
  <c r="Q81" i="30"/>
  <c r="P81" i="30"/>
  <c r="O81" i="30"/>
  <c r="N81" i="30"/>
  <c r="A81" i="30"/>
  <c r="V80" i="30"/>
  <c r="U80" i="30"/>
  <c r="T80" i="30"/>
  <c r="S80" i="30"/>
  <c r="R80" i="30"/>
  <c r="Q80" i="30"/>
  <c r="P80" i="30"/>
  <c r="O80" i="30"/>
  <c r="N80" i="30"/>
  <c r="A80" i="30"/>
  <c r="V79" i="30"/>
  <c r="U79" i="30"/>
  <c r="T79" i="30"/>
  <c r="S79" i="30"/>
  <c r="R79" i="30"/>
  <c r="Q79" i="30"/>
  <c r="P79" i="30"/>
  <c r="O79" i="30"/>
  <c r="N79" i="30"/>
  <c r="A79" i="30"/>
  <c r="V78" i="30"/>
  <c r="U78" i="30"/>
  <c r="T78" i="30"/>
  <c r="S78" i="30"/>
  <c r="R78" i="30"/>
  <c r="Q78" i="30"/>
  <c r="P78" i="30"/>
  <c r="O78" i="30"/>
  <c r="N78" i="30"/>
  <c r="A78" i="30"/>
  <c r="V77" i="30"/>
  <c r="U77" i="30"/>
  <c r="T77" i="30"/>
  <c r="S77" i="30"/>
  <c r="R77" i="30"/>
  <c r="Q77" i="30"/>
  <c r="P77" i="30"/>
  <c r="O77" i="30"/>
  <c r="N77" i="30"/>
  <c r="A77" i="30"/>
  <c r="V76" i="30"/>
  <c r="U76" i="30"/>
  <c r="T76" i="30"/>
  <c r="S76" i="30"/>
  <c r="R76" i="30"/>
  <c r="Q76" i="30"/>
  <c r="P76" i="30"/>
  <c r="O76" i="30"/>
  <c r="N76" i="30"/>
  <c r="A76" i="30"/>
  <c r="V75" i="30"/>
  <c r="U75" i="30"/>
  <c r="T75" i="30"/>
  <c r="S75" i="30"/>
  <c r="R75" i="30"/>
  <c r="Q75" i="30"/>
  <c r="P75" i="30"/>
  <c r="O75" i="30"/>
  <c r="N75" i="30"/>
  <c r="A75" i="30"/>
  <c r="V74" i="30"/>
  <c r="U74" i="30"/>
  <c r="T74" i="30"/>
  <c r="S74" i="30"/>
  <c r="R74" i="30"/>
  <c r="Q74" i="30"/>
  <c r="P74" i="30"/>
  <c r="O74" i="30"/>
  <c r="N74" i="30"/>
  <c r="A74" i="30"/>
  <c r="V73" i="30"/>
  <c r="U73" i="30"/>
  <c r="T73" i="30"/>
  <c r="S73" i="30"/>
  <c r="R73" i="30"/>
  <c r="Q73" i="30"/>
  <c r="P73" i="30"/>
  <c r="O73" i="30"/>
  <c r="N73" i="30"/>
  <c r="A73" i="30"/>
  <c r="V72" i="30"/>
  <c r="U72" i="30"/>
  <c r="T72" i="30"/>
  <c r="S72" i="30"/>
  <c r="R72" i="30"/>
  <c r="Q72" i="30"/>
  <c r="P72" i="30"/>
  <c r="O72" i="30"/>
  <c r="N72" i="30"/>
  <c r="A72" i="30"/>
  <c r="V71" i="30"/>
  <c r="U71" i="30"/>
  <c r="T71" i="30"/>
  <c r="S71" i="30"/>
  <c r="R71" i="30"/>
  <c r="Q71" i="30"/>
  <c r="P71" i="30"/>
  <c r="O71" i="30"/>
  <c r="N71" i="30"/>
  <c r="L71" i="30"/>
  <c r="K71" i="30"/>
  <c r="J71" i="30"/>
  <c r="I71" i="30"/>
  <c r="H71" i="30"/>
  <c r="G71" i="30"/>
  <c r="F71" i="30"/>
  <c r="E71" i="30"/>
  <c r="D71" i="30"/>
  <c r="C71" i="30"/>
  <c r="A71" i="30"/>
  <c r="V70" i="30"/>
  <c r="U70" i="30"/>
  <c r="T70" i="30"/>
  <c r="S70" i="30"/>
  <c r="R70" i="30"/>
  <c r="Q70" i="30"/>
  <c r="P70" i="30"/>
  <c r="O70" i="30"/>
  <c r="N70" i="30"/>
  <c r="A70" i="30"/>
  <c r="V69" i="30"/>
  <c r="U69" i="30"/>
  <c r="T69" i="30"/>
  <c r="S69" i="30"/>
  <c r="R69" i="30"/>
  <c r="Q69" i="30"/>
  <c r="P69" i="30"/>
  <c r="O69" i="30"/>
  <c r="N69" i="30"/>
  <c r="L69" i="30"/>
  <c r="K69" i="30"/>
  <c r="J69" i="30"/>
  <c r="I69" i="30"/>
  <c r="H69" i="30"/>
  <c r="G69" i="30"/>
  <c r="F69" i="30"/>
  <c r="E69" i="30"/>
  <c r="D69" i="30"/>
  <c r="C69" i="30"/>
  <c r="A69" i="30"/>
  <c r="V68" i="30"/>
  <c r="U68" i="30"/>
  <c r="T68" i="30"/>
  <c r="S68" i="30"/>
  <c r="R68" i="30"/>
  <c r="Q68" i="30"/>
  <c r="P68" i="30"/>
  <c r="O68" i="30"/>
  <c r="N68" i="30"/>
  <c r="C68" i="30"/>
  <c r="A68" i="30"/>
  <c r="V67" i="30"/>
  <c r="U67" i="30"/>
  <c r="T67" i="30"/>
  <c r="S67" i="30"/>
  <c r="R67" i="30"/>
  <c r="Q67" i="30"/>
  <c r="P67" i="30"/>
  <c r="O67" i="30"/>
  <c r="N67" i="30"/>
  <c r="A67" i="30"/>
  <c r="V66" i="30"/>
  <c r="U66" i="30"/>
  <c r="T66" i="30"/>
  <c r="S66" i="30"/>
  <c r="R66" i="30"/>
  <c r="Q66" i="30"/>
  <c r="P66" i="30"/>
  <c r="O66" i="30"/>
  <c r="N66" i="30"/>
  <c r="A66" i="30"/>
  <c r="V65" i="30"/>
  <c r="U65" i="30"/>
  <c r="T65" i="30"/>
  <c r="S65" i="30"/>
  <c r="R65" i="30"/>
  <c r="Q65" i="30"/>
  <c r="P65" i="30"/>
  <c r="O65" i="30"/>
  <c r="N65" i="30"/>
  <c r="C65" i="30"/>
  <c r="A65" i="30"/>
  <c r="V64" i="30"/>
  <c r="U64" i="30"/>
  <c r="T64" i="30"/>
  <c r="S64" i="30"/>
  <c r="R64" i="30"/>
  <c r="Q64" i="30"/>
  <c r="P64" i="30"/>
  <c r="O64" i="30"/>
  <c r="N64" i="30"/>
  <c r="C64" i="30"/>
  <c r="A64" i="30"/>
  <c r="V63" i="30"/>
  <c r="U63" i="30"/>
  <c r="T63" i="30"/>
  <c r="S63" i="30"/>
  <c r="R63" i="30"/>
  <c r="Q63" i="30"/>
  <c r="P63" i="30"/>
  <c r="O63" i="30"/>
  <c r="N63" i="30"/>
  <c r="A63" i="30"/>
  <c r="V62" i="30"/>
  <c r="U62" i="30"/>
  <c r="T62" i="30"/>
  <c r="S62" i="30"/>
  <c r="R62" i="30"/>
  <c r="Q62" i="30"/>
  <c r="P62" i="30"/>
  <c r="O62" i="30"/>
  <c r="N62" i="30"/>
  <c r="A62" i="30"/>
  <c r="V61" i="30"/>
  <c r="U61" i="30"/>
  <c r="T61" i="30"/>
  <c r="S61" i="30"/>
  <c r="R61" i="30"/>
  <c r="Q61" i="30"/>
  <c r="P61" i="30"/>
  <c r="O61" i="30"/>
  <c r="N61" i="30"/>
  <c r="A61" i="30"/>
  <c r="V60" i="30"/>
  <c r="U60" i="30"/>
  <c r="T60" i="30"/>
  <c r="S60" i="30"/>
  <c r="R60" i="30"/>
  <c r="Q60" i="30"/>
  <c r="P60" i="30"/>
  <c r="O60" i="30"/>
  <c r="N60" i="30"/>
  <c r="A60" i="30"/>
  <c r="V59" i="30"/>
  <c r="U59" i="30"/>
  <c r="T59" i="30"/>
  <c r="S59" i="30"/>
  <c r="R59" i="30"/>
  <c r="Q59" i="30"/>
  <c r="P59" i="30"/>
  <c r="O59" i="30"/>
  <c r="N59" i="30"/>
  <c r="A59" i="30"/>
  <c r="V58" i="30"/>
  <c r="U58" i="30"/>
  <c r="T58" i="30"/>
  <c r="S58" i="30"/>
  <c r="R58" i="30"/>
  <c r="Q58" i="30"/>
  <c r="P58" i="30"/>
  <c r="O58" i="30"/>
  <c r="N58" i="30"/>
  <c r="C58" i="30"/>
  <c r="A58" i="30"/>
  <c r="V57" i="30"/>
  <c r="U57" i="30"/>
  <c r="T57" i="30"/>
  <c r="S57" i="30"/>
  <c r="R57" i="30"/>
  <c r="Q57" i="30"/>
  <c r="P57" i="30"/>
  <c r="O57" i="30"/>
  <c r="N57" i="30"/>
  <c r="C57" i="30"/>
  <c r="A57" i="30"/>
  <c r="V56" i="30"/>
  <c r="U56" i="30"/>
  <c r="T56" i="30"/>
  <c r="S56" i="30"/>
  <c r="R56" i="30"/>
  <c r="Q56" i="30"/>
  <c r="P56" i="30"/>
  <c r="O56" i="30"/>
  <c r="N56" i="30"/>
  <c r="A56" i="30"/>
  <c r="V55" i="30"/>
  <c r="U55" i="30"/>
  <c r="T55" i="30"/>
  <c r="S55" i="30"/>
  <c r="R55" i="30"/>
  <c r="Q55" i="30"/>
  <c r="P55" i="30"/>
  <c r="O55" i="30"/>
  <c r="N55" i="30"/>
  <c r="A55" i="30"/>
  <c r="V54" i="30"/>
  <c r="U54" i="30"/>
  <c r="T54" i="30"/>
  <c r="S54" i="30"/>
  <c r="R54" i="30"/>
  <c r="Q54" i="30"/>
  <c r="P54" i="30"/>
  <c r="O54" i="30"/>
  <c r="N54" i="30"/>
  <c r="C54" i="30"/>
  <c r="A54" i="30"/>
  <c r="V53" i="30"/>
  <c r="U53" i="30"/>
  <c r="T53" i="30"/>
  <c r="S53" i="30"/>
  <c r="R53" i="30"/>
  <c r="Q53" i="30"/>
  <c r="P53" i="30"/>
  <c r="O53" i="30"/>
  <c r="N53" i="30"/>
  <c r="L53" i="30"/>
  <c r="K53" i="30"/>
  <c r="J53" i="30"/>
  <c r="I53" i="30"/>
  <c r="H53" i="30"/>
  <c r="G53" i="30"/>
  <c r="F53" i="30"/>
  <c r="E53" i="30"/>
  <c r="D53" i="30"/>
  <c r="C53" i="30"/>
  <c r="A53" i="30"/>
  <c r="V52" i="30"/>
  <c r="U52" i="30"/>
  <c r="T52" i="30"/>
  <c r="S52" i="30"/>
  <c r="R52" i="30"/>
  <c r="Q52" i="30"/>
  <c r="P52" i="30"/>
  <c r="O52" i="30"/>
  <c r="N52" i="30"/>
  <c r="L52" i="30"/>
  <c r="K52" i="30"/>
  <c r="J52" i="30"/>
  <c r="I52" i="30"/>
  <c r="H52" i="30"/>
  <c r="G52" i="30"/>
  <c r="F52" i="30"/>
  <c r="E52" i="30"/>
  <c r="D52" i="30"/>
  <c r="C52" i="30"/>
  <c r="A52" i="30"/>
  <c r="V51" i="30"/>
  <c r="U51" i="30"/>
  <c r="T51" i="30"/>
  <c r="S51" i="30"/>
  <c r="R51" i="30"/>
  <c r="Q51" i="30"/>
  <c r="P51" i="30"/>
  <c r="O51" i="30"/>
  <c r="N51" i="30"/>
  <c r="A51" i="30"/>
  <c r="V50" i="30"/>
  <c r="U50" i="30"/>
  <c r="T50" i="30"/>
  <c r="S50" i="30"/>
  <c r="R50" i="30"/>
  <c r="Q50" i="30"/>
  <c r="P50" i="30"/>
  <c r="O50" i="30"/>
  <c r="N50" i="30"/>
  <c r="A50" i="30"/>
  <c r="V49" i="30"/>
  <c r="U49" i="30"/>
  <c r="T49" i="30"/>
  <c r="S49" i="30"/>
  <c r="R49" i="30"/>
  <c r="Q49" i="30"/>
  <c r="P49" i="30"/>
  <c r="O49" i="30"/>
  <c r="N49" i="30"/>
  <c r="A49" i="30"/>
  <c r="V48" i="30"/>
  <c r="U48" i="30"/>
  <c r="T48" i="30"/>
  <c r="S48" i="30"/>
  <c r="R48" i="30"/>
  <c r="Q48" i="30"/>
  <c r="P48" i="30"/>
  <c r="O48" i="30"/>
  <c r="N48" i="30"/>
  <c r="A48" i="30"/>
  <c r="V47" i="30"/>
  <c r="U47" i="30"/>
  <c r="T47" i="30"/>
  <c r="S47" i="30"/>
  <c r="R47" i="30"/>
  <c r="Q47" i="30"/>
  <c r="P47" i="30"/>
  <c r="O47" i="30"/>
  <c r="N47" i="30"/>
  <c r="A47" i="30"/>
  <c r="V46" i="30"/>
  <c r="U46" i="30"/>
  <c r="T46" i="30"/>
  <c r="S46" i="30"/>
  <c r="R46" i="30"/>
  <c r="Q46" i="30"/>
  <c r="P46" i="30"/>
  <c r="O46" i="30"/>
  <c r="N46" i="30"/>
  <c r="A46" i="30"/>
  <c r="V45" i="30"/>
  <c r="U45" i="30"/>
  <c r="T45" i="30"/>
  <c r="S45" i="30"/>
  <c r="R45" i="30"/>
  <c r="Q45" i="30"/>
  <c r="P45" i="30"/>
  <c r="O45" i="30"/>
  <c r="N45" i="30"/>
  <c r="A45" i="30"/>
  <c r="V44" i="30"/>
  <c r="U44" i="30"/>
  <c r="T44" i="30"/>
  <c r="S44" i="30"/>
  <c r="R44" i="30"/>
  <c r="Q44" i="30"/>
  <c r="P44" i="30"/>
  <c r="O44" i="30"/>
  <c r="N44" i="30"/>
  <c r="A44" i="30"/>
  <c r="V43" i="30"/>
  <c r="U43" i="30"/>
  <c r="T43" i="30"/>
  <c r="S43" i="30"/>
  <c r="R43" i="30"/>
  <c r="Q43" i="30"/>
  <c r="P43" i="30"/>
  <c r="O43" i="30"/>
  <c r="N43" i="30"/>
  <c r="L43" i="30"/>
  <c r="K43" i="30"/>
  <c r="J43" i="30"/>
  <c r="I43" i="30"/>
  <c r="H43" i="30"/>
  <c r="G43" i="30"/>
  <c r="F43" i="30"/>
  <c r="E43" i="30"/>
  <c r="D43" i="30"/>
  <c r="C43" i="30"/>
  <c r="A43" i="30"/>
  <c r="V42" i="30"/>
  <c r="U42" i="30"/>
  <c r="T42" i="30"/>
  <c r="S42" i="30"/>
  <c r="R42" i="30"/>
  <c r="Q42" i="30"/>
  <c r="P42" i="30"/>
  <c r="O42" i="30"/>
  <c r="N42" i="30"/>
  <c r="L42" i="30"/>
  <c r="K42" i="30"/>
  <c r="J42" i="30"/>
  <c r="I42" i="30"/>
  <c r="H42" i="30"/>
  <c r="G42" i="30"/>
  <c r="F42" i="30"/>
  <c r="E42" i="30"/>
  <c r="D42" i="30"/>
  <c r="C42" i="30"/>
  <c r="A42" i="30"/>
  <c r="V41" i="30"/>
  <c r="U41" i="30"/>
  <c r="T41" i="30"/>
  <c r="S41" i="30"/>
  <c r="R41" i="30"/>
  <c r="Q41" i="30"/>
  <c r="P41" i="30"/>
  <c r="O41" i="30"/>
  <c r="N41" i="30"/>
  <c r="L41" i="30"/>
  <c r="K41" i="30"/>
  <c r="J41" i="30"/>
  <c r="I41" i="30"/>
  <c r="H41" i="30"/>
  <c r="G41" i="30"/>
  <c r="F41" i="30"/>
  <c r="E41" i="30"/>
  <c r="D41" i="30"/>
  <c r="C41" i="30"/>
  <c r="A41" i="30"/>
  <c r="V40" i="30"/>
  <c r="U40" i="30"/>
  <c r="T40" i="30"/>
  <c r="S40" i="30"/>
  <c r="R40" i="30"/>
  <c r="Q40" i="30"/>
  <c r="P40" i="30"/>
  <c r="O40" i="30"/>
  <c r="N40" i="30"/>
  <c r="A40" i="30"/>
  <c r="V39" i="30"/>
  <c r="U39" i="30"/>
  <c r="T39" i="30"/>
  <c r="S39" i="30"/>
  <c r="R39" i="30"/>
  <c r="Q39" i="30"/>
  <c r="P39" i="30"/>
  <c r="O39" i="30"/>
  <c r="N39" i="30"/>
  <c r="L39" i="30"/>
  <c r="K39" i="30"/>
  <c r="J39" i="30"/>
  <c r="I39" i="30"/>
  <c r="H39" i="30"/>
  <c r="G39" i="30"/>
  <c r="F39" i="30"/>
  <c r="E39" i="30"/>
  <c r="D39" i="30"/>
  <c r="C39" i="30"/>
  <c r="A39" i="30"/>
  <c r="V38" i="30"/>
  <c r="U38" i="30"/>
  <c r="T38" i="30"/>
  <c r="S38" i="30"/>
  <c r="R38" i="30"/>
  <c r="Q38" i="30"/>
  <c r="P38" i="30"/>
  <c r="O38" i="30"/>
  <c r="N38" i="30"/>
  <c r="A38" i="30"/>
  <c r="V37" i="30"/>
  <c r="U37" i="30"/>
  <c r="T37" i="30"/>
  <c r="S37" i="30"/>
  <c r="R37" i="30"/>
  <c r="Q37" i="30"/>
  <c r="P37" i="30"/>
  <c r="O37" i="30"/>
  <c r="N37" i="30"/>
  <c r="L37" i="30"/>
  <c r="K37" i="30"/>
  <c r="J37" i="30"/>
  <c r="I37" i="30"/>
  <c r="H37" i="30"/>
  <c r="G37" i="30"/>
  <c r="F37" i="30"/>
  <c r="E37" i="30"/>
  <c r="D37" i="30"/>
  <c r="C37" i="30"/>
  <c r="A37" i="30"/>
  <c r="V36" i="30"/>
  <c r="U36" i="30"/>
  <c r="T36" i="30"/>
  <c r="S36" i="30"/>
  <c r="R36" i="30"/>
  <c r="Q36" i="30"/>
  <c r="P36" i="30"/>
  <c r="O36" i="30"/>
  <c r="N36" i="30"/>
  <c r="C36" i="30"/>
  <c r="A36" i="30"/>
  <c r="V35" i="30"/>
  <c r="U35" i="30"/>
  <c r="T35" i="30"/>
  <c r="S35" i="30"/>
  <c r="R35" i="30"/>
  <c r="Q35" i="30"/>
  <c r="P35" i="30"/>
  <c r="O35" i="30"/>
  <c r="N35" i="30"/>
  <c r="A35" i="30"/>
  <c r="V34" i="30"/>
  <c r="U34" i="30"/>
  <c r="T34" i="30"/>
  <c r="S34" i="30"/>
  <c r="R34" i="30"/>
  <c r="Q34" i="30"/>
  <c r="P34" i="30"/>
  <c r="O34" i="30"/>
  <c r="N34" i="30"/>
  <c r="L34" i="30"/>
  <c r="K34" i="30"/>
  <c r="J34" i="30"/>
  <c r="I34" i="30"/>
  <c r="H34" i="30"/>
  <c r="G34" i="30"/>
  <c r="F34" i="30"/>
  <c r="E34" i="30"/>
  <c r="D34" i="30"/>
  <c r="C34" i="30"/>
  <c r="A34" i="30"/>
  <c r="V33" i="30"/>
  <c r="U33" i="30"/>
  <c r="T33" i="30"/>
  <c r="S33" i="30"/>
  <c r="R33" i="30"/>
  <c r="Q33" i="30"/>
  <c r="P33" i="30"/>
  <c r="O33" i="30"/>
  <c r="N33" i="30"/>
  <c r="L33" i="30"/>
  <c r="K33" i="30"/>
  <c r="J33" i="30"/>
  <c r="I33" i="30"/>
  <c r="H33" i="30"/>
  <c r="G33" i="30"/>
  <c r="F33" i="30"/>
  <c r="E33" i="30"/>
  <c r="D33" i="30"/>
  <c r="T32" i="30"/>
  <c r="S32" i="30"/>
  <c r="V31" i="30"/>
  <c r="U31" i="30"/>
  <c r="T31" i="30"/>
  <c r="S31" i="30"/>
  <c r="R31" i="30"/>
  <c r="Q31" i="30"/>
  <c r="P31" i="30"/>
  <c r="O31" i="30"/>
  <c r="N31" i="30"/>
  <c r="M31" i="30"/>
  <c r="J20" i="30"/>
  <c r="I20" i="30"/>
  <c r="H20" i="30"/>
  <c r="G20" i="30"/>
  <c r="J19" i="30"/>
  <c r="I19" i="30"/>
  <c r="H19" i="30"/>
  <c r="G19" i="30"/>
  <c r="J18" i="30"/>
  <c r="I18" i="30"/>
  <c r="H18" i="30"/>
  <c r="G18" i="30"/>
  <c r="J17" i="30"/>
  <c r="I17" i="30"/>
  <c r="H17" i="30"/>
  <c r="G17" i="30"/>
  <c r="J16" i="30"/>
  <c r="I16" i="30"/>
  <c r="H16" i="30"/>
  <c r="G16" i="30"/>
  <c r="J15" i="30"/>
  <c r="I15" i="30"/>
  <c r="H15" i="30"/>
  <c r="G15" i="30"/>
  <c r="J14" i="30"/>
  <c r="I14" i="30"/>
  <c r="H14" i="30"/>
  <c r="G14" i="30"/>
  <c r="J13" i="30"/>
  <c r="I13" i="30"/>
  <c r="H13" i="30"/>
  <c r="G13" i="30"/>
  <c r="J12" i="30"/>
  <c r="I12" i="30"/>
  <c r="H12" i="30"/>
  <c r="G12" i="30"/>
  <c r="J11" i="30"/>
  <c r="H11" i="30"/>
  <c r="G11" i="30"/>
  <c r="E7" i="30"/>
  <c r="B7" i="30"/>
  <c r="I11" i="30" s="1"/>
  <c r="C33" i="30" s="1"/>
  <c r="O158" i="29"/>
  <c r="M158" i="29"/>
  <c r="K158" i="29"/>
  <c r="J158" i="29"/>
  <c r="I158" i="29"/>
  <c r="H158" i="29"/>
  <c r="G158" i="29"/>
  <c r="F158" i="29"/>
  <c r="E158" i="29"/>
  <c r="D158" i="29"/>
  <c r="C158" i="29"/>
  <c r="O155" i="29"/>
  <c r="M155" i="29"/>
  <c r="L155" i="29"/>
  <c r="K155" i="29"/>
  <c r="J155" i="29"/>
  <c r="I155" i="29"/>
  <c r="H155" i="29"/>
  <c r="G155" i="29"/>
  <c r="F155" i="29"/>
  <c r="E155" i="29"/>
  <c r="D155" i="29"/>
  <c r="C155" i="29"/>
  <c r="C135" i="29"/>
  <c r="C133" i="29"/>
  <c r="C125" i="29"/>
  <c r="C124" i="29"/>
  <c r="C123" i="29"/>
  <c r="V103" i="29"/>
  <c r="U103" i="29"/>
  <c r="T103" i="29"/>
  <c r="S103" i="29"/>
  <c r="R103" i="29"/>
  <c r="Q103" i="29"/>
  <c r="P103" i="29"/>
  <c r="O103" i="29"/>
  <c r="A103" i="29"/>
  <c r="V102" i="29"/>
  <c r="U102" i="29"/>
  <c r="T102" i="29"/>
  <c r="S102" i="29"/>
  <c r="R102" i="29"/>
  <c r="Q102" i="29"/>
  <c r="P102" i="29"/>
  <c r="O102" i="29"/>
  <c r="A102" i="29"/>
  <c r="V101" i="29"/>
  <c r="U101" i="29"/>
  <c r="T101" i="29"/>
  <c r="S101" i="29"/>
  <c r="R101" i="29"/>
  <c r="Q101" i="29"/>
  <c r="P101" i="29"/>
  <c r="O101" i="29"/>
  <c r="A101" i="29"/>
  <c r="V100" i="29"/>
  <c r="U100" i="29"/>
  <c r="T100" i="29"/>
  <c r="S100" i="29"/>
  <c r="R100" i="29"/>
  <c r="Q100" i="29"/>
  <c r="P100" i="29"/>
  <c r="O100" i="29"/>
  <c r="A100" i="29"/>
  <c r="V99" i="29"/>
  <c r="U99" i="29"/>
  <c r="T99" i="29"/>
  <c r="S99" i="29"/>
  <c r="R99" i="29"/>
  <c r="Q99" i="29"/>
  <c r="P99" i="29"/>
  <c r="O99" i="29"/>
  <c r="A99" i="29"/>
  <c r="V98" i="29"/>
  <c r="U98" i="29"/>
  <c r="T98" i="29"/>
  <c r="S98" i="29"/>
  <c r="R98" i="29"/>
  <c r="Q98" i="29"/>
  <c r="P98" i="29"/>
  <c r="O98" i="29"/>
  <c r="A98" i="29"/>
  <c r="V97" i="29"/>
  <c r="U97" i="29"/>
  <c r="T97" i="29"/>
  <c r="S97" i="29"/>
  <c r="R97" i="29"/>
  <c r="Q97" i="29"/>
  <c r="P97" i="29"/>
  <c r="O97" i="29"/>
  <c r="A97" i="29"/>
  <c r="V96" i="29"/>
  <c r="U96" i="29"/>
  <c r="T96" i="29"/>
  <c r="S96" i="29"/>
  <c r="R96" i="29"/>
  <c r="Q96" i="29"/>
  <c r="P96" i="29"/>
  <c r="O96" i="29"/>
  <c r="A96" i="29"/>
  <c r="V95" i="29"/>
  <c r="U95" i="29"/>
  <c r="T95" i="29"/>
  <c r="S95" i="29"/>
  <c r="R95" i="29"/>
  <c r="Q95" i="29"/>
  <c r="P95" i="29"/>
  <c r="O95" i="29"/>
  <c r="A95" i="29"/>
  <c r="V94" i="29"/>
  <c r="U94" i="29"/>
  <c r="T94" i="29"/>
  <c r="S94" i="29"/>
  <c r="R94" i="29"/>
  <c r="Q94" i="29"/>
  <c r="P94" i="29"/>
  <c r="O94" i="29"/>
  <c r="A94" i="29"/>
  <c r="V93" i="29"/>
  <c r="U93" i="29"/>
  <c r="T93" i="29"/>
  <c r="S93" i="29"/>
  <c r="R93" i="29"/>
  <c r="Q93" i="29"/>
  <c r="P93" i="29"/>
  <c r="O93" i="29"/>
  <c r="A93" i="29"/>
  <c r="V92" i="29"/>
  <c r="U92" i="29"/>
  <c r="T92" i="29"/>
  <c r="S92" i="29"/>
  <c r="R92" i="29"/>
  <c r="Q92" i="29"/>
  <c r="P92" i="29"/>
  <c r="O92" i="29"/>
  <c r="A92" i="29"/>
  <c r="V91" i="29"/>
  <c r="U91" i="29"/>
  <c r="T91" i="29"/>
  <c r="S91" i="29"/>
  <c r="R91" i="29"/>
  <c r="Q91" i="29"/>
  <c r="P91" i="29"/>
  <c r="O91" i="29"/>
  <c r="A91" i="29"/>
  <c r="V90" i="29"/>
  <c r="U90" i="29"/>
  <c r="T90" i="29"/>
  <c r="S90" i="29"/>
  <c r="R90" i="29"/>
  <c r="Q90" i="29"/>
  <c r="P90" i="29"/>
  <c r="O90" i="29"/>
  <c r="A90" i="29"/>
  <c r="V89" i="29"/>
  <c r="U89" i="29"/>
  <c r="T89" i="29"/>
  <c r="S89" i="29"/>
  <c r="R89" i="29"/>
  <c r="Q89" i="29"/>
  <c r="P89" i="29"/>
  <c r="O89" i="29"/>
  <c r="A89" i="29"/>
  <c r="V88" i="29"/>
  <c r="U88" i="29"/>
  <c r="T88" i="29"/>
  <c r="S88" i="29"/>
  <c r="R88" i="29"/>
  <c r="Q88" i="29"/>
  <c r="P88" i="29"/>
  <c r="O88" i="29"/>
  <c r="A88" i="29"/>
  <c r="V87" i="29"/>
  <c r="U87" i="29"/>
  <c r="T87" i="29"/>
  <c r="S87" i="29"/>
  <c r="R87" i="29"/>
  <c r="Q87" i="29"/>
  <c r="P87" i="29"/>
  <c r="O87" i="29"/>
  <c r="A87" i="29"/>
  <c r="V86" i="29"/>
  <c r="U86" i="29"/>
  <c r="T86" i="29"/>
  <c r="S86" i="29"/>
  <c r="R86" i="29"/>
  <c r="Q86" i="29"/>
  <c r="P86" i="29"/>
  <c r="O86" i="29"/>
  <c r="A86" i="29"/>
  <c r="V85" i="29"/>
  <c r="U85" i="29"/>
  <c r="T85" i="29"/>
  <c r="S85" i="29"/>
  <c r="R85" i="29"/>
  <c r="Q85" i="29"/>
  <c r="P85" i="29"/>
  <c r="O85" i="29"/>
  <c r="A85" i="29"/>
  <c r="V84" i="29"/>
  <c r="U84" i="29"/>
  <c r="T84" i="29"/>
  <c r="S84" i="29"/>
  <c r="R84" i="29"/>
  <c r="Q84" i="29"/>
  <c r="P84" i="29"/>
  <c r="O84" i="29"/>
  <c r="A84" i="29"/>
  <c r="V83" i="29"/>
  <c r="U83" i="29"/>
  <c r="T83" i="29"/>
  <c r="S83" i="29"/>
  <c r="R83" i="29"/>
  <c r="Q83" i="29"/>
  <c r="P83" i="29"/>
  <c r="O83" i="29"/>
  <c r="A83" i="29"/>
  <c r="V82" i="29"/>
  <c r="U82" i="29"/>
  <c r="T82" i="29"/>
  <c r="S82" i="29"/>
  <c r="R82" i="29"/>
  <c r="Q82" i="29"/>
  <c r="P82" i="29"/>
  <c r="O82" i="29"/>
  <c r="L82" i="29"/>
  <c r="K82" i="29"/>
  <c r="J82" i="29"/>
  <c r="I82" i="29"/>
  <c r="H82" i="29"/>
  <c r="G82" i="29"/>
  <c r="F82" i="29"/>
  <c r="A82" i="29"/>
  <c r="V81" i="29"/>
  <c r="U81" i="29"/>
  <c r="T81" i="29"/>
  <c r="S81" i="29"/>
  <c r="R81" i="29"/>
  <c r="Q81" i="29"/>
  <c r="P81" i="29"/>
  <c r="O81" i="29"/>
  <c r="A81" i="29"/>
  <c r="V80" i="29"/>
  <c r="U80" i="29"/>
  <c r="T80" i="29"/>
  <c r="S80" i="29"/>
  <c r="R80" i="29"/>
  <c r="Q80" i="29"/>
  <c r="P80" i="29"/>
  <c r="O80" i="29"/>
  <c r="A80" i="29"/>
  <c r="V79" i="29"/>
  <c r="U79" i="29"/>
  <c r="T79" i="29"/>
  <c r="S79" i="29"/>
  <c r="R79" i="29"/>
  <c r="Q79" i="29"/>
  <c r="P79" i="29"/>
  <c r="O79" i="29"/>
  <c r="A79" i="29"/>
  <c r="V78" i="29"/>
  <c r="U78" i="29"/>
  <c r="T78" i="29"/>
  <c r="S78" i="29"/>
  <c r="R78" i="29"/>
  <c r="Q78" i="29"/>
  <c r="P78" i="29"/>
  <c r="O78" i="29"/>
  <c r="A78" i="29"/>
  <c r="V77" i="29"/>
  <c r="U77" i="29"/>
  <c r="T77" i="29"/>
  <c r="S77" i="29"/>
  <c r="R77" i="29"/>
  <c r="Q77" i="29"/>
  <c r="P77" i="29"/>
  <c r="O77" i="29"/>
  <c r="A77" i="29"/>
  <c r="V76" i="29"/>
  <c r="U76" i="29"/>
  <c r="T76" i="29"/>
  <c r="S76" i="29"/>
  <c r="R76" i="29"/>
  <c r="Q76" i="29"/>
  <c r="P76" i="29"/>
  <c r="O76" i="29"/>
  <c r="A76" i="29"/>
  <c r="V75" i="29"/>
  <c r="U75" i="29"/>
  <c r="T75" i="29"/>
  <c r="S75" i="29"/>
  <c r="R75" i="29"/>
  <c r="Q75" i="29"/>
  <c r="P75" i="29"/>
  <c r="O75" i="29"/>
  <c r="A75" i="29"/>
  <c r="V74" i="29"/>
  <c r="U74" i="29"/>
  <c r="T74" i="29"/>
  <c r="S74" i="29"/>
  <c r="R74" i="29"/>
  <c r="Q74" i="29"/>
  <c r="P74" i="29"/>
  <c r="O74" i="29"/>
  <c r="A74" i="29"/>
  <c r="V73" i="29"/>
  <c r="U73" i="29"/>
  <c r="T73" i="29"/>
  <c r="S73" i="29"/>
  <c r="R73" i="29"/>
  <c r="Q73" i="29"/>
  <c r="P73" i="29"/>
  <c r="O73" i="29"/>
  <c r="A73" i="29"/>
  <c r="V72" i="29"/>
  <c r="U72" i="29"/>
  <c r="T72" i="29"/>
  <c r="S72" i="29"/>
  <c r="R72" i="29"/>
  <c r="Q72" i="29"/>
  <c r="P72" i="29"/>
  <c r="O72" i="29"/>
  <c r="A72" i="29"/>
  <c r="V71" i="29"/>
  <c r="U71" i="29"/>
  <c r="T71" i="29"/>
  <c r="S71" i="29"/>
  <c r="R71" i="29"/>
  <c r="Q71" i="29"/>
  <c r="P71" i="29"/>
  <c r="O71" i="29"/>
  <c r="L71" i="29"/>
  <c r="K71" i="29"/>
  <c r="J71" i="29"/>
  <c r="I71" i="29"/>
  <c r="H71" i="29"/>
  <c r="G71" i="29"/>
  <c r="F71" i="29"/>
  <c r="E71" i="29"/>
  <c r="D71" i="29"/>
  <c r="C71" i="29"/>
  <c r="A71" i="29"/>
  <c r="V70" i="29"/>
  <c r="U70" i="29"/>
  <c r="T70" i="29"/>
  <c r="S70" i="29"/>
  <c r="R70" i="29"/>
  <c r="Q70" i="29"/>
  <c r="P70" i="29"/>
  <c r="O70" i="29"/>
  <c r="A70" i="29"/>
  <c r="V69" i="29"/>
  <c r="U69" i="29"/>
  <c r="T69" i="29"/>
  <c r="S69" i="29"/>
  <c r="R69" i="29"/>
  <c r="Q69" i="29"/>
  <c r="P69" i="29"/>
  <c r="O69" i="29"/>
  <c r="L69" i="29"/>
  <c r="K69" i="29"/>
  <c r="J69" i="29"/>
  <c r="I69" i="29"/>
  <c r="H69" i="29"/>
  <c r="G69" i="29"/>
  <c r="F69" i="29"/>
  <c r="D69" i="29"/>
  <c r="C69" i="29"/>
  <c r="A69" i="29"/>
  <c r="V68" i="29"/>
  <c r="U68" i="29"/>
  <c r="T68" i="29"/>
  <c r="S68" i="29"/>
  <c r="R68" i="29"/>
  <c r="Q68" i="29"/>
  <c r="P68" i="29"/>
  <c r="O68" i="29"/>
  <c r="D68" i="29"/>
  <c r="C68" i="29"/>
  <c r="A68" i="29"/>
  <c r="V67" i="29"/>
  <c r="U67" i="29"/>
  <c r="T67" i="29"/>
  <c r="S67" i="29"/>
  <c r="R67" i="29"/>
  <c r="Q67" i="29"/>
  <c r="P67" i="29"/>
  <c r="O67" i="29"/>
  <c r="A67" i="29"/>
  <c r="V66" i="29"/>
  <c r="U66" i="29"/>
  <c r="T66" i="29"/>
  <c r="S66" i="29"/>
  <c r="R66" i="29"/>
  <c r="Q66" i="29"/>
  <c r="P66" i="29"/>
  <c r="O66" i="29"/>
  <c r="A66" i="29"/>
  <c r="V65" i="29"/>
  <c r="U65" i="29"/>
  <c r="T65" i="29"/>
  <c r="S65" i="29"/>
  <c r="R65" i="29"/>
  <c r="Q65" i="29"/>
  <c r="P65" i="29"/>
  <c r="O65" i="29"/>
  <c r="D65" i="29"/>
  <c r="C65" i="29"/>
  <c r="A65" i="29"/>
  <c r="V64" i="29"/>
  <c r="U64" i="29"/>
  <c r="T64" i="29"/>
  <c r="S64" i="29"/>
  <c r="R64" i="29"/>
  <c r="Q64" i="29"/>
  <c r="P64" i="29"/>
  <c r="O64" i="29"/>
  <c r="D64" i="29"/>
  <c r="C64" i="29"/>
  <c r="A64" i="29"/>
  <c r="V63" i="29"/>
  <c r="U63" i="29"/>
  <c r="T63" i="29"/>
  <c r="S63" i="29"/>
  <c r="R63" i="29"/>
  <c r="Q63" i="29"/>
  <c r="P63" i="29"/>
  <c r="O63" i="29"/>
  <c r="A63" i="29"/>
  <c r="V62" i="29"/>
  <c r="U62" i="29"/>
  <c r="T62" i="29"/>
  <c r="S62" i="29"/>
  <c r="R62" i="29"/>
  <c r="Q62" i="29"/>
  <c r="P62" i="29"/>
  <c r="O62" i="29"/>
  <c r="A62" i="29"/>
  <c r="V61" i="29"/>
  <c r="U61" i="29"/>
  <c r="T61" i="29"/>
  <c r="S61" i="29"/>
  <c r="R61" i="29"/>
  <c r="Q61" i="29"/>
  <c r="P61" i="29"/>
  <c r="O61" i="29"/>
  <c r="A61" i="29"/>
  <c r="V60" i="29"/>
  <c r="U60" i="29"/>
  <c r="T60" i="29"/>
  <c r="S60" i="29"/>
  <c r="R60" i="29"/>
  <c r="Q60" i="29"/>
  <c r="P60" i="29"/>
  <c r="O60" i="29"/>
  <c r="A60" i="29"/>
  <c r="V59" i="29"/>
  <c r="U59" i="29"/>
  <c r="T59" i="29"/>
  <c r="S59" i="29"/>
  <c r="R59" i="29"/>
  <c r="Q59" i="29"/>
  <c r="P59" i="29"/>
  <c r="O59" i="29"/>
  <c r="A59" i="29"/>
  <c r="V58" i="29"/>
  <c r="U58" i="29"/>
  <c r="T58" i="29"/>
  <c r="S58" i="29"/>
  <c r="R58" i="29"/>
  <c r="Q58" i="29"/>
  <c r="P58" i="29"/>
  <c r="O58" i="29"/>
  <c r="C58" i="29"/>
  <c r="D58" i="29" s="1"/>
  <c r="A58" i="29"/>
  <c r="V57" i="29"/>
  <c r="U57" i="29"/>
  <c r="T57" i="29"/>
  <c r="S57" i="29"/>
  <c r="R57" i="29"/>
  <c r="Q57" i="29"/>
  <c r="P57" i="29"/>
  <c r="O57" i="29"/>
  <c r="D57" i="29"/>
  <c r="C57" i="29"/>
  <c r="A57" i="29"/>
  <c r="V56" i="29"/>
  <c r="U56" i="29"/>
  <c r="T56" i="29"/>
  <c r="S56" i="29"/>
  <c r="R56" i="29"/>
  <c r="Q56" i="29"/>
  <c r="P56" i="29"/>
  <c r="O56" i="29"/>
  <c r="A56" i="29"/>
  <c r="V55" i="29"/>
  <c r="U55" i="29"/>
  <c r="T55" i="29"/>
  <c r="S55" i="29"/>
  <c r="R55" i="29"/>
  <c r="Q55" i="29"/>
  <c r="P55" i="29"/>
  <c r="O55" i="29"/>
  <c r="A55" i="29"/>
  <c r="V54" i="29"/>
  <c r="U54" i="29"/>
  <c r="T54" i="29"/>
  <c r="S54" i="29"/>
  <c r="R54" i="29"/>
  <c r="Q54" i="29"/>
  <c r="P54" i="29"/>
  <c r="O54" i="29"/>
  <c r="D54" i="29"/>
  <c r="C54" i="29"/>
  <c r="A54" i="29"/>
  <c r="V53" i="29"/>
  <c r="U53" i="29"/>
  <c r="T53" i="29"/>
  <c r="S53" i="29"/>
  <c r="R53" i="29"/>
  <c r="Q53" i="29"/>
  <c r="P53" i="29"/>
  <c r="O53" i="29"/>
  <c r="L53" i="29"/>
  <c r="K53" i="29"/>
  <c r="J53" i="29"/>
  <c r="I53" i="29"/>
  <c r="H53" i="29"/>
  <c r="G53" i="29"/>
  <c r="F53" i="29"/>
  <c r="E53" i="29"/>
  <c r="D53" i="29"/>
  <c r="C53" i="29"/>
  <c r="A53" i="29"/>
  <c r="V52" i="29"/>
  <c r="U52" i="29"/>
  <c r="T52" i="29"/>
  <c r="S52" i="29"/>
  <c r="R52" i="29"/>
  <c r="Q52" i="29"/>
  <c r="P52" i="29"/>
  <c r="O52" i="29"/>
  <c r="L52" i="29"/>
  <c r="K52" i="29"/>
  <c r="J52" i="29"/>
  <c r="I52" i="29"/>
  <c r="H52" i="29"/>
  <c r="G52" i="29"/>
  <c r="F52" i="29"/>
  <c r="E52" i="29"/>
  <c r="D52" i="29"/>
  <c r="C52" i="29"/>
  <c r="A52" i="29"/>
  <c r="V51" i="29"/>
  <c r="U51" i="29"/>
  <c r="T51" i="29"/>
  <c r="S51" i="29"/>
  <c r="R51" i="29"/>
  <c r="Q51" i="29"/>
  <c r="P51" i="29"/>
  <c r="O51" i="29"/>
  <c r="A51" i="29"/>
  <c r="V50" i="29"/>
  <c r="U50" i="29"/>
  <c r="T50" i="29"/>
  <c r="S50" i="29"/>
  <c r="R50" i="29"/>
  <c r="Q50" i="29"/>
  <c r="P50" i="29"/>
  <c r="O50" i="29"/>
  <c r="A50" i="29"/>
  <c r="V49" i="29"/>
  <c r="U49" i="29"/>
  <c r="T49" i="29"/>
  <c r="S49" i="29"/>
  <c r="R49" i="29"/>
  <c r="Q49" i="29"/>
  <c r="P49" i="29"/>
  <c r="O49" i="29"/>
  <c r="A49" i="29"/>
  <c r="V48" i="29"/>
  <c r="U48" i="29"/>
  <c r="T48" i="29"/>
  <c r="S48" i="29"/>
  <c r="R48" i="29"/>
  <c r="Q48" i="29"/>
  <c r="P48" i="29"/>
  <c r="O48" i="29"/>
  <c r="A48" i="29"/>
  <c r="V47" i="29"/>
  <c r="U47" i="29"/>
  <c r="T47" i="29"/>
  <c r="S47" i="29"/>
  <c r="R47" i="29"/>
  <c r="Q47" i="29"/>
  <c r="P47" i="29"/>
  <c r="O47" i="29"/>
  <c r="A47" i="29"/>
  <c r="V46" i="29"/>
  <c r="U46" i="29"/>
  <c r="T46" i="29"/>
  <c r="S46" i="29"/>
  <c r="R46" i="29"/>
  <c r="Q46" i="29"/>
  <c r="P46" i="29"/>
  <c r="O46" i="29"/>
  <c r="A46" i="29"/>
  <c r="V45" i="29"/>
  <c r="U45" i="29"/>
  <c r="T45" i="29"/>
  <c r="S45" i="29"/>
  <c r="R45" i="29"/>
  <c r="Q45" i="29"/>
  <c r="P45" i="29"/>
  <c r="O45" i="29"/>
  <c r="A45" i="29"/>
  <c r="V44" i="29"/>
  <c r="U44" i="29"/>
  <c r="T44" i="29"/>
  <c r="S44" i="29"/>
  <c r="R44" i="29"/>
  <c r="Q44" i="29"/>
  <c r="P44" i="29"/>
  <c r="O44" i="29"/>
  <c r="A44" i="29"/>
  <c r="V43" i="29"/>
  <c r="U43" i="29"/>
  <c r="T43" i="29"/>
  <c r="S43" i="29"/>
  <c r="R43" i="29"/>
  <c r="Q43" i="29"/>
  <c r="P43" i="29"/>
  <c r="O43" i="29"/>
  <c r="L43" i="29"/>
  <c r="K43" i="29"/>
  <c r="J43" i="29"/>
  <c r="I43" i="29"/>
  <c r="H43" i="29"/>
  <c r="G43" i="29"/>
  <c r="F43" i="29"/>
  <c r="E43" i="29"/>
  <c r="D43" i="29"/>
  <c r="C43" i="29"/>
  <c r="A43" i="29"/>
  <c r="V42" i="29"/>
  <c r="U42" i="29"/>
  <c r="T42" i="29"/>
  <c r="S42" i="29"/>
  <c r="R42" i="29"/>
  <c r="Q42" i="29"/>
  <c r="P42" i="29"/>
  <c r="O42" i="29"/>
  <c r="L42" i="29"/>
  <c r="K42" i="29"/>
  <c r="J42" i="29"/>
  <c r="I42" i="29"/>
  <c r="H42" i="29"/>
  <c r="G42" i="29"/>
  <c r="F42" i="29"/>
  <c r="E42" i="29"/>
  <c r="D42" i="29"/>
  <c r="C42" i="29"/>
  <c r="A42" i="29"/>
  <c r="V41" i="29"/>
  <c r="U41" i="29"/>
  <c r="T41" i="29"/>
  <c r="S41" i="29"/>
  <c r="R41" i="29"/>
  <c r="Q41" i="29"/>
  <c r="P41" i="29"/>
  <c r="O41" i="29"/>
  <c r="L41" i="29"/>
  <c r="K41" i="29"/>
  <c r="J41" i="29"/>
  <c r="I41" i="29"/>
  <c r="H41" i="29"/>
  <c r="G41" i="29"/>
  <c r="F41" i="29"/>
  <c r="E41" i="29"/>
  <c r="D41" i="29"/>
  <c r="C41" i="29"/>
  <c r="A41" i="29"/>
  <c r="V40" i="29"/>
  <c r="U40" i="29"/>
  <c r="T40" i="29"/>
  <c r="S40" i="29"/>
  <c r="R40" i="29"/>
  <c r="Q40" i="29"/>
  <c r="P40" i="29"/>
  <c r="O40" i="29"/>
  <c r="A40" i="29"/>
  <c r="V39" i="29"/>
  <c r="U39" i="29"/>
  <c r="T39" i="29"/>
  <c r="S39" i="29"/>
  <c r="R39" i="29"/>
  <c r="Q39" i="29"/>
  <c r="P39" i="29"/>
  <c r="O39" i="29"/>
  <c r="L39" i="29"/>
  <c r="K39" i="29"/>
  <c r="J39" i="29"/>
  <c r="I39" i="29"/>
  <c r="H39" i="29"/>
  <c r="G39" i="29"/>
  <c r="F39" i="29"/>
  <c r="E39" i="29"/>
  <c r="D39" i="29"/>
  <c r="C39" i="29"/>
  <c r="A39" i="29"/>
  <c r="V38" i="29"/>
  <c r="U38" i="29"/>
  <c r="T38" i="29"/>
  <c r="S38" i="29"/>
  <c r="R38" i="29"/>
  <c r="Q38" i="29"/>
  <c r="P38" i="29"/>
  <c r="O38" i="29"/>
  <c r="A38" i="29"/>
  <c r="V37" i="29"/>
  <c r="U37" i="29"/>
  <c r="T37" i="29"/>
  <c r="S37" i="29"/>
  <c r="R37" i="29"/>
  <c r="Q37" i="29"/>
  <c r="P37" i="29"/>
  <c r="O37" i="29"/>
  <c r="L37" i="29"/>
  <c r="K37" i="29"/>
  <c r="J37" i="29"/>
  <c r="I37" i="29"/>
  <c r="H37" i="29"/>
  <c r="G37" i="29"/>
  <c r="F37" i="29"/>
  <c r="E37" i="29"/>
  <c r="D37" i="29"/>
  <c r="C37" i="29"/>
  <c r="A37" i="29"/>
  <c r="V36" i="29"/>
  <c r="U36" i="29"/>
  <c r="T36" i="29"/>
  <c r="S36" i="29"/>
  <c r="R36" i="29"/>
  <c r="Q36" i="29"/>
  <c r="P36" i="29"/>
  <c r="O36" i="29"/>
  <c r="D36" i="29"/>
  <c r="C36" i="29"/>
  <c r="A36" i="29"/>
  <c r="V35" i="29"/>
  <c r="U35" i="29"/>
  <c r="T35" i="29"/>
  <c r="S35" i="29"/>
  <c r="R35" i="29"/>
  <c r="Q35" i="29"/>
  <c r="P35" i="29"/>
  <c r="O35" i="29"/>
  <c r="A35" i="29"/>
  <c r="V34" i="29"/>
  <c r="U34" i="29"/>
  <c r="T34" i="29"/>
  <c r="S34" i="29"/>
  <c r="R34" i="29"/>
  <c r="Q34" i="29"/>
  <c r="P34" i="29"/>
  <c r="O34" i="29"/>
  <c r="L34" i="29"/>
  <c r="K34" i="29"/>
  <c r="J34" i="29"/>
  <c r="I34" i="29"/>
  <c r="H34" i="29"/>
  <c r="G34" i="29"/>
  <c r="F34" i="29"/>
  <c r="E34" i="29"/>
  <c r="D34" i="29"/>
  <c r="C34" i="29"/>
  <c r="A34" i="29"/>
  <c r="V33" i="29"/>
  <c r="U33" i="29"/>
  <c r="T33" i="29"/>
  <c r="S33" i="29"/>
  <c r="R33" i="29"/>
  <c r="Q33" i="29"/>
  <c r="P33" i="29"/>
  <c r="O33" i="29"/>
  <c r="L33" i="29"/>
  <c r="K33" i="29"/>
  <c r="J33" i="29"/>
  <c r="I33" i="29"/>
  <c r="H33" i="29"/>
  <c r="G33" i="29"/>
  <c r="F33" i="29"/>
  <c r="E33" i="29"/>
  <c r="T32" i="29"/>
  <c r="S32" i="29"/>
  <c r="V31" i="29"/>
  <c r="U31" i="29"/>
  <c r="T31" i="29"/>
  <c r="S31" i="29"/>
  <c r="R31" i="29"/>
  <c r="Q31" i="29"/>
  <c r="P31" i="29"/>
  <c r="O31" i="29"/>
  <c r="N31" i="29"/>
  <c r="M31" i="29"/>
  <c r="J20" i="29"/>
  <c r="I20" i="29"/>
  <c r="H20" i="29"/>
  <c r="G20" i="29"/>
  <c r="J19" i="29"/>
  <c r="I19" i="29"/>
  <c r="H19" i="29"/>
  <c r="G19" i="29"/>
  <c r="J18" i="29"/>
  <c r="I18" i="29"/>
  <c r="H18" i="29"/>
  <c r="G18" i="29"/>
  <c r="J17" i="29"/>
  <c r="I17" i="29"/>
  <c r="H17" i="29"/>
  <c r="G17" i="29"/>
  <c r="J16" i="29"/>
  <c r="I16" i="29"/>
  <c r="H16" i="29"/>
  <c r="G16" i="29"/>
  <c r="J15" i="29"/>
  <c r="I15" i="29"/>
  <c r="H15" i="29"/>
  <c r="G15" i="29"/>
  <c r="J14" i="29"/>
  <c r="I14" i="29"/>
  <c r="H14" i="29"/>
  <c r="G14" i="29"/>
  <c r="J13" i="29"/>
  <c r="I13" i="29"/>
  <c r="H13" i="29"/>
  <c r="G13" i="29"/>
  <c r="J12" i="29"/>
  <c r="H12" i="29"/>
  <c r="G12" i="29"/>
  <c r="J11" i="29"/>
  <c r="H11" i="29"/>
  <c r="G11" i="29"/>
  <c r="E7" i="29"/>
  <c r="B7" i="29"/>
  <c r="O152" i="28"/>
  <c r="N152" i="28"/>
  <c r="M152" i="28"/>
  <c r="L152" i="28"/>
  <c r="K152" i="28"/>
  <c r="P151" i="28"/>
  <c r="O151" i="28"/>
  <c r="N151" i="28"/>
  <c r="M151" i="28"/>
  <c r="L151" i="28"/>
  <c r="K151" i="28"/>
  <c r="J151" i="28"/>
  <c r="I151" i="28"/>
  <c r="H151" i="28"/>
  <c r="G151" i="28"/>
  <c r="F151" i="28"/>
  <c r="E151" i="28"/>
  <c r="D151" i="28"/>
  <c r="C151" i="28"/>
  <c r="P150" i="28"/>
  <c r="O150" i="28"/>
  <c r="N150" i="28"/>
  <c r="M150" i="28"/>
  <c r="L150" i="28"/>
  <c r="K150" i="28"/>
  <c r="J150" i="28"/>
  <c r="I150" i="28"/>
  <c r="H150" i="28"/>
  <c r="G150" i="28"/>
  <c r="F150" i="28"/>
  <c r="E150" i="28"/>
  <c r="D150" i="28"/>
  <c r="C150" i="28"/>
  <c r="O147" i="28"/>
  <c r="N147" i="28"/>
  <c r="M147" i="28"/>
  <c r="L147" i="28"/>
  <c r="K147" i="28"/>
  <c r="P146" i="28"/>
  <c r="O146" i="28"/>
  <c r="N146" i="28"/>
  <c r="M146" i="28"/>
  <c r="L146" i="28"/>
  <c r="K146" i="28"/>
  <c r="J146" i="28"/>
  <c r="I146" i="28"/>
  <c r="H146" i="28"/>
  <c r="G146" i="28"/>
  <c r="F146" i="28"/>
  <c r="E146" i="28"/>
  <c r="D146" i="28"/>
  <c r="C146" i="28"/>
  <c r="P145" i="28"/>
  <c r="O145" i="28"/>
  <c r="N145" i="28"/>
  <c r="M145" i="28"/>
  <c r="L145" i="28"/>
  <c r="K145" i="28"/>
  <c r="J145" i="28"/>
  <c r="I145" i="28"/>
  <c r="H145" i="28"/>
  <c r="G145" i="28"/>
  <c r="F145" i="28"/>
  <c r="E145" i="28"/>
  <c r="D145" i="28"/>
  <c r="C145" i="28"/>
  <c r="V103" i="28"/>
  <c r="U103" i="28"/>
  <c r="T103" i="28"/>
  <c r="S103" i="28"/>
  <c r="R103" i="28"/>
  <c r="Q103" i="28"/>
  <c r="P103" i="28"/>
  <c r="O103" i="28"/>
  <c r="A103" i="28"/>
  <c r="V102" i="28"/>
  <c r="U102" i="28"/>
  <c r="T102" i="28"/>
  <c r="S102" i="28"/>
  <c r="R102" i="28"/>
  <c r="Q102" i="28"/>
  <c r="P102" i="28"/>
  <c r="O102" i="28"/>
  <c r="A102" i="28"/>
  <c r="V101" i="28"/>
  <c r="U101" i="28"/>
  <c r="T101" i="28"/>
  <c r="S101" i="28"/>
  <c r="R101" i="28"/>
  <c r="Q101" i="28"/>
  <c r="P101" i="28"/>
  <c r="O101" i="28"/>
  <c r="A101" i="28"/>
  <c r="V100" i="28"/>
  <c r="U100" i="28"/>
  <c r="T100" i="28"/>
  <c r="S100" i="28"/>
  <c r="R100" i="28"/>
  <c r="Q100" i="28"/>
  <c r="P100" i="28"/>
  <c r="O100" i="28"/>
  <c r="A100" i="28"/>
  <c r="V99" i="28"/>
  <c r="U99" i="28"/>
  <c r="T99" i="28"/>
  <c r="S99" i="28"/>
  <c r="R99" i="28"/>
  <c r="Q99" i="28"/>
  <c r="P99" i="28"/>
  <c r="O99" i="28"/>
  <c r="A99" i="28"/>
  <c r="V98" i="28"/>
  <c r="U98" i="28"/>
  <c r="T98" i="28"/>
  <c r="S98" i="28"/>
  <c r="R98" i="28"/>
  <c r="Q98" i="28"/>
  <c r="P98" i="28"/>
  <c r="O98" i="28"/>
  <c r="A98" i="28"/>
  <c r="V97" i="28"/>
  <c r="U97" i="28"/>
  <c r="T97" i="28"/>
  <c r="S97" i="28"/>
  <c r="R97" i="28"/>
  <c r="Q97" i="28"/>
  <c r="P97" i="28"/>
  <c r="O97" i="28"/>
  <c r="A97" i="28"/>
  <c r="V96" i="28"/>
  <c r="U96" i="28"/>
  <c r="T96" i="28"/>
  <c r="S96" i="28"/>
  <c r="R96" i="28"/>
  <c r="Q96" i="28"/>
  <c r="P96" i="28"/>
  <c r="O96" i="28"/>
  <c r="A96" i="28"/>
  <c r="V95" i="28"/>
  <c r="U95" i="28"/>
  <c r="T95" i="28"/>
  <c r="S95" i="28"/>
  <c r="R95" i="28"/>
  <c r="Q95" i="28"/>
  <c r="P95" i="28"/>
  <c r="O95" i="28"/>
  <c r="A95" i="28"/>
  <c r="V94" i="28"/>
  <c r="U94" i="28"/>
  <c r="T94" i="28"/>
  <c r="S94" i="28"/>
  <c r="R94" i="28"/>
  <c r="Q94" i="28"/>
  <c r="P94" i="28"/>
  <c r="O94" i="28"/>
  <c r="A94" i="28"/>
  <c r="V93" i="28"/>
  <c r="U93" i="28"/>
  <c r="T93" i="28"/>
  <c r="S93" i="28"/>
  <c r="R93" i="28"/>
  <c r="Q93" i="28"/>
  <c r="P93" i="28"/>
  <c r="O93" i="28"/>
  <c r="A93" i="28"/>
  <c r="V92" i="28"/>
  <c r="U92" i="28"/>
  <c r="T92" i="28"/>
  <c r="S92" i="28"/>
  <c r="R92" i="28"/>
  <c r="Q92" i="28"/>
  <c r="P92" i="28"/>
  <c r="O92" i="28"/>
  <c r="A92" i="28"/>
  <c r="V91" i="28"/>
  <c r="U91" i="28"/>
  <c r="T91" i="28"/>
  <c r="S91" i="28"/>
  <c r="R91" i="28"/>
  <c r="Q91" i="28"/>
  <c r="P91" i="28"/>
  <c r="O91" i="28"/>
  <c r="A91" i="28"/>
  <c r="V90" i="28"/>
  <c r="U90" i="28"/>
  <c r="T90" i="28"/>
  <c r="S90" i="28"/>
  <c r="R90" i="28"/>
  <c r="Q90" i="28"/>
  <c r="P90" i="28"/>
  <c r="O90" i="28"/>
  <c r="A90" i="28"/>
  <c r="V89" i="28"/>
  <c r="U89" i="28"/>
  <c r="T89" i="28"/>
  <c r="S89" i="28"/>
  <c r="R89" i="28"/>
  <c r="Q89" i="28"/>
  <c r="P89" i="28"/>
  <c r="O89" i="28"/>
  <c r="A89" i="28"/>
  <c r="V88" i="28"/>
  <c r="U88" i="28"/>
  <c r="T88" i="28"/>
  <c r="S88" i="28"/>
  <c r="R88" i="28"/>
  <c r="Q88" i="28"/>
  <c r="P88" i="28"/>
  <c r="O88" i="28"/>
  <c r="A88" i="28"/>
  <c r="V87" i="28"/>
  <c r="U87" i="28"/>
  <c r="T87" i="28"/>
  <c r="S87" i="28"/>
  <c r="R87" i="28"/>
  <c r="Q87" i="28"/>
  <c r="P87" i="28"/>
  <c r="O87" i="28"/>
  <c r="A87" i="28"/>
  <c r="V86" i="28"/>
  <c r="U86" i="28"/>
  <c r="T86" i="28"/>
  <c r="S86" i="28"/>
  <c r="R86" i="28"/>
  <c r="Q86" i="28"/>
  <c r="P86" i="28"/>
  <c r="O86" i="28"/>
  <c r="A86" i="28"/>
  <c r="V85" i="28"/>
  <c r="U85" i="28"/>
  <c r="T85" i="28"/>
  <c r="S85" i="28"/>
  <c r="R85" i="28"/>
  <c r="Q85" i="28"/>
  <c r="P85" i="28"/>
  <c r="O85" i="28"/>
  <c r="A85" i="28"/>
  <c r="V84" i="28"/>
  <c r="U84" i="28"/>
  <c r="T84" i="28"/>
  <c r="S84" i="28"/>
  <c r="R84" i="28"/>
  <c r="Q84" i="28"/>
  <c r="P84" i="28"/>
  <c r="O84" i="28"/>
  <c r="A84" i="28"/>
  <c r="V83" i="28"/>
  <c r="U83" i="28"/>
  <c r="T83" i="28"/>
  <c r="S83" i="28"/>
  <c r="R83" i="28"/>
  <c r="Q83" i="28"/>
  <c r="P83" i="28"/>
  <c r="O83" i="28"/>
  <c r="A83" i="28"/>
  <c r="V82" i="28"/>
  <c r="U82" i="28"/>
  <c r="T82" i="28"/>
  <c r="S82" i="28"/>
  <c r="R82" i="28"/>
  <c r="Q82" i="28"/>
  <c r="P82" i="28"/>
  <c r="O82" i="28"/>
  <c r="L82" i="28"/>
  <c r="K82" i="28"/>
  <c r="J82" i="28"/>
  <c r="I82" i="28"/>
  <c r="H82" i="28"/>
  <c r="G82" i="28"/>
  <c r="F82" i="28"/>
  <c r="A82" i="28"/>
  <c r="V81" i="28"/>
  <c r="U81" i="28"/>
  <c r="T81" i="28"/>
  <c r="S81" i="28"/>
  <c r="R81" i="28"/>
  <c r="Q81" i="28"/>
  <c r="P81" i="28"/>
  <c r="O81" i="28"/>
  <c r="A81" i="28"/>
  <c r="V80" i="28"/>
  <c r="U80" i="28"/>
  <c r="T80" i="28"/>
  <c r="S80" i="28"/>
  <c r="R80" i="28"/>
  <c r="Q80" i="28"/>
  <c r="P80" i="28"/>
  <c r="O80" i="28"/>
  <c r="A80" i="28"/>
  <c r="V79" i="28"/>
  <c r="U79" i="28"/>
  <c r="T79" i="28"/>
  <c r="S79" i="28"/>
  <c r="R79" i="28"/>
  <c r="Q79" i="28"/>
  <c r="P79" i="28"/>
  <c r="O79" i="28"/>
  <c r="A79" i="28"/>
  <c r="V78" i="28"/>
  <c r="U78" i="28"/>
  <c r="T78" i="28"/>
  <c r="S78" i="28"/>
  <c r="R78" i="28"/>
  <c r="Q78" i="28"/>
  <c r="P78" i="28"/>
  <c r="O78" i="28"/>
  <c r="A78" i="28"/>
  <c r="V77" i="28"/>
  <c r="U77" i="28"/>
  <c r="T77" i="28"/>
  <c r="S77" i="28"/>
  <c r="R77" i="28"/>
  <c r="Q77" i="28"/>
  <c r="P77" i="28"/>
  <c r="O77" i="28"/>
  <c r="A77" i="28"/>
  <c r="V76" i="28"/>
  <c r="U76" i="28"/>
  <c r="T76" i="28"/>
  <c r="S76" i="28"/>
  <c r="R76" i="28"/>
  <c r="Q76" i="28"/>
  <c r="P76" i="28"/>
  <c r="O76" i="28"/>
  <c r="A76" i="28"/>
  <c r="V75" i="28"/>
  <c r="U75" i="28"/>
  <c r="T75" i="28"/>
  <c r="S75" i="28"/>
  <c r="R75" i="28"/>
  <c r="Q75" i="28"/>
  <c r="P75" i="28"/>
  <c r="O75" i="28"/>
  <c r="A75" i="28"/>
  <c r="V74" i="28"/>
  <c r="U74" i="28"/>
  <c r="T74" i="28"/>
  <c r="S74" i="28"/>
  <c r="R74" i="28"/>
  <c r="Q74" i="28"/>
  <c r="P74" i="28"/>
  <c r="O74" i="28"/>
  <c r="A74" i="28"/>
  <c r="V73" i="28"/>
  <c r="U73" i="28"/>
  <c r="T73" i="28"/>
  <c r="S73" i="28"/>
  <c r="R73" i="28"/>
  <c r="Q73" i="28"/>
  <c r="P73" i="28"/>
  <c r="O73" i="28"/>
  <c r="A73" i="28"/>
  <c r="V72" i="28"/>
  <c r="U72" i="28"/>
  <c r="T72" i="28"/>
  <c r="S72" i="28"/>
  <c r="R72" i="28"/>
  <c r="Q72" i="28"/>
  <c r="P72" i="28"/>
  <c r="O72" i="28"/>
  <c r="A72" i="28"/>
  <c r="V71" i="28"/>
  <c r="U71" i="28"/>
  <c r="T71" i="28"/>
  <c r="S71" i="28"/>
  <c r="R71" i="28"/>
  <c r="Q71" i="28"/>
  <c r="P71" i="28"/>
  <c r="O71" i="28"/>
  <c r="L71" i="28"/>
  <c r="K71" i="28"/>
  <c r="J71" i="28"/>
  <c r="I71" i="28"/>
  <c r="H71" i="28"/>
  <c r="G71" i="28"/>
  <c r="F71" i="28"/>
  <c r="E71" i="28"/>
  <c r="D71" i="28"/>
  <c r="C71" i="28"/>
  <c r="A71" i="28"/>
  <c r="V70" i="28"/>
  <c r="U70" i="28"/>
  <c r="T70" i="28"/>
  <c r="S70" i="28"/>
  <c r="R70" i="28"/>
  <c r="Q70" i="28"/>
  <c r="P70" i="28"/>
  <c r="O70" i="28"/>
  <c r="A70" i="28"/>
  <c r="V69" i="28"/>
  <c r="U69" i="28"/>
  <c r="T69" i="28"/>
  <c r="S69" i="28"/>
  <c r="R69" i="28"/>
  <c r="Q69" i="28"/>
  <c r="P69" i="28"/>
  <c r="O69" i="28"/>
  <c r="L69" i="28"/>
  <c r="K69" i="28"/>
  <c r="J69" i="28"/>
  <c r="I69" i="28"/>
  <c r="H69" i="28"/>
  <c r="G69" i="28"/>
  <c r="F69" i="28"/>
  <c r="D69" i="28"/>
  <c r="C69" i="28"/>
  <c r="A69" i="28"/>
  <c r="V68" i="28"/>
  <c r="U68" i="28"/>
  <c r="T68" i="28"/>
  <c r="S68" i="28"/>
  <c r="R68" i="28"/>
  <c r="Q68" i="28"/>
  <c r="P68" i="28"/>
  <c r="O68" i="28"/>
  <c r="D68" i="28"/>
  <c r="C68" i="28"/>
  <c r="A68" i="28"/>
  <c r="V67" i="28"/>
  <c r="U67" i="28"/>
  <c r="T67" i="28"/>
  <c r="S67" i="28"/>
  <c r="R67" i="28"/>
  <c r="Q67" i="28"/>
  <c r="P67" i="28"/>
  <c r="O67" i="28"/>
  <c r="A67" i="28"/>
  <c r="V66" i="28"/>
  <c r="U66" i="28"/>
  <c r="T66" i="28"/>
  <c r="S66" i="28"/>
  <c r="R66" i="28"/>
  <c r="Q66" i="28"/>
  <c r="P66" i="28"/>
  <c r="O66" i="28"/>
  <c r="A66" i="28"/>
  <c r="V65" i="28"/>
  <c r="U65" i="28"/>
  <c r="T65" i="28"/>
  <c r="S65" i="28"/>
  <c r="R65" i="28"/>
  <c r="Q65" i="28"/>
  <c r="P65" i="28"/>
  <c r="O65" i="28"/>
  <c r="D65" i="28"/>
  <c r="C65" i="28"/>
  <c r="A65" i="28"/>
  <c r="V64" i="28"/>
  <c r="U64" i="28"/>
  <c r="T64" i="28"/>
  <c r="S64" i="28"/>
  <c r="R64" i="28"/>
  <c r="Q64" i="28"/>
  <c r="P64" i="28"/>
  <c r="O64" i="28"/>
  <c r="D64" i="28"/>
  <c r="C64" i="28"/>
  <c r="A64" i="28"/>
  <c r="V63" i="28"/>
  <c r="U63" i="28"/>
  <c r="T63" i="28"/>
  <c r="S63" i="28"/>
  <c r="R63" i="28"/>
  <c r="Q63" i="28"/>
  <c r="P63" i="28"/>
  <c r="O63" i="28"/>
  <c r="A63" i="28"/>
  <c r="V62" i="28"/>
  <c r="U62" i="28"/>
  <c r="T62" i="28"/>
  <c r="S62" i="28"/>
  <c r="R62" i="28"/>
  <c r="Q62" i="28"/>
  <c r="P62" i="28"/>
  <c r="O62" i="28"/>
  <c r="A62" i="28"/>
  <c r="V61" i="28"/>
  <c r="U61" i="28"/>
  <c r="T61" i="28"/>
  <c r="S61" i="28"/>
  <c r="R61" i="28"/>
  <c r="Q61" i="28"/>
  <c r="P61" i="28"/>
  <c r="O61" i="28"/>
  <c r="A61" i="28"/>
  <c r="V60" i="28"/>
  <c r="U60" i="28"/>
  <c r="T60" i="28"/>
  <c r="S60" i="28"/>
  <c r="R60" i="28"/>
  <c r="Q60" i="28"/>
  <c r="P60" i="28"/>
  <c r="O60" i="28"/>
  <c r="A60" i="28"/>
  <c r="V59" i="28"/>
  <c r="U59" i="28"/>
  <c r="T59" i="28"/>
  <c r="S59" i="28"/>
  <c r="R59" i="28"/>
  <c r="Q59" i="28"/>
  <c r="P59" i="28"/>
  <c r="O59" i="28"/>
  <c r="A59" i="28"/>
  <c r="V58" i="28"/>
  <c r="U58" i="28"/>
  <c r="T58" i="28"/>
  <c r="S58" i="28"/>
  <c r="R58" i="28"/>
  <c r="Q58" i="28"/>
  <c r="P58" i="28"/>
  <c r="O58" i="28"/>
  <c r="D58" i="28"/>
  <c r="C58" i="28"/>
  <c r="A58" i="28"/>
  <c r="V57" i="28"/>
  <c r="U57" i="28"/>
  <c r="T57" i="28"/>
  <c r="S57" i="28"/>
  <c r="R57" i="28"/>
  <c r="Q57" i="28"/>
  <c r="P57" i="28"/>
  <c r="O57" i="28"/>
  <c r="D57" i="28"/>
  <c r="C57" i="28"/>
  <c r="A57" i="28"/>
  <c r="V56" i="28"/>
  <c r="U56" i="28"/>
  <c r="T56" i="28"/>
  <c r="S56" i="28"/>
  <c r="R56" i="28"/>
  <c r="Q56" i="28"/>
  <c r="P56" i="28"/>
  <c r="O56" i="28"/>
  <c r="A56" i="28"/>
  <c r="V55" i="28"/>
  <c r="U55" i="28"/>
  <c r="T55" i="28"/>
  <c r="S55" i="28"/>
  <c r="R55" i="28"/>
  <c r="Q55" i="28"/>
  <c r="P55" i="28"/>
  <c r="O55" i="28"/>
  <c r="A55" i="28"/>
  <c r="V54" i="28"/>
  <c r="U54" i="28"/>
  <c r="T54" i="28"/>
  <c r="S54" i="28"/>
  <c r="R54" i="28"/>
  <c r="Q54" i="28"/>
  <c r="P54" i="28"/>
  <c r="O54" i="28"/>
  <c r="D54" i="28"/>
  <c r="C54" i="28"/>
  <c r="A54" i="28"/>
  <c r="V53" i="28"/>
  <c r="U53" i="28"/>
  <c r="T53" i="28"/>
  <c r="S53" i="28"/>
  <c r="R53" i="28"/>
  <c r="Q53" i="28"/>
  <c r="P53" i="28"/>
  <c r="O53" i="28"/>
  <c r="L53" i="28"/>
  <c r="K53" i="28"/>
  <c r="J53" i="28"/>
  <c r="I53" i="28"/>
  <c r="H53" i="28"/>
  <c r="G53" i="28"/>
  <c r="F53" i="28"/>
  <c r="E53" i="28"/>
  <c r="D53" i="28"/>
  <c r="C53" i="28"/>
  <c r="A53" i="28"/>
  <c r="V52" i="28"/>
  <c r="U52" i="28"/>
  <c r="T52" i="28"/>
  <c r="S52" i="28"/>
  <c r="R52" i="28"/>
  <c r="Q52" i="28"/>
  <c r="P52" i="28"/>
  <c r="O52" i="28"/>
  <c r="L52" i="28"/>
  <c r="K52" i="28"/>
  <c r="J52" i="28"/>
  <c r="I52" i="28"/>
  <c r="H52" i="28"/>
  <c r="G52" i="28"/>
  <c r="F52" i="28"/>
  <c r="E52" i="28"/>
  <c r="D52" i="28"/>
  <c r="C52" i="28"/>
  <c r="A52" i="28"/>
  <c r="V51" i="28"/>
  <c r="U51" i="28"/>
  <c r="T51" i="28"/>
  <c r="S51" i="28"/>
  <c r="R51" i="28"/>
  <c r="Q51" i="28"/>
  <c r="P51" i="28"/>
  <c r="O51" i="28"/>
  <c r="A51" i="28"/>
  <c r="V50" i="28"/>
  <c r="U50" i="28"/>
  <c r="T50" i="28"/>
  <c r="S50" i="28"/>
  <c r="R50" i="28"/>
  <c r="Q50" i="28"/>
  <c r="P50" i="28"/>
  <c r="O50" i="28"/>
  <c r="A50" i="28"/>
  <c r="V49" i="28"/>
  <c r="U49" i="28"/>
  <c r="T49" i="28"/>
  <c r="S49" i="28"/>
  <c r="R49" i="28"/>
  <c r="Q49" i="28"/>
  <c r="P49" i="28"/>
  <c r="O49" i="28"/>
  <c r="A49" i="28"/>
  <c r="V48" i="28"/>
  <c r="U48" i="28"/>
  <c r="T48" i="28"/>
  <c r="S48" i="28"/>
  <c r="R48" i="28"/>
  <c r="Q48" i="28"/>
  <c r="P48" i="28"/>
  <c r="O48" i="28"/>
  <c r="A48" i="28"/>
  <c r="V47" i="28"/>
  <c r="U47" i="28"/>
  <c r="T47" i="28"/>
  <c r="S47" i="28"/>
  <c r="R47" i="28"/>
  <c r="Q47" i="28"/>
  <c r="P47" i="28"/>
  <c r="O47" i="28"/>
  <c r="A47" i="28"/>
  <c r="V46" i="28"/>
  <c r="U46" i="28"/>
  <c r="T46" i="28"/>
  <c r="S46" i="28"/>
  <c r="R46" i="28"/>
  <c r="Q46" i="28"/>
  <c r="P46" i="28"/>
  <c r="O46" i="28"/>
  <c r="A46" i="28"/>
  <c r="V45" i="28"/>
  <c r="U45" i="28"/>
  <c r="T45" i="28"/>
  <c r="S45" i="28"/>
  <c r="R45" i="28"/>
  <c r="Q45" i="28"/>
  <c r="P45" i="28"/>
  <c r="O45" i="28"/>
  <c r="A45" i="28"/>
  <c r="V44" i="28"/>
  <c r="U44" i="28"/>
  <c r="T44" i="28"/>
  <c r="S44" i="28"/>
  <c r="R44" i="28"/>
  <c r="Q44" i="28"/>
  <c r="P44" i="28"/>
  <c r="O44" i="28"/>
  <c r="A44" i="28"/>
  <c r="V43" i="28"/>
  <c r="U43" i="28"/>
  <c r="T43" i="28"/>
  <c r="S43" i="28"/>
  <c r="R43" i="28"/>
  <c r="Q43" i="28"/>
  <c r="P43" i="28"/>
  <c r="O43" i="28"/>
  <c r="L43" i="28"/>
  <c r="K43" i="28"/>
  <c r="J43" i="28"/>
  <c r="I43" i="28"/>
  <c r="H43" i="28"/>
  <c r="G43" i="28"/>
  <c r="F43" i="28"/>
  <c r="E43" i="28"/>
  <c r="D43" i="28"/>
  <c r="C43" i="28"/>
  <c r="A43" i="28"/>
  <c r="V42" i="28"/>
  <c r="U42" i="28"/>
  <c r="T42" i="28"/>
  <c r="S42" i="28"/>
  <c r="R42" i="28"/>
  <c r="Q42" i="28"/>
  <c r="P42" i="28"/>
  <c r="O42" i="28"/>
  <c r="L42" i="28"/>
  <c r="K42" i="28"/>
  <c r="J42" i="28"/>
  <c r="I42" i="28"/>
  <c r="H42" i="28"/>
  <c r="G42" i="28"/>
  <c r="F42" i="28"/>
  <c r="E42" i="28"/>
  <c r="D42" i="28"/>
  <c r="C42" i="28"/>
  <c r="A42" i="28"/>
  <c r="V41" i="28"/>
  <c r="U41" i="28"/>
  <c r="T41" i="28"/>
  <c r="S41" i="28"/>
  <c r="R41" i="28"/>
  <c r="Q41" i="28"/>
  <c r="P41" i="28"/>
  <c r="O41" i="28"/>
  <c r="L41" i="28"/>
  <c r="K41" i="28"/>
  <c r="J41" i="28"/>
  <c r="I41" i="28"/>
  <c r="H41" i="28"/>
  <c r="G41" i="28"/>
  <c r="F41" i="28"/>
  <c r="E41" i="28"/>
  <c r="D41" i="28"/>
  <c r="C41" i="28"/>
  <c r="A41" i="28"/>
  <c r="V40" i="28"/>
  <c r="U40" i="28"/>
  <c r="T40" i="28"/>
  <c r="S40" i="28"/>
  <c r="R40" i="28"/>
  <c r="Q40" i="28"/>
  <c r="P40" i="28"/>
  <c r="O40" i="28"/>
  <c r="A40" i="28"/>
  <c r="V39" i="28"/>
  <c r="U39" i="28"/>
  <c r="T39" i="28"/>
  <c r="S39" i="28"/>
  <c r="R39" i="28"/>
  <c r="Q39" i="28"/>
  <c r="P39" i="28"/>
  <c r="O39" i="28"/>
  <c r="L39" i="28"/>
  <c r="K39" i="28"/>
  <c r="J39" i="28"/>
  <c r="I39" i="28"/>
  <c r="H39" i="28"/>
  <c r="G39" i="28"/>
  <c r="F39" i="28"/>
  <c r="E39" i="28"/>
  <c r="D39" i="28"/>
  <c r="C39" i="28"/>
  <c r="A39" i="28"/>
  <c r="V38" i="28"/>
  <c r="U38" i="28"/>
  <c r="T38" i="28"/>
  <c r="S38" i="28"/>
  <c r="R38" i="28"/>
  <c r="Q38" i="28"/>
  <c r="P38" i="28"/>
  <c r="O38" i="28"/>
  <c r="A38" i="28"/>
  <c r="V37" i="28"/>
  <c r="U37" i="28"/>
  <c r="T37" i="28"/>
  <c r="S37" i="28"/>
  <c r="R37" i="28"/>
  <c r="Q37" i="28"/>
  <c r="P37" i="28"/>
  <c r="O37" i="28"/>
  <c r="L37" i="28"/>
  <c r="K37" i="28"/>
  <c r="J37" i="28"/>
  <c r="I37" i="28"/>
  <c r="H37" i="28"/>
  <c r="G37" i="28"/>
  <c r="F37" i="28"/>
  <c r="E37" i="28"/>
  <c r="D37" i="28"/>
  <c r="C37" i="28"/>
  <c r="A37" i="28"/>
  <c r="V36" i="28"/>
  <c r="U36" i="28"/>
  <c r="T36" i="28"/>
  <c r="S36" i="28"/>
  <c r="R36" i="28"/>
  <c r="Q36" i="28"/>
  <c r="P36" i="28"/>
  <c r="O36" i="28"/>
  <c r="D36" i="28"/>
  <c r="C36" i="28"/>
  <c r="A36" i="28"/>
  <c r="V35" i="28"/>
  <c r="U35" i="28"/>
  <c r="T35" i="28"/>
  <c r="S35" i="28"/>
  <c r="R35" i="28"/>
  <c r="Q35" i="28"/>
  <c r="P35" i="28"/>
  <c r="O35" i="28"/>
  <c r="A35" i="28"/>
  <c r="V34" i="28"/>
  <c r="U34" i="28"/>
  <c r="T34" i="28"/>
  <c r="S34" i="28"/>
  <c r="R34" i="28"/>
  <c r="Q34" i="28"/>
  <c r="P34" i="28"/>
  <c r="O34" i="28"/>
  <c r="L34" i="28"/>
  <c r="K34" i="28"/>
  <c r="J34" i="28"/>
  <c r="I34" i="28"/>
  <c r="H34" i="28"/>
  <c r="G34" i="28"/>
  <c r="F34" i="28"/>
  <c r="E34" i="28"/>
  <c r="D34" i="28"/>
  <c r="C34" i="28"/>
  <c r="A34" i="28"/>
  <c r="V33" i="28"/>
  <c r="U33" i="28"/>
  <c r="T33" i="28"/>
  <c r="S33" i="28"/>
  <c r="R33" i="28"/>
  <c r="Q33" i="28"/>
  <c r="P33" i="28"/>
  <c r="O33" i="28"/>
  <c r="L33" i="28"/>
  <c r="K33" i="28"/>
  <c r="J33" i="28"/>
  <c r="I33" i="28"/>
  <c r="H33" i="28"/>
  <c r="G33" i="28"/>
  <c r="F33" i="28"/>
  <c r="E33" i="28"/>
  <c r="T32" i="28"/>
  <c r="S32" i="28"/>
  <c r="V31" i="28"/>
  <c r="U31" i="28"/>
  <c r="T31" i="28"/>
  <c r="S31" i="28"/>
  <c r="R31" i="28"/>
  <c r="Q31" i="28"/>
  <c r="P31" i="28"/>
  <c r="O31" i="28"/>
  <c r="N31" i="28"/>
  <c r="M31" i="28"/>
  <c r="J20" i="28"/>
  <c r="I20" i="28"/>
  <c r="H20" i="28"/>
  <c r="G20" i="28"/>
  <c r="J19" i="28"/>
  <c r="I19" i="28"/>
  <c r="H19" i="28"/>
  <c r="G19" i="28"/>
  <c r="J18" i="28"/>
  <c r="I18" i="28"/>
  <c r="H18" i="28"/>
  <c r="G18" i="28"/>
  <c r="J17" i="28"/>
  <c r="I17" i="28"/>
  <c r="H17" i="28"/>
  <c r="G17" i="28"/>
  <c r="J16" i="28"/>
  <c r="I16" i="28"/>
  <c r="H16" i="28"/>
  <c r="G16" i="28"/>
  <c r="J15" i="28"/>
  <c r="I15" i="28"/>
  <c r="H15" i="28"/>
  <c r="G15" i="28"/>
  <c r="J14" i="28"/>
  <c r="I14" i="28"/>
  <c r="H14" i="28"/>
  <c r="G14" i="28"/>
  <c r="J13" i="28"/>
  <c r="I13" i="28"/>
  <c r="H13" i="28"/>
  <c r="G13" i="28"/>
  <c r="J12" i="28"/>
  <c r="H12" i="28"/>
  <c r="G12" i="28"/>
  <c r="J11" i="28"/>
  <c r="H11" i="28"/>
  <c r="G11" i="28"/>
  <c r="E7" i="28"/>
  <c r="B7" i="28"/>
  <c r="N155" i="27"/>
  <c r="O154" i="27"/>
  <c r="M154" i="27"/>
  <c r="L154" i="27"/>
  <c r="K154" i="27"/>
  <c r="J154" i="27"/>
  <c r="I154" i="27"/>
  <c r="H154" i="27"/>
  <c r="G154" i="27"/>
  <c r="F154" i="27"/>
  <c r="E154" i="27"/>
  <c r="D154" i="27"/>
  <c r="C154" i="27"/>
  <c r="O151" i="27"/>
  <c r="N151" i="27"/>
  <c r="M151" i="27"/>
  <c r="L151" i="27"/>
  <c r="K151" i="27"/>
  <c r="J151" i="27"/>
  <c r="I151" i="27"/>
  <c r="P150" i="27"/>
  <c r="O150" i="27"/>
  <c r="M150" i="27"/>
  <c r="L150" i="27"/>
  <c r="K150" i="27"/>
  <c r="J150" i="27"/>
  <c r="I150" i="27"/>
  <c r="H150" i="27"/>
  <c r="G150" i="27"/>
  <c r="F150" i="27"/>
  <c r="E150" i="27"/>
  <c r="D150" i="27"/>
  <c r="C150" i="27"/>
  <c r="P149" i="27"/>
  <c r="O149" i="27"/>
  <c r="M149" i="27"/>
  <c r="L149" i="27"/>
  <c r="K149" i="27"/>
  <c r="J149" i="27"/>
  <c r="I149" i="27"/>
  <c r="H149" i="27"/>
  <c r="G149" i="27"/>
  <c r="F149" i="27"/>
  <c r="E149" i="27"/>
  <c r="D149" i="27"/>
  <c r="C149" i="27"/>
  <c r="P148" i="27"/>
  <c r="O148" i="27"/>
  <c r="M148" i="27"/>
  <c r="L148" i="27"/>
  <c r="K148" i="27"/>
  <c r="J148" i="27"/>
  <c r="I148" i="27"/>
  <c r="H148" i="27"/>
  <c r="G148" i="27"/>
  <c r="F148" i="27"/>
  <c r="E148" i="27"/>
  <c r="D148" i="27"/>
  <c r="C148" i="27"/>
  <c r="V103" i="27"/>
  <c r="U103" i="27"/>
  <c r="T103" i="27"/>
  <c r="S103" i="27"/>
  <c r="R103" i="27"/>
  <c r="Q103" i="27"/>
  <c r="P103" i="27"/>
  <c r="O103" i="27"/>
  <c r="A103" i="27"/>
  <c r="V102" i="27"/>
  <c r="U102" i="27"/>
  <c r="T102" i="27"/>
  <c r="S102" i="27"/>
  <c r="R102" i="27"/>
  <c r="Q102" i="27"/>
  <c r="P102" i="27"/>
  <c r="O102" i="27"/>
  <c r="A102" i="27"/>
  <c r="V101" i="27"/>
  <c r="U101" i="27"/>
  <c r="T101" i="27"/>
  <c r="S101" i="27"/>
  <c r="R101" i="27"/>
  <c r="Q101" i="27"/>
  <c r="P101" i="27"/>
  <c r="O101" i="27"/>
  <c r="A101" i="27"/>
  <c r="V100" i="27"/>
  <c r="U100" i="27"/>
  <c r="T100" i="27"/>
  <c r="S100" i="27"/>
  <c r="R100" i="27"/>
  <c r="Q100" i="27"/>
  <c r="P100" i="27"/>
  <c r="O100" i="27"/>
  <c r="A100" i="27"/>
  <c r="V99" i="27"/>
  <c r="U99" i="27"/>
  <c r="T99" i="27"/>
  <c r="S99" i="27"/>
  <c r="R99" i="27"/>
  <c r="Q99" i="27"/>
  <c r="P99" i="27"/>
  <c r="O99" i="27"/>
  <c r="A99" i="27"/>
  <c r="V98" i="27"/>
  <c r="U98" i="27"/>
  <c r="T98" i="27"/>
  <c r="S98" i="27"/>
  <c r="R98" i="27"/>
  <c r="Q98" i="27"/>
  <c r="P98" i="27"/>
  <c r="O98" i="27"/>
  <c r="A98" i="27"/>
  <c r="V97" i="27"/>
  <c r="U97" i="27"/>
  <c r="T97" i="27"/>
  <c r="S97" i="27"/>
  <c r="R97" i="27"/>
  <c r="Q97" i="27"/>
  <c r="P97" i="27"/>
  <c r="O97" i="27"/>
  <c r="A97" i="27"/>
  <c r="V96" i="27"/>
  <c r="U96" i="27"/>
  <c r="T96" i="27"/>
  <c r="S96" i="27"/>
  <c r="R96" i="27"/>
  <c r="Q96" i="27"/>
  <c r="P96" i="27"/>
  <c r="O96" i="27"/>
  <c r="A96" i="27"/>
  <c r="V95" i="27"/>
  <c r="U95" i="27"/>
  <c r="T95" i="27"/>
  <c r="S95" i="27"/>
  <c r="R95" i="27"/>
  <c r="Q95" i="27"/>
  <c r="P95" i="27"/>
  <c r="O95" i="27"/>
  <c r="A95" i="27"/>
  <c r="V94" i="27"/>
  <c r="U94" i="27"/>
  <c r="T94" i="27"/>
  <c r="S94" i="27"/>
  <c r="R94" i="27"/>
  <c r="Q94" i="27"/>
  <c r="P94" i="27"/>
  <c r="O94" i="27"/>
  <c r="A94" i="27"/>
  <c r="V93" i="27"/>
  <c r="U93" i="27"/>
  <c r="T93" i="27"/>
  <c r="S93" i="27"/>
  <c r="R93" i="27"/>
  <c r="Q93" i="27"/>
  <c r="P93" i="27"/>
  <c r="O93" i="27"/>
  <c r="A93" i="27"/>
  <c r="V92" i="27"/>
  <c r="U92" i="27"/>
  <c r="T92" i="27"/>
  <c r="S92" i="27"/>
  <c r="R92" i="27"/>
  <c r="Q92" i="27"/>
  <c r="P92" i="27"/>
  <c r="O92" i="27"/>
  <c r="A92" i="27"/>
  <c r="V91" i="27"/>
  <c r="U91" i="27"/>
  <c r="T91" i="27"/>
  <c r="S91" i="27"/>
  <c r="R91" i="27"/>
  <c r="Q91" i="27"/>
  <c r="P91" i="27"/>
  <c r="O91" i="27"/>
  <c r="A91" i="27"/>
  <c r="V90" i="27"/>
  <c r="U90" i="27"/>
  <c r="T90" i="27"/>
  <c r="S90" i="27"/>
  <c r="R90" i="27"/>
  <c r="Q90" i="27"/>
  <c r="P90" i="27"/>
  <c r="O90" i="27"/>
  <c r="A90" i="27"/>
  <c r="V89" i="27"/>
  <c r="U89" i="27"/>
  <c r="T89" i="27"/>
  <c r="S89" i="27"/>
  <c r="R89" i="27"/>
  <c r="Q89" i="27"/>
  <c r="P89" i="27"/>
  <c r="O89" i="27"/>
  <c r="A89" i="27"/>
  <c r="V88" i="27"/>
  <c r="U88" i="27"/>
  <c r="T88" i="27"/>
  <c r="S88" i="27"/>
  <c r="R88" i="27"/>
  <c r="Q88" i="27"/>
  <c r="P88" i="27"/>
  <c r="O88" i="27"/>
  <c r="A88" i="27"/>
  <c r="V87" i="27"/>
  <c r="U87" i="27"/>
  <c r="T87" i="27"/>
  <c r="S87" i="27"/>
  <c r="R87" i="27"/>
  <c r="Q87" i="27"/>
  <c r="P87" i="27"/>
  <c r="O87" i="27"/>
  <c r="A87" i="27"/>
  <c r="V86" i="27"/>
  <c r="U86" i="27"/>
  <c r="T86" i="27"/>
  <c r="S86" i="27"/>
  <c r="R86" i="27"/>
  <c r="Q86" i="27"/>
  <c r="P86" i="27"/>
  <c r="O86" i="27"/>
  <c r="A86" i="27"/>
  <c r="V85" i="27"/>
  <c r="U85" i="27"/>
  <c r="T85" i="27"/>
  <c r="S85" i="27"/>
  <c r="R85" i="27"/>
  <c r="Q85" i="27"/>
  <c r="P85" i="27"/>
  <c r="O85" i="27"/>
  <c r="A85" i="27"/>
  <c r="V84" i="27"/>
  <c r="U84" i="27"/>
  <c r="T84" i="27"/>
  <c r="S84" i="27"/>
  <c r="R84" i="27"/>
  <c r="Q84" i="27"/>
  <c r="P84" i="27"/>
  <c r="O84" i="27"/>
  <c r="A84" i="27"/>
  <c r="V83" i="27"/>
  <c r="U83" i="27"/>
  <c r="T83" i="27"/>
  <c r="S83" i="27"/>
  <c r="R83" i="27"/>
  <c r="Q83" i="27"/>
  <c r="P83" i="27"/>
  <c r="O83" i="27"/>
  <c r="A83" i="27"/>
  <c r="V82" i="27"/>
  <c r="U82" i="27"/>
  <c r="T82" i="27"/>
  <c r="S82" i="27"/>
  <c r="R82" i="27"/>
  <c r="Q82" i="27"/>
  <c r="P82" i="27"/>
  <c r="O82" i="27"/>
  <c r="L82" i="27"/>
  <c r="K82" i="27"/>
  <c r="J82" i="27"/>
  <c r="I82" i="27"/>
  <c r="H82" i="27"/>
  <c r="G82" i="27"/>
  <c r="F82" i="27"/>
  <c r="A82" i="27"/>
  <c r="V81" i="27"/>
  <c r="U81" i="27"/>
  <c r="T81" i="27"/>
  <c r="S81" i="27"/>
  <c r="R81" i="27"/>
  <c r="Q81" i="27"/>
  <c r="P81" i="27"/>
  <c r="O81" i="27"/>
  <c r="A81" i="27"/>
  <c r="V80" i="27"/>
  <c r="U80" i="27"/>
  <c r="T80" i="27"/>
  <c r="S80" i="27"/>
  <c r="R80" i="27"/>
  <c r="Q80" i="27"/>
  <c r="P80" i="27"/>
  <c r="O80" i="27"/>
  <c r="A80" i="27"/>
  <c r="V79" i="27"/>
  <c r="U79" i="27"/>
  <c r="T79" i="27"/>
  <c r="S79" i="27"/>
  <c r="R79" i="27"/>
  <c r="Q79" i="27"/>
  <c r="P79" i="27"/>
  <c r="O79" i="27"/>
  <c r="A79" i="27"/>
  <c r="V78" i="27"/>
  <c r="U78" i="27"/>
  <c r="T78" i="27"/>
  <c r="S78" i="27"/>
  <c r="R78" i="27"/>
  <c r="Q78" i="27"/>
  <c r="P78" i="27"/>
  <c r="O78" i="27"/>
  <c r="A78" i="27"/>
  <c r="V77" i="27"/>
  <c r="U77" i="27"/>
  <c r="T77" i="27"/>
  <c r="S77" i="27"/>
  <c r="R77" i="27"/>
  <c r="Q77" i="27"/>
  <c r="P77" i="27"/>
  <c r="O77" i="27"/>
  <c r="A77" i="27"/>
  <c r="V76" i="27"/>
  <c r="U76" i="27"/>
  <c r="T76" i="27"/>
  <c r="S76" i="27"/>
  <c r="R76" i="27"/>
  <c r="Q76" i="27"/>
  <c r="P76" i="27"/>
  <c r="O76" i="27"/>
  <c r="A76" i="27"/>
  <c r="V75" i="27"/>
  <c r="U75" i="27"/>
  <c r="T75" i="27"/>
  <c r="S75" i="27"/>
  <c r="R75" i="27"/>
  <c r="Q75" i="27"/>
  <c r="P75" i="27"/>
  <c r="O75" i="27"/>
  <c r="A75" i="27"/>
  <c r="V74" i="27"/>
  <c r="U74" i="27"/>
  <c r="T74" i="27"/>
  <c r="S74" i="27"/>
  <c r="R74" i="27"/>
  <c r="Q74" i="27"/>
  <c r="P74" i="27"/>
  <c r="O74" i="27"/>
  <c r="A74" i="27"/>
  <c r="V73" i="27"/>
  <c r="U73" i="27"/>
  <c r="T73" i="27"/>
  <c r="S73" i="27"/>
  <c r="R73" i="27"/>
  <c r="Q73" i="27"/>
  <c r="P73" i="27"/>
  <c r="O73" i="27"/>
  <c r="A73" i="27"/>
  <c r="V72" i="27"/>
  <c r="U72" i="27"/>
  <c r="T72" i="27"/>
  <c r="S72" i="27"/>
  <c r="R72" i="27"/>
  <c r="Q72" i="27"/>
  <c r="P72" i="27"/>
  <c r="O72" i="27"/>
  <c r="A72" i="27"/>
  <c r="V71" i="27"/>
  <c r="U71" i="27"/>
  <c r="T71" i="27"/>
  <c r="S71" i="27"/>
  <c r="R71" i="27"/>
  <c r="Q71" i="27"/>
  <c r="P71" i="27"/>
  <c r="O71" i="27"/>
  <c r="L71" i="27"/>
  <c r="K71" i="27"/>
  <c r="J71" i="27"/>
  <c r="I71" i="27"/>
  <c r="H71" i="27"/>
  <c r="G71" i="27"/>
  <c r="F71" i="27"/>
  <c r="E71" i="27"/>
  <c r="D71" i="27"/>
  <c r="C71" i="27"/>
  <c r="A71" i="27"/>
  <c r="V70" i="27"/>
  <c r="U70" i="27"/>
  <c r="T70" i="27"/>
  <c r="S70" i="27"/>
  <c r="R70" i="27"/>
  <c r="Q70" i="27"/>
  <c r="P70" i="27"/>
  <c r="O70" i="27"/>
  <c r="A70" i="27"/>
  <c r="V69" i="27"/>
  <c r="U69" i="27"/>
  <c r="T69" i="27"/>
  <c r="S69" i="27"/>
  <c r="R69" i="27"/>
  <c r="Q69" i="27"/>
  <c r="P69" i="27"/>
  <c r="O69" i="27"/>
  <c r="L69" i="27"/>
  <c r="K69" i="27"/>
  <c r="J69" i="27"/>
  <c r="I69" i="27"/>
  <c r="H69" i="27"/>
  <c r="G69" i="27"/>
  <c r="F69" i="27"/>
  <c r="D69" i="27"/>
  <c r="C69" i="27"/>
  <c r="A69" i="27"/>
  <c r="V68" i="27"/>
  <c r="U68" i="27"/>
  <c r="T68" i="27"/>
  <c r="S68" i="27"/>
  <c r="R68" i="27"/>
  <c r="Q68" i="27"/>
  <c r="P68" i="27"/>
  <c r="O68" i="27"/>
  <c r="D68" i="27"/>
  <c r="C68" i="27"/>
  <c r="A68" i="27"/>
  <c r="V67" i="27"/>
  <c r="U67" i="27"/>
  <c r="T67" i="27"/>
  <c r="S67" i="27"/>
  <c r="R67" i="27"/>
  <c r="Q67" i="27"/>
  <c r="P67" i="27"/>
  <c r="O67" i="27"/>
  <c r="A67" i="27"/>
  <c r="V66" i="27"/>
  <c r="U66" i="27"/>
  <c r="T66" i="27"/>
  <c r="S66" i="27"/>
  <c r="R66" i="27"/>
  <c r="Q66" i="27"/>
  <c r="P66" i="27"/>
  <c r="O66" i="27"/>
  <c r="A66" i="27"/>
  <c r="V65" i="27"/>
  <c r="U65" i="27"/>
  <c r="T65" i="27"/>
  <c r="S65" i="27"/>
  <c r="R65" i="27"/>
  <c r="Q65" i="27"/>
  <c r="P65" i="27"/>
  <c r="O65" i="27"/>
  <c r="D65" i="27"/>
  <c r="C65" i="27"/>
  <c r="A65" i="27"/>
  <c r="V64" i="27"/>
  <c r="U64" i="27"/>
  <c r="T64" i="27"/>
  <c r="S64" i="27"/>
  <c r="R64" i="27"/>
  <c r="Q64" i="27"/>
  <c r="P64" i="27"/>
  <c r="O64" i="27"/>
  <c r="D64" i="27"/>
  <c r="C64" i="27"/>
  <c r="A64" i="27"/>
  <c r="V63" i="27"/>
  <c r="U63" i="27"/>
  <c r="T63" i="27"/>
  <c r="S63" i="27"/>
  <c r="R63" i="27"/>
  <c r="Q63" i="27"/>
  <c r="P63" i="27"/>
  <c r="O63" i="27"/>
  <c r="A63" i="27"/>
  <c r="V62" i="27"/>
  <c r="U62" i="27"/>
  <c r="T62" i="27"/>
  <c r="S62" i="27"/>
  <c r="R62" i="27"/>
  <c r="Q62" i="27"/>
  <c r="P62" i="27"/>
  <c r="O62" i="27"/>
  <c r="A62" i="27"/>
  <c r="V61" i="27"/>
  <c r="U61" i="27"/>
  <c r="T61" i="27"/>
  <c r="S61" i="27"/>
  <c r="R61" i="27"/>
  <c r="Q61" i="27"/>
  <c r="P61" i="27"/>
  <c r="O61" i="27"/>
  <c r="A61" i="27"/>
  <c r="V60" i="27"/>
  <c r="U60" i="27"/>
  <c r="T60" i="27"/>
  <c r="S60" i="27"/>
  <c r="R60" i="27"/>
  <c r="Q60" i="27"/>
  <c r="P60" i="27"/>
  <c r="O60" i="27"/>
  <c r="A60" i="27"/>
  <c r="V59" i="27"/>
  <c r="U59" i="27"/>
  <c r="T59" i="27"/>
  <c r="S59" i="27"/>
  <c r="R59" i="27"/>
  <c r="Q59" i="27"/>
  <c r="P59" i="27"/>
  <c r="O59" i="27"/>
  <c r="A59" i="27"/>
  <c r="V58" i="27"/>
  <c r="U58" i="27"/>
  <c r="T58" i="27"/>
  <c r="S58" i="27"/>
  <c r="R58" i="27"/>
  <c r="Q58" i="27"/>
  <c r="P58" i="27"/>
  <c r="O58" i="27"/>
  <c r="C58" i="27"/>
  <c r="D58" i="27" s="1"/>
  <c r="A58" i="27"/>
  <c r="V57" i="27"/>
  <c r="U57" i="27"/>
  <c r="T57" i="27"/>
  <c r="S57" i="27"/>
  <c r="R57" i="27"/>
  <c r="Q57" i="27"/>
  <c r="P57" i="27"/>
  <c r="O57" i="27"/>
  <c r="C57" i="27"/>
  <c r="D57" i="27" s="1"/>
  <c r="A57" i="27"/>
  <c r="V56" i="27"/>
  <c r="U56" i="27"/>
  <c r="T56" i="27"/>
  <c r="S56" i="27"/>
  <c r="R56" i="27"/>
  <c r="Q56" i="27"/>
  <c r="P56" i="27"/>
  <c r="O56" i="27"/>
  <c r="A56" i="27"/>
  <c r="V55" i="27"/>
  <c r="U55" i="27"/>
  <c r="T55" i="27"/>
  <c r="S55" i="27"/>
  <c r="R55" i="27"/>
  <c r="Q55" i="27"/>
  <c r="P55" i="27"/>
  <c r="O55" i="27"/>
  <c r="A55" i="27"/>
  <c r="V54" i="27"/>
  <c r="U54" i="27"/>
  <c r="T54" i="27"/>
  <c r="S54" i="27"/>
  <c r="R54" i="27"/>
  <c r="Q54" i="27"/>
  <c r="P54" i="27"/>
  <c r="O54" i="27"/>
  <c r="D54" i="27"/>
  <c r="C54" i="27"/>
  <c r="A54" i="27"/>
  <c r="V53" i="27"/>
  <c r="U53" i="27"/>
  <c r="T53" i="27"/>
  <c r="S53" i="27"/>
  <c r="R53" i="27"/>
  <c r="Q53" i="27"/>
  <c r="P53" i="27"/>
  <c r="O53" i="27"/>
  <c r="L53" i="27"/>
  <c r="K53" i="27"/>
  <c r="J53" i="27"/>
  <c r="I53" i="27"/>
  <c r="H53" i="27"/>
  <c r="G53" i="27"/>
  <c r="F53" i="27"/>
  <c r="E53" i="27"/>
  <c r="D53" i="27"/>
  <c r="C53" i="27"/>
  <c r="A53" i="27"/>
  <c r="V52" i="27"/>
  <c r="U52" i="27"/>
  <c r="T52" i="27"/>
  <c r="S52" i="27"/>
  <c r="R52" i="27"/>
  <c r="Q52" i="27"/>
  <c r="P52" i="27"/>
  <c r="O52" i="27"/>
  <c r="L52" i="27"/>
  <c r="K52" i="27"/>
  <c r="J52" i="27"/>
  <c r="I52" i="27"/>
  <c r="H52" i="27"/>
  <c r="G52" i="27"/>
  <c r="F52" i="27"/>
  <c r="E52" i="27"/>
  <c r="D52" i="27"/>
  <c r="C52" i="27"/>
  <c r="A52" i="27"/>
  <c r="V51" i="27"/>
  <c r="U51" i="27"/>
  <c r="T51" i="27"/>
  <c r="S51" i="27"/>
  <c r="R51" i="27"/>
  <c r="Q51" i="27"/>
  <c r="P51" i="27"/>
  <c r="O51" i="27"/>
  <c r="A51" i="27"/>
  <c r="V50" i="27"/>
  <c r="U50" i="27"/>
  <c r="T50" i="27"/>
  <c r="S50" i="27"/>
  <c r="R50" i="27"/>
  <c r="Q50" i="27"/>
  <c r="P50" i="27"/>
  <c r="O50" i="27"/>
  <c r="A50" i="27"/>
  <c r="V49" i="27"/>
  <c r="U49" i="27"/>
  <c r="T49" i="27"/>
  <c r="S49" i="27"/>
  <c r="R49" i="27"/>
  <c r="Q49" i="27"/>
  <c r="P49" i="27"/>
  <c r="O49" i="27"/>
  <c r="A49" i="27"/>
  <c r="V48" i="27"/>
  <c r="U48" i="27"/>
  <c r="T48" i="27"/>
  <c r="S48" i="27"/>
  <c r="R48" i="27"/>
  <c r="Q48" i="27"/>
  <c r="P48" i="27"/>
  <c r="O48" i="27"/>
  <c r="A48" i="27"/>
  <c r="V47" i="27"/>
  <c r="U47" i="27"/>
  <c r="T47" i="27"/>
  <c r="S47" i="27"/>
  <c r="R47" i="27"/>
  <c r="Q47" i="27"/>
  <c r="P47" i="27"/>
  <c r="O47" i="27"/>
  <c r="A47" i="27"/>
  <c r="V46" i="27"/>
  <c r="U46" i="27"/>
  <c r="T46" i="27"/>
  <c r="S46" i="27"/>
  <c r="R46" i="27"/>
  <c r="Q46" i="27"/>
  <c r="P46" i="27"/>
  <c r="O46" i="27"/>
  <c r="A46" i="27"/>
  <c r="V45" i="27"/>
  <c r="U45" i="27"/>
  <c r="T45" i="27"/>
  <c r="S45" i="27"/>
  <c r="R45" i="27"/>
  <c r="Q45" i="27"/>
  <c r="P45" i="27"/>
  <c r="O45" i="27"/>
  <c r="A45" i="27"/>
  <c r="V44" i="27"/>
  <c r="U44" i="27"/>
  <c r="T44" i="27"/>
  <c r="S44" i="27"/>
  <c r="R44" i="27"/>
  <c r="Q44" i="27"/>
  <c r="P44" i="27"/>
  <c r="O44" i="27"/>
  <c r="A44" i="27"/>
  <c r="V43" i="27"/>
  <c r="U43" i="27"/>
  <c r="T43" i="27"/>
  <c r="S43" i="27"/>
  <c r="R43" i="27"/>
  <c r="Q43" i="27"/>
  <c r="P43" i="27"/>
  <c r="O43" i="27"/>
  <c r="L43" i="27"/>
  <c r="K43" i="27"/>
  <c r="J43" i="27"/>
  <c r="I43" i="27"/>
  <c r="H43" i="27"/>
  <c r="G43" i="27"/>
  <c r="F43" i="27"/>
  <c r="E43" i="27"/>
  <c r="D43" i="27"/>
  <c r="C43" i="27"/>
  <c r="A43" i="27"/>
  <c r="V42" i="27"/>
  <c r="U42" i="27"/>
  <c r="T42" i="27"/>
  <c r="S42" i="27"/>
  <c r="R42" i="27"/>
  <c r="Q42" i="27"/>
  <c r="P42" i="27"/>
  <c r="O42" i="27"/>
  <c r="L42" i="27"/>
  <c r="K42" i="27"/>
  <c r="J42" i="27"/>
  <c r="I42" i="27"/>
  <c r="H42" i="27"/>
  <c r="G42" i="27"/>
  <c r="F42" i="27"/>
  <c r="E42" i="27"/>
  <c r="D42" i="27"/>
  <c r="C42" i="27"/>
  <c r="A42" i="27"/>
  <c r="V41" i="27"/>
  <c r="U41" i="27"/>
  <c r="T41" i="27"/>
  <c r="S41" i="27"/>
  <c r="R41" i="27"/>
  <c r="Q41" i="27"/>
  <c r="P41" i="27"/>
  <c r="O41" i="27"/>
  <c r="L41" i="27"/>
  <c r="K41" i="27"/>
  <c r="J41" i="27"/>
  <c r="I41" i="27"/>
  <c r="H41" i="27"/>
  <c r="G41" i="27"/>
  <c r="F41" i="27"/>
  <c r="E41" i="27"/>
  <c r="D41" i="27"/>
  <c r="C41" i="27"/>
  <c r="A41" i="27"/>
  <c r="V40" i="27"/>
  <c r="U40" i="27"/>
  <c r="T40" i="27"/>
  <c r="S40" i="27"/>
  <c r="R40" i="27"/>
  <c r="Q40" i="27"/>
  <c r="P40" i="27"/>
  <c r="O40" i="27"/>
  <c r="A40" i="27"/>
  <c r="V39" i="27"/>
  <c r="U39" i="27"/>
  <c r="T39" i="27"/>
  <c r="S39" i="27"/>
  <c r="R39" i="27"/>
  <c r="Q39" i="27"/>
  <c r="P39" i="27"/>
  <c r="O39" i="27"/>
  <c r="L39" i="27"/>
  <c r="K39" i="27"/>
  <c r="J39" i="27"/>
  <c r="I39" i="27"/>
  <c r="H39" i="27"/>
  <c r="G39" i="27"/>
  <c r="F39" i="27"/>
  <c r="E39" i="27"/>
  <c r="D39" i="27"/>
  <c r="C39" i="27"/>
  <c r="A39" i="27"/>
  <c r="V38" i="27"/>
  <c r="U38" i="27"/>
  <c r="T38" i="27"/>
  <c r="S38" i="27"/>
  <c r="R38" i="27"/>
  <c r="Q38" i="27"/>
  <c r="P38" i="27"/>
  <c r="O38" i="27"/>
  <c r="A38" i="27"/>
  <c r="V37" i="27"/>
  <c r="U37" i="27"/>
  <c r="T37" i="27"/>
  <c r="S37" i="27"/>
  <c r="R37" i="27"/>
  <c r="Q37" i="27"/>
  <c r="P37" i="27"/>
  <c r="O37" i="27"/>
  <c r="L37" i="27"/>
  <c r="K37" i="27"/>
  <c r="J37" i="27"/>
  <c r="I37" i="27"/>
  <c r="H37" i="27"/>
  <c r="G37" i="27"/>
  <c r="F37" i="27"/>
  <c r="E37" i="27"/>
  <c r="D37" i="27"/>
  <c r="C37" i="27"/>
  <c r="A37" i="27"/>
  <c r="V36" i="27"/>
  <c r="U36" i="27"/>
  <c r="T36" i="27"/>
  <c r="S36" i="27"/>
  <c r="R36" i="27"/>
  <c r="Q36" i="27"/>
  <c r="P36" i="27"/>
  <c r="O36" i="27"/>
  <c r="D36" i="27"/>
  <c r="C36" i="27"/>
  <c r="A36" i="27"/>
  <c r="V35" i="27"/>
  <c r="U35" i="27"/>
  <c r="T35" i="27"/>
  <c r="S35" i="27"/>
  <c r="R35" i="27"/>
  <c r="Q35" i="27"/>
  <c r="P35" i="27"/>
  <c r="O35" i="27"/>
  <c r="A35" i="27"/>
  <c r="V34" i="27"/>
  <c r="U34" i="27"/>
  <c r="T34" i="27"/>
  <c r="S34" i="27"/>
  <c r="R34" i="27"/>
  <c r="Q34" i="27"/>
  <c r="P34" i="27"/>
  <c r="O34" i="27"/>
  <c r="L34" i="27"/>
  <c r="K34" i="27"/>
  <c r="J34" i="27"/>
  <c r="I34" i="27"/>
  <c r="H34" i="27"/>
  <c r="G34" i="27"/>
  <c r="F34" i="27"/>
  <c r="E34" i="27"/>
  <c r="D34" i="27"/>
  <c r="C34" i="27"/>
  <c r="A34" i="27"/>
  <c r="V33" i="27"/>
  <c r="U33" i="27"/>
  <c r="T33" i="27"/>
  <c r="S33" i="27"/>
  <c r="R33" i="27"/>
  <c r="Q33" i="27"/>
  <c r="P33" i="27"/>
  <c r="O33" i="27"/>
  <c r="L33" i="27"/>
  <c r="K33" i="27"/>
  <c r="J33" i="27"/>
  <c r="I33" i="27"/>
  <c r="H33" i="27"/>
  <c r="G33" i="27"/>
  <c r="F33" i="27"/>
  <c r="E33" i="27"/>
  <c r="T32" i="27"/>
  <c r="S32" i="27"/>
  <c r="V31" i="27"/>
  <c r="U31" i="27"/>
  <c r="T31" i="27"/>
  <c r="S31" i="27"/>
  <c r="R31" i="27"/>
  <c r="Q31" i="27"/>
  <c r="P31" i="27"/>
  <c r="O31" i="27"/>
  <c r="N31" i="27"/>
  <c r="M31" i="27"/>
  <c r="J20" i="27"/>
  <c r="I20" i="27"/>
  <c r="H20" i="27"/>
  <c r="G20" i="27"/>
  <c r="J19" i="27"/>
  <c r="I19" i="27"/>
  <c r="H19" i="27"/>
  <c r="G19" i="27"/>
  <c r="J18" i="27"/>
  <c r="I18" i="27"/>
  <c r="H18" i="27"/>
  <c r="G18" i="27"/>
  <c r="J17" i="27"/>
  <c r="I17" i="27"/>
  <c r="H17" i="27"/>
  <c r="G17" i="27"/>
  <c r="J16" i="27"/>
  <c r="I16" i="27"/>
  <c r="H16" i="27"/>
  <c r="G16" i="27"/>
  <c r="J15" i="27"/>
  <c r="I15" i="27"/>
  <c r="H15" i="27"/>
  <c r="G15" i="27"/>
  <c r="J14" i="27"/>
  <c r="I14" i="27"/>
  <c r="H14" i="27"/>
  <c r="G14" i="27"/>
  <c r="J13" i="27"/>
  <c r="I13" i="27"/>
  <c r="H13" i="27"/>
  <c r="G13" i="27"/>
  <c r="J12" i="27"/>
  <c r="H12" i="27"/>
  <c r="G12" i="27"/>
  <c r="J11" i="27"/>
  <c r="H11" i="27"/>
  <c r="G11" i="27"/>
  <c r="E7" i="27"/>
  <c r="B7" i="27"/>
  <c r="T194" i="26"/>
  <c r="S194" i="26"/>
  <c r="R194" i="26"/>
  <c r="Q194" i="26"/>
  <c r="P194" i="26"/>
  <c r="U193" i="26"/>
  <c r="T193" i="26"/>
  <c r="S193" i="26"/>
  <c r="R193" i="26"/>
  <c r="P193" i="26"/>
  <c r="O193" i="26"/>
  <c r="N193" i="26"/>
  <c r="M193" i="26"/>
  <c r="L193" i="26"/>
  <c r="K193" i="26"/>
  <c r="J193" i="26"/>
  <c r="I193" i="26"/>
  <c r="H193" i="26"/>
  <c r="G193" i="26"/>
  <c r="F193" i="26"/>
  <c r="E193" i="26"/>
  <c r="D193" i="26"/>
  <c r="U192" i="26"/>
  <c r="T192" i="26"/>
  <c r="S192" i="26"/>
  <c r="R192" i="26"/>
  <c r="P192" i="26"/>
  <c r="O192" i="26"/>
  <c r="N192" i="26"/>
  <c r="M192" i="26"/>
  <c r="L192" i="26"/>
  <c r="K192" i="26"/>
  <c r="J192" i="26"/>
  <c r="I192" i="26"/>
  <c r="H192" i="26"/>
  <c r="G192" i="26"/>
  <c r="F192" i="26"/>
  <c r="E192" i="26"/>
  <c r="D192" i="26"/>
  <c r="C192" i="26"/>
  <c r="U191" i="26"/>
  <c r="T191" i="26"/>
  <c r="S191" i="26"/>
  <c r="R191" i="26"/>
  <c r="P191" i="26"/>
  <c r="O191" i="26"/>
  <c r="N191" i="26"/>
  <c r="M191" i="26"/>
  <c r="L191" i="26"/>
  <c r="K191" i="26"/>
  <c r="J191" i="26"/>
  <c r="I191" i="26"/>
  <c r="H191" i="26"/>
  <c r="G191" i="26"/>
  <c r="F191" i="26"/>
  <c r="E191" i="26"/>
  <c r="D191" i="26"/>
  <c r="C191" i="26"/>
  <c r="W187" i="26"/>
  <c r="V187" i="26"/>
  <c r="U187" i="26"/>
  <c r="T187" i="26"/>
  <c r="S187" i="26"/>
  <c r="X186" i="26"/>
  <c r="W186" i="26"/>
  <c r="V186" i="26"/>
  <c r="U186" i="26"/>
  <c r="T186" i="26"/>
  <c r="S186" i="26"/>
  <c r="R186" i="26"/>
  <c r="Q186" i="26"/>
  <c r="P186" i="26"/>
  <c r="O186" i="26"/>
  <c r="N186" i="26"/>
  <c r="M186" i="26"/>
  <c r="L186" i="26"/>
  <c r="K186" i="26"/>
  <c r="J186" i="26"/>
  <c r="I186" i="26"/>
  <c r="H186" i="26"/>
  <c r="G186" i="26"/>
  <c r="F186" i="26"/>
  <c r="E186" i="26"/>
  <c r="D186" i="26"/>
  <c r="C186" i="26"/>
  <c r="X185" i="26"/>
  <c r="W185" i="26"/>
  <c r="V185" i="26"/>
  <c r="U185" i="26"/>
  <c r="T185" i="26"/>
  <c r="S185" i="26"/>
  <c r="R185" i="26"/>
  <c r="Q185" i="26"/>
  <c r="P185" i="26"/>
  <c r="O185" i="26"/>
  <c r="N185" i="26"/>
  <c r="M185" i="26"/>
  <c r="L185" i="26"/>
  <c r="K185" i="26"/>
  <c r="J185" i="26"/>
  <c r="I185" i="26"/>
  <c r="H185" i="26"/>
  <c r="G185" i="26"/>
  <c r="F185" i="26"/>
  <c r="E185" i="26"/>
  <c r="D185" i="26"/>
  <c r="C185" i="26"/>
  <c r="X184" i="26"/>
  <c r="W184" i="26"/>
  <c r="V184" i="26"/>
  <c r="U184" i="26"/>
  <c r="T184" i="26"/>
  <c r="S184" i="26"/>
  <c r="R184" i="26"/>
  <c r="Q184" i="26"/>
  <c r="P184" i="26"/>
  <c r="O184" i="26"/>
  <c r="N184" i="26"/>
  <c r="M184" i="26"/>
  <c r="L184" i="26"/>
  <c r="K184" i="26"/>
  <c r="J184" i="26"/>
  <c r="I184" i="26"/>
  <c r="H184" i="26"/>
  <c r="G184" i="26"/>
  <c r="F184" i="26"/>
  <c r="E184" i="26"/>
  <c r="D184" i="26"/>
  <c r="C184" i="26"/>
  <c r="C121" i="26"/>
  <c r="V103" i="26"/>
  <c r="U103" i="26"/>
  <c r="T103" i="26"/>
  <c r="S103" i="26"/>
  <c r="R103" i="26"/>
  <c r="Q103" i="26"/>
  <c r="P103" i="26"/>
  <c r="O103" i="26"/>
  <c r="A103" i="26"/>
  <c r="V102" i="26"/>
  <c r="U102" i="26"/>
  <c r="T102" i="26"/>
  <c r="S102" i="26"/>
  <c r="R102" i="26"/>
  <c r="Q102" i="26"/>
  <c r="P102" i="26"/>
  <c r="O102" i="26"/>
  <c r="A102" i="26"/>
  <c r="V101" i="26"/>
  <c r="U101" i="26"/>
  <c r="T101" i="26"/>
  <c r="S101" i="26"/>
  <c r="R101" i="26"/>
  <c r="Q101" i="26"/>
  <c r="P101" i="26"/>
  <c r="O101" i="26"/>
  <c r="A101" i="26"/>
  <c r="V100" i="26"/>
  <c r="U100" i="26"/>
  <c r="T100" i="26"/>
  <c r="S100" i="26"/>
  <c r="R100" i="26"/>
  <c r="Q100" i="26"/>
  <c r="P100" i="26"/>
  <c r="O100" i="26"/>
  <c r="A100" i="26"/>
  <c r="V99" i="26"/>
  <c r="U99" i="26"/>
  <c r="T99" i="26"/>
  <c r="S99" i="26"/>
  <c r="R99" i="26"/>
  <c r="Q99" i="26"/>
  <c r="P99" i="26"/>
  <c r="O99" i="26"/>
  <c r="A99" i="26"/>
  <c r="V98" i="26"/>
  <c r="U98" i="26"/>
  <c r="T98" i="26"/>
  <c r="S98" i="26"/>
  <c r="R98" i="26"/>
  <c r="Q98" i="26"/>
  <c r="P98" i="26"/>
  <c r="O98" i="26"/>
  <c r="A98" i="26"/>
  <c r="V97" i="26"/>
  <c r="U97" i="26"/>
  <c r="T97" i="26"/>
  <c r="S97" i="26"/>
  <c r="R97" i="26"/>
  <c r="Q97" i="26"/>
  <c r="P97" i="26"/>
  <c r="O97" i="26"/>
  <c r="A97" i="26"/>
  <c r="V96" i="26"/>
  <c r="U96" i="26"/>
  <c r="T96" i="26"/>
  <c r="S96" i="26"/>
  <c r="R96" i="26"/>
  <c r="Q96" i="26"/>
  <c r="P96" i="26"/>
  <c r="O96" i="26"/>
  <c r="A96" i="26"/>
  <c r="V95" i="26"/>
  <c r="U95" i="26"/>
  <c r="T95" i="26"/>
  <c r="S95" i="26"/>
  <c r="R95" i="26"/>
  <c r="Q95" i="26"/>
  <c r="P95" i="26"/>
  <c r="O95" i="26"/>
  <c r="A95" i="26"/>
  <c r="V94" i="26"/>
  <c r="U94" i="26"/>
  <c r="T94" i="26"/>
  <c r="S94" i="26"/>
  <c r="R94" i="26"/>
  <c r="Q94" i="26"/>
  <c r="P94" i="26"/>
  <c r="O94" i="26"/>
  <c r="A94" i="26"/>
  <c r="V93" i="26"/>
  <c r="U93" i="26"/>
  <c r="T93" i="26"/>
  <c r="S93" i="26"/>
  <c r="R93" i="26"/>
  <c r="Q93" i="26"/>
  <c r="P93" i="26"/>
  <c r="O93" i="26"/>
  <c r="A93" i="26"/>
  <c r="V92" i="26"/>
  <c r="U92" i="26"/>
  <c r="T92" i="26"/>
  <c r="S92" i="26"/>
  <c r="R92" i="26"/>
  <c r="Q92" i="26"/>
  <c r="P92" i="26"/>
  <c r="O92" i="26"/>
  <c r="A92" i="26"/>
  <c r="V91" i="26"/>
  <c r="U91" i="26"/>
  <c r="T91" i="26"/>
  <c r="S91" i="26"/>
  <c r="R91" i="26"/>
  <c r="Q91" i="26"/>
  <c r="P91" i="26"/>
  <c r="O91" i="26"/>
  <c r="A91" i="26"/>
  <c r="V90" i="26"/>
  <c r="U90" i="26"/>
  <c r="T90" i="26"/>
  <c r="S90" i="26"/>
  <c r="R90" i="26"/>
  <c r="Q90" i="26"/>
  <c r="P90" i="26"/>
  <c r="O90" i="26"/>
  <c r="A90" i="26"/>
  <c r="V89" i="26"/>
  <c r="U89" i="26"/>
  <c r="T89" i="26"/>
  <c r="S89" i="26"/>
  <c r="R89" i="26"/>
  <c r="Q89" i="26"/>
  <c r="P89" i="26"/>
  <c r="O89" i="26"/>
  <c r="A89" i="26"/>
  <c r="V88" i="26"/>
  <c r="U88" i="26"/>
  <c r="T88" i="26"/>
  <c r="S88" i="26"/>
  <c r="R88" i="26"/>
  <c r="Q88" i="26"/>
  <c r="P88" i="26"/>
  <c r="O88" i="26"/>
  <c r="A88" i="26"/>
  <c r="V87" i="26"/>
  <c r="U87" i="26"/>
  <c r="T87" i="26"/>
  <c r="S87" i="26"/>
  <c r="R87" i="26"/>
  <c r="Q87" i="26"/>
  <c r="P87" i="26"/>
  <c r="O87" i="26"/>
  <c r="A87" i="26"/>
  <c r="V86" i="26"/>
  <c r="U86" i="26"/>
  <c r="T86" i="26"/>
  <c r="S86" i="26"/>
  <c r="R86" i="26"/>
  <c r="Q86" i="26"/>
  <c r="P86" i="26"/>
  <c r="O86" i="26"/>
  <c r="A86" i="26"/>
  <c r="V85" i="26"/>
  <c r="U85" i="26"/>
  <c r="T85" i="26"/>
  <c r="S85" i="26"/>
  <c r="R85" i="26"/>
  <c r="Q85" i="26"/>
  <c r="P85" i="26"/>
  <c r="O85" i="26"/>
  <c r="A85" i="26"/>
  <c r="V84" i="26"/>
  <c r="U84" i="26"/>
  <c r="T84" i="26"/>
  <c r="S84" i="26"/>
  <c r="R84" i="26"/>
  <c r="Q84" i="26"/>
  <c r="P84" i="26"/>
  <c r="O84" i="26"/>
  <c r="A84" i="26"/>
  <c r="V83" i="26"/>
  <c r="U83" i="26"/>
  <c r="T83" i="26"/>
  <c r="S83" i="26"/>
  <c r="R83" i="26"/>
  <c r="Q83" i="26"/>
  <c r="P83" i="26"/>
  <c r="O83" i="26"/>
  <c r="A83" i="26"/>
  <c r="V82" i="26"/>
  <c r="U82" i="26"/>
  <c r="T82" i="26"/>
  <c r="S82" i="26"/>
  <c r="R82" i="26"/>
  <c r="Q82" i="26"/>
  <c r="P82" i="26"/>
  <c r="O82" i="26"/>
  <c r="L82" i="26"/>
  <c r="K82" i="26"/>
  <c r="J82" i="26"/>
  <c r="I82" i="26"/>
  <c r="H82" i="26"/>
  <c r="G82" i="26"/>
  <c r="F82" i="26"/>
  <c r="A82" i="26"/>
  <c r="V81" i="26"/>
  <c r="U81" i="26"/>
  <c r="T81" i="26"/>
  <c r="S81" i="26"/>
  <c r="R81" i="26"/>
  <c r="Q81" i="26"/>
  <c r="P81" i="26"/>
  <c r="O81" i="26"/>
  <c r="A81" i="26"/>
  <c r="V80" i="26"/>
  <c r="U80" i="26"/>
  <c r="T80" i="26"/>
  <c r="S80" i="26"/>
  <c r="R80" i="26"/>
  <c r="Q80" i="26"/>
  <c r="P80" i="26"/>
  <c r="O80" i="26"/>
  <c r="A80" i="26"/>
  <c r="V79" i="26"/>
  <c r="U79" i="26"/>
  <c r="T79" i="26"/>
  <c r="S79" i="26"/>
  <c r="R79" i="26"/>
  <c r="Q79" i="26"/>
  <c r="P79" i="26"/>
  <c r="O79" i="26"/>
  <c r="A79" i="26"/>
  <c r="V78" i="26"/>
  <c r="U78" i="26"/>
  <c r="T78" i="26"/>
  <c r="S78" i="26"/>
  <c r="R78" i="26"/>
  <c r="Q78" i="26"/>
  <c r="P78" i="26"/>
  <c r="O78" i="26"/>
  <c r="A78" i="26"/>
  <c r="V77" i="26"/>
  <c r="U77" i="26"/>
  <c r="T77" i="26"/>
  <c r="S77" i="26"/>
  <c r="R77" i="26"/>
  <c r="Q77" i="26"/>
  <c r="P77" i="26"/>
  <c r="O77" i="26"/>
  <c r="A77" i="26"/>
  <c r="V76" i="26"/>
  <c r="U76" i="26"/>
  <c r="T76" i="26"/>
  <c r="S76" i="26"/>
  <c r="R76" i="26"/>
  <c r="Q76" i="26"/>
  <c r="P76" i="26"/>
  <c r="O76" i="26"/>
  <c r="A76" i="26"/>
  <c r="V75" i="26"/>
  <c r="U75" i="26"/>
  <c r="T75" i="26"/>
  <c r="S75" i="26"/>
  <c r="R75" i="26"/>
  <c r="Q75" i="26"/>
  <c r="P75" i="26"/>
  <c r="O75" i="26"/>
  <c r="A75" i="26"/>
  <c r="V74" i="26"/>
  <c r="U74" i="26"/>
  <c r="T74" i="26"/>
  <c r="S74" i="26"/>
  <c r="R74" i="26"/>
  <c r="Q74" i="26"/>
  <c r="P74" i="26"/>
  <c r="O74" i="26"/>
  <c r="A74" i="26"/>
  <c r="V73" i="26"/>
  <c r="U73" i="26"/>
  <c r="T73" i="26"/>
  <c r="S73" i="26"/>
  <c r="R73" i="26"/>
  <c r="Q73" i="26"/>
  <c r="P73" i="26"/>
  <c r="O73" i="26"/>
  <c r="A73" i="26"/>
  <c r="V72" i="26"/>
  <c r="U72" i="26"/>
  <c r="T72" i="26"/>
  <c r="S72" i="26"/>
  <c r="R72" i="26"/>
  <c r="Q72" i="26"/>
  <c r="P72" i="26"/>
  <c r="O72" i="26"/>
  <c r="A72" i="26"/>
  <c r="V71" i="26"/>
  <c r="U71" i="26"/>
  <c r="T71" i="26"/>
  <c r="S71" i="26"/>
  <c r="R71" i="26"/>
  <c r="Q71" i="26"/>
  <c r="P71" i="26"/>
  <c r="O71" i="26"/>
  <c r="L71" i="26"/>
  <c r="K71" i="26"/>
  <c r="J71" i="26"/>
  <c r="I71" i="26"/>
  <c r="H71" i="26"/>
  <c r="G71" i="26"/>
  <c r="F71" i="26"/>
  <c r="E71" i="26"/>
  <c r="D71" i="26"/>
  <c r="C71" i="26"/>
  <c r="A71" i="26"/>
  <c r="V70" i="26"/>
  <c r="U70" i="26"/>
  <c r="T70" i="26"/>
  <c r="S70" i="26"/>
  <c r="R70" i="26"/>
  <c r="Q70" i="26"/>
  <c r="P70" i="26"/>
  <c r="O70" i="26"/>
  <c r="A70" i="26"/>
  <c r="V69" i="26"/>
  <c r="U69" i="26"/>
  <c r="T69" i="26"/>
  <c r="S69" i="26"/>
  <c r="R69" i="26"/>
  <c r="Q69" i="26"/>
  <c r="P69" i="26"/>
  <c r="O69" i="26"/>
  <c r="L69" i="26"/>
  <c r="K69" i="26"/>
  <c r="J69" i="26"/>
  <c r="I69" i="26"/>
  <c r="H69" i="26"/>
  <c r="G69" i="26"/>
  <c r="F69" i="26"/>
  <c r="D69" i="26"/>
  <c r="C69" i="26"/>
  <c r="A69" i="26"/>
  <c r="V68" i="26"/>
  <c r="U68" i="26"/>
  <c r="T68" i="26"/>
  <c r="S68" i="26"/>
  <c r="R68" i="26"/>
  <c r="Q68" i="26"/>
  <c r="P68" i="26"/>
  <c r="O68" i="26"/>
  <c r="D68" i="26"/>
  <c r="C68" i="26"/>
  <c r="A68" i="26"/>
  <c r="V67" i="26"/>
  <c r="U67" i="26"/>
  <c r="T67" i="26"/>
  <c r="S67" i="26"/>
  <c r="R67" i="26"/>
  <c r="Q67" i="26"/>
  <c r="P67" i="26"/>
  <c r="O67" i="26"/>
  <c r="A67" i="26"/>
  <c r="V66" i="26"/>
  <c r="U66" i="26"/>
  <c r="T66" i="26"/>
  <c r="S66" i="26"/>
  <c r="R66" i="26"/>
  <c r="Q66" i="26"/>
  <c r="P66" i="26"/>
  <c r="O66" i="26"/>
  <c r="A66" i="26"/>
  <c r="V65" i="26"/>
  <c r="U65" i="26"/>
  <c r="T65" i="26"/>
  <c r="S65" i="26"/>
  <c r="R65" i="26"/>
  <c r="Q65" i="26"/>
  <c r="P65" i="26"/>
  <c r="O65" i="26"/>
  <c r="D65" i="26"/>
  <c r="C65" i="26"/>
  <c r="A65" i="26"/>
  <c r="V64" i="26"/>
  <c r="U64" i="26"/>
  <c r="T64" i="26"/>
  <c r="S64" i="26"/>
  <c r="R64" i="26"/>
  <c r="Q64" i="26"/>
  <c r="P64" i="26"/>
  <c r="O64" i="26"/>
  <c r="D64" i="26"/>
  <c r="C64" i="26"/>
  <c r="A64" i="26"/>
  <c r="V63" i="26"/>
  <c r="U63" i="26"/>
  <c r="T63" i="26"/>
  <c r="S63" i="26"/>
  <c r="R63" i="26"/>
  <c r="Q63" i="26"/>
  <c r="P63" i="26"/>
  <c r="O63" i="26"/>
  <c r="A63" i="26"/>
  <c r="V62" i="26"/>
  <c r="U62" i="26"/>
  <c r="T62" i="26"/>
  <c r="S62" i="26"/>
  <c r="R62" i="26"/>
  <c r="Q62" i="26"/>
  <c r="P62" i="26"/>
  <c r="O62" i="26"/>
  <c r="A62" i="26"/>
  <c r="V61" i="26"/>
  <c r="U61" i="26"/>
  <c r="T61" i="26"/>
  <c r="S61" i="26"/>
  <c r="R61" i="26"/>
  <c r="Q61" i="26"/>
  <c r="P61" i="26"/>
  <c r="O61" i="26"/>
  <c r="A61" i="26"/>
  <c r="V60" i="26"/>
  <c r="U60" i="26"/>
  <c r="T60" i="26"/>
  <c r="S60" i="26"/>
  <c r="R60" i="26"/>
  <c r="Q60" i="26"/>
  <c r="P60" i="26"/>
  <c r="O60" i="26"/>
  <c r="A60" i="26"/>
  <c r="V59" i="26"/>
  <c r="U59" i="26"/>
  <c r="T59" i="26"/>
  <c r="S59" i="26"/>
  <c r="R59" i="26"/>
  <c r="Q59" i="26"/>
  <c r="P59" i="26"/>
  <c r="O59" i="26"/>
  <c r="A59" i="26"/>
  <c r="V58" i="26"/>
  <c r="U58" i="26"/>
  <c r="T58" i="26"/>
  <c r="S58" i="26"/>
  <c r="R58" i="26"/>
  <c r="Q58" i="26"/>
  <c r="P58" i="26"/>
  <c r="O58" i="26"/>
  <c r="D58" i="26"/>
  <c r="C58" i="26"/>
  <c r="A58" i="26"/>
  <c r="V57" i="26"/>
  <c r="U57" i="26"/>
  <c r="T57" i="26"/>
  <c r="S57" i="26"/>
  <c r="R57" i="26"/>
  <c r="Q57" i="26"/>
  <c r="P57" i="26"/>
  <c r="O57" i="26"/>
  <c r="D57" i="26"/>
  <c r="C57" i="26"/>
  <c r="A57" i="26"/>
  <c r="V56" i="26"/>
  <c r="U56" i="26"/>
  <c r="T56" i="26"/>
  <c r="S56" i="26"/>
  <c r="R56" i="26"/>
  <c r="Q56" i="26"/>
  <c r="P56" i="26"/>
  <c r="O56" i="26"/>
  <c r="A56" i="26"/>
  <c r="V55" i="26"/>
  <c r="U55" i="26"/>
  <c r="T55" i="26"/>
  <c r="S55" i="26"/>
  <c r="R55" i="26"/>
  <c r="Q55" i="26"/>
  <c r="P55" i="26"/>
  <c r="O55" i="26"/>
  <c r="A55" i="26"/>
  <c r="V54" i="26"/>
  <c r="U54" i="26"/>
  <c r="T54" i="26"/>
  <c r="S54" i="26"/>
  <c r="R54" i="26"/>
  <c r="Q54" i="26"/>
  <c r="P54" i="26"/>
  <c r="O54" i="26"/>
  <c r="D54" i="26"/>
  <c r="C54" i="26"/>
  <c r="A54" i="26"/>
  <c r="V53" i="26"/>
  <c r="U53" i="26"/>
  <c r="T53" i="26"/>
  <c r="S53" i="26"/>
  <c r="R53" i="26"/>
  <c r="Q53" i="26"/>
  <c r="P53" i="26"/>
  <c r="O53" i="26"/>
  <c r="L53" i="26"/>
  <c r="K53" i="26"/>
  <c r="J53" i="26"/>
  <c r="I53" i="26"/>
  <c r="H53" i="26"/>
  <c r="G53" i="26"/>
  <c r="F53" i="26"/>
  <c r="E53" i="26"/>
  <c r="D53" i="26"/>
  <c r="C53" i="26"/>
  <c r="A53" i="26"/>
  <c r="V52" i="26"/>
  <c r="U52" i="26"/>
  <c r="T52" i="26"/>
  <c r="S52" i="26"/>
  <c r="R52" i="26"/>
  <c r="Q52" i="26"/>
  <c r="P52" i="26"/>
  <c r="O52" i="26"/>
  <c r="L52" i="26"/>
  <c r="K52" i="26"/>
  <c r="J52" i="26"/>
  <c r="I52" i="26"/>
  <c r="H52" i="26"/>
  <c r="G52" i="26"/>
  <c r="F52" i="26"/>
  <c r="E52" i="26"/>
  <c r="D52" i="26"/>
  <c r="C52" i="26"/>
  <c r="A52" i="26"/>
  <c r="V51" i="26"/>
  <c r="U51" i="26"/>
  <c r="T51" i="26"/>
  <c r="S51" i="26"/>
  <c r="R51" i="26"/>
  <c r="Q51" i="26"/>
  <c r="P51" i="26"/>
  <c r="O51" i="26"/>
  <c r="A51" i="26"/>
  <c r="V50" i="26"/>
  <c r="U50" i="26"/>
  <c r="T50" i="26"/>
  <c r="S50" i="26"/>
  <c r="R50" i="26"/>
  <c r="Q50" i="26"/>
  <c r="P50" i="26"/>
  <c r="O50" i="26"/>
  <c r="A50" i="26"/>
  <c r="V49" i="26"/>
  <c r="U49" i="26"/>
  <c r="T49" i="26"/>
  <c r="S49" i="26"/>
  <c r="R49" i="26"/>
  <c r="Q49" i="26"/>
  <c r="P49" i="26"/>
  <c r="O49" i="26"/>
  <c r="A49" i="26"/>
  <c r="V48" i="26"/>
  <c r="U48" i="26"/>
  <c r="T48" i="26"/>
  <c r="S48" i="26"/>
  <c r="R48" i="26"/>
  <c r="Q48" i="26"/>
  <c r="P48" i="26"/>
  <c r="O48" i="26"/>
  <c r="A48" i="26"/>
  <c r="V47" i="26"/>
  <c r="U47" i="26"/>
  <c r="T47" i="26"/>
  <c r="S47" i="26"/>
  <c r="R47" i="26"/>
  <c r="Q47" i="26"/>
  <c r="P47" i="26"/>
  <c r="O47" i="26"/>
  <c r="A47" i="26"/>
  <c r="V46" i="26"/>
  <c r="U46" i="26"/>
  <c r="T46" i="26"/>
  <c r="S46" i="26"/>
  <c r="R46" i="26"/>
  <c r="Q46" i="26"/>
  <c r="P46" i="26"/>
  <c r="O46" i="26"/>
  <c r="A46" i="26"/>
  <c r="V45" i="26"/>
  <c r="U45" i="26"/>
  <c r="T45" i="26"/>
  <c r="S45" i="26"/>
  <c r="R45" i="26"/>
  <c r="Q45" i="26"/>
  <c r="P45" i="26"/>
  <c r="O45" i="26"/>
  <c r="A45" i="26"/>
  <c r="V44" i="26"/>
  <c r="U44" i="26"/>
  <c r="T44" i="26"/>
  <c r="S44" i="26"/>
  <c r="R44" i="26"/>
  <c r="Q44" i="26"/>
  <c r="P44" i="26"/>
  <c r="O44" i="26"/>
  <c r="A44" i="26"/>
  <c r="V43" i="26"/>
  <c r="U43" i="26"/>
  <c r="T43" i="26"/>
  <c r="S43" i="26"/>
  <c r="R43" i="26"/>
  <c r="Q43" i="26"/>
  <c r="P43" i="26"/>
  <c r="O43" i="26"/>
  <c r="L43" i="26"/>
  <c r="K43" i="26"/>
  <c r="J43" i="26"/>
  <c r="I43" i="26"/>
  <c r="H43" i="26"/>
  <c r="G43" i="26"/>
  <c r="F43" i="26"/>
  <c r="E43" i="26"/>
  <c r="D43" i="26"/>
  <c r="C43" i="26"/>
  <c r="A43" i="26"/>
  <c r="V42" i="26"/>
  <c r="U42" i="26"/>
  <c r="T42" i="26"/>
  <c r="S42" i="26"/>
  <c r="R42" i="26"/>
  <c r="Q42" i="26"/>
  <c r="P42" i="26"/>
  <c r="O42" i="26"/>
  <c r="L42" i="26"/>
  <c r="K42" i="26"/>
  <c r="J42" i="26"/>
  <c r="I42" i="26"/>
  <c r="H42" i="26"/>
  <c r="G42" i="26"/>
  <c r="F42" i="26"/>
  <c r="E42" i="26"/>
  <c r="D42" i="26"/>
  <c r="C42" i="26"/>
  <c r="A42" i="26"/>
  <c r="V41" i="26"/>
  <c r="U41" i="26"/>
  <c r="T41" i="26"/>
  <c r="S41" i="26"/>
  <c r="R41" i="26"/>
  <c r="Q41" i="26"/>
  <c r="P41" i="26"/>
  <c r="O41" i="26"/>
  <c r="L41" i="26"/>
  <c r="K41" i="26"/>
  <c r="J41" i="26"/>
  <c r="I41" i="26"/>
  <c r="H41" i="26"/>
  <c r="G41" i="26"/>
  <c r="F41" i="26"/>
  <c r="E41" i="26"/>
  <c r="D41" i="26"/>
  <c r="C41" i="26"/>
  <c r="A41" i="26"/>
  <c r="V40" i="26"/>
  <c r="U40" i="26"/>
  <c r="T40" i="26"/>
  <c r="S40" i="26"/>
  <c r="R40" i="26"/>
  <c r="Q40" i="26"/>
  <c r="P40" i="26"/>
  <c r="O40" i="26"/>
  <c r="A40" i="26"/>
  <c r="V39" i="26"/>
  <c r="U39" i="26"/>
  <c r="T39" i="26"/>
  <c r="S39" i="26"/>
  <c r="R39" i="26"/>
  <c r="Q39" i="26"/>
  <c r="P39" i="26"/>
  <c r="O39" i="26"/>
  <c r="L39" i="26"/>
  <c r="K39" i="26"/>
  <c r="J39" i="26"/>
  <c r="I39" i="26"/>
  <c r="H39" i="26"/>
  <c r="G39" i="26"/>
  <c r="F39" i="26"/>
  <c r="E39" i="26"/>
  <c r="D39" i="26"/>
  <c r="C39" i="26"/>
  <c r="A39" i="26"/>
  <c r="V38" i="26"/>
  <c r="U38" i="26"/>
  <c r="T38" i="26"/>
  <c r="S38" i="26"/>
  <c r="R38" i="26"/>
  <c r="Q38" i="26"/>
  <c r="P38" i="26"/>
  <c r="O38" i="26"/>
  <c r="A38" i="26"/>
  <c r="V37" i="26"/>
  <c r="U37" i="26"/>
  <c r="T37" i="26"/>
  <c r="S37" i="26"/>
  <c r="R37" i="26"/>
  <c r="Q37" i="26"/>
  <c r="P37" i="26"/>
  <c r="O37" i="26"/>
  <c r="L37" i="26"/>
  <c r="K37" i="26"/>
  <c r="J37" i="26"/>
  <c r="I37" i="26"/>
  <c r="H37" i="26"/>
  <c r="G37" i="26"/>
  <c r="F37" i="26"/>
  <c r="E37" i="26"/>
  <c r="D37" i="26"/>
  <c r="C37" i="26"/>
  <c r="A37" i="26"/>
  <c r="V36" i="26"/>
  <c r="U36" i="26"/>
  <c r="T36" i="26"/>
  <c r="S36" i="26"/>
  <c r="R36" i="26"/>
  <c r="Q36" i="26"/>
  <c r="P36" i="26"/>
  <c r="O36" i="26"/>
  <c r="D36" i="26"/>
  <c r="C36" i="26"/>
  <c r="A36" i="26"/>
  <c r="V35" i="26"/>
  <c r="U35" i="26"/>
  <c r="T35" i="26"/>
  <c r="S35" i="26"/>
  <c r="R35" i="26"/>
  <c r="Q35" i="26"/>
  <c r="P35" i="26"/>
  <c r="O35" i="26"/>
  <c r="A35" i="26"/>
  <c r="V34" i="26"/>
  <c r="U34" i="26"/>
  <c r="T34" i="26"/>
  <c r="S34" i="26"/>
  <c r="R34" i="26"/>
  <c r="Q34" i="26"/>
  <c r="P34" i="26"/>
  <c r="O34" i="26"/>
  <c r="L34" i="26"/>
  <c r="K34" i="26"/>
  <c r="J34" i="26"/>
  <c r="I34" i="26"/>
  <c r="H34" i="26"/>
  <c r="G34" i="26"/>
  <c r="F34" i="26"/>
  <c r="E34" i="26"/>
  <c r="D34" i="26"/>
  <c r="C34" i="26"/>
  <c r="A34" i="26"/>
  <c r="V33" i="26"/>
  <c r="U33" i="26"/>
  <c r="T33" i="26"/>
  <c r="S33" i="26"/>
  <c r="R33" i="26"/>
  <c r="Q33" i="26"/>
  <c r="P33" i="26"/>
  <c r="O33" i="26"/>
  <c r="L33" i="26"/>
  <c r="K33" i="26"/>
  <c r="J33" i="26"/>
  <c r="I33" i="26"/>
  <c r="H33" i="26"/>
  <c r="G33" i="26"/>
  <c r="F33" i="26"/>
  <c r="E33" i="26"/>
  <c r="T32" i="26"/>
  <c r="S32" i="26"/>
  <c r="V31" i="26"/>
  <c r="U31" i="26"/>
  <c r="T31" i="26"/>
  <c r="S31" i="26"/>
  <c r="R31" i="26"/>
  <c r="Q31" i="26"/>
  <c r="P31" i="26"/>
  <c r="O31" i="26"/>
  <c r="N31" i="26"/>
  <c r="M31" i="26"/>
  <c r="J20" i="26"/>
  <c r="I20" i="26"/>
  <c r="H20" i="26"/>
  <c r="G20" i="26"/>
  <c r="J19" i="26"/>
  <c r="I19" i="26"/>
  <c r="H19" i="26"/>
  <c r="G19" i="26"/>
  <c r="J18" i="26"/>
  <c r="I18" i="26"/>
  <c r="H18" i="26"/>
  <c r="G18" i="26"/>
  <c r="J17" i="26"/>
  <c r="I17" i="26"/>
  <c r="H17" i="26"/>
  <c r="G17" i="26"/>
  <c r="J16" i="26"/>
  <c r="I16" i="26"/>
  <c r="H16" i="26"/>
  <c r="G16" i="26"/>
  <c r="J15" i="26"/>
  <c r="I15" i="26"/>
  <c r="H15" i="26"/>
  <c r="G15" i="26"/>
  <c r="J14" i="26"/>
  <c r="I14" i="26"/>
  <c r="H14" i="26"/>
  <c r="G14" i="26"/>
  <c r="J13" i="26"/>
  <c r="I13" i="26"/>
  <c r="H13" i="26"/>
  <c r="G13" i="26"/>
  <c r="J12" i="26"/>
  <c r="H12" i="26"/>
  <c r="G12" i="26"/>
  <c r="J11" i="26"/>
  <c r="H11" i="26"/>
  <c r="G11" i="26"/>
  <c r="E7" i="26"/>
  <c r="B7" i="26"/>
  <c r="V103" i="99"/>
  <c r="U103" i="99"/>
  <c r="T103" i="99"/>
  <c r="S103" i="99"/>
  <c r="R103" i="99"/>
  <c r="Q103" i="99"/>
  <c r="P103" i="99"/>
  <c r="O103" i="99"/>
  <c r="A103" i="99"/>
  <c r="V102" i="99"/>
  <c r="U102" i="99"/>
  <c r="T102" i="99"/>
  <c r="S102" i="99"/>
  <c r="R102" i="99"/>
  <c r="Q102" i="99"/>
  <c r="P102" i="99"/>
  <c r="O102" i="99"/>
  <c r="A102" i="99"/>
  <c r="V101" i="99"/>
  <c r="U101" i="99"/>
  <c r="T101" i="99"/>
  <c r="S101" i="99"/>
  <c r="R101" i="99"/>
  <c r="Q101" i="99"/>
  <c r="P101" i="99"/>
  <c r="O101" i="99"/>
  <c r="A101" i="99"/>
  <c r="V100" i="99"/>
  <c r="U100" i="99"/>
  <c r="T100" i="99"/>
  <c r="S100" i="99"/>
  <c r="R100" i="99"/>
  <c r="Q100" i="99"/>
  <c r="P100" i="99"/>
  <c r="O100" i="99"/>
  <c r="A100" i="99"/>
  <c r="V99" i="99"/>
  <c r="U99" i="99"/>
  <c r="T99" i="99"/>
  <c r="S99" i="99"/>
  <c r="R99" i="99"/>
  <c r="Q99" i="99"/>
  <c r="P99" i="99"/>
  <c r="O99" i="99"/>
  <c r="A99" i="99"/>
  <c r="V98" i="99"/>
  <c r="U98" i="99"/>
  <c r="T98" i="99"/>
  <c r="S98" i="99"/>
  <c r="R98" i="99"/>
  <c r="Q98" i="99"/>
  <c r="P98" i="99"/>
  <c r="O98" i="99"/>
  <c r="A98" i="99"/>
  <c r="V97" i="99"/>
  <c r="U97" i="99"/>
  <c r="T97" i="99"/>
  <c r="S97" i="99"/>
  <c r="R97" i="99"/>
  <c r="Q97" i="99"/>
  <c r="P97" i="99"/>
  <c r="O97" i="99"/>
  <c r="A97" i="99"/>
  <c r="V96" i="99"/>
  <c r="U96" i="99"/>
  <c r="T96" i="99"/>
  <c r="S96" i="99"/>
  <c r="R96" i="99"/>
  <c r="Q96" i="99"/>
  <c r="P96" i="99"/>
  <c r="O96" i="99"/>
  <c r="A96" i="99"/>
  <c r="V95" i="99"/>
  <c r="U95" i="99"/>
  <c r="T95" i="99"/>
  <c r="S95" i="99"/>
  <c r="R95" i="99"/>
  <c r="Q95" i="99"/>
  <c r="P95" i="99"/>
  <c r="O95" i="99"/>
  <c r="A95" i="99"/>
  <c r="V94" i="99"/>
  <c r="U94" i="99"/>
  <c r="T94" i="99"/>
  <c r="S94" i="99"/>
  <c r="R94" i="99"/>
  <c r="Q94" i="99"/>
  <c r="P94" i="99"/>
  <c r="O94" i="99"/>
  <c r="A94" i="99"/>
  <c r="V93" i="99"/>
  <c r="U93" i="99"/>
  <c r="T93" i="99"/>
  <c r="S93" i="99"/>
  <c r="R93" i="99"/>
  <c r="Q93" i="99"/>
  <c r="P93" i="99"/>
  <c r="O93" i="99"/>
  <c r="A93" i="99"/>
  <c r="V92" i="99"/>
  <c r="U92" i="99"/>
  <c r="T92" i="99"/>
  <c r="S92" i="99"/>
  <c r="R92" i="99"/>
  <c r="Q92" i="99"/>
  <c r="P92" i="99"/>
  <c r="O92" i="99"/>
  <c r="A92" i="99"/>
  <c r="V91" i="99"/>
  <c r="U91" i="99"/>
  <c r="T91" i="99"/>
  <c r="S91" i="99"/>
  <c r="R91" i="99"/>
  <c r="Q91" i="99"/>
  <c r="P91" i="99"/>
  <c r="O91" i="99"/>
  <c r="A91" i="99"/>
  <c r="V90" i="99"/>
  <c r="U90" i="99"/>
  <c r="T90" i="99"/>
  <c r="S90" i="99"/>
  <c r="R90" i="99"/>
  <c r="Q90" i="99"/>
  <c r="P90" i="99"/>
  <c r="O90" i="99"/>
  <c r="A90" i="99"/>
  <c r="V89" i="99"/>
  <c r="U89" i="99"/>
  <c r="T89" i="99"/>
  <c r="S89" i="99"/>
  <c r="R89" i="99"/>
  <c r="Q89" i="99"/>
  <c r="P89" i="99"/>
  <c r="O89" i="99"/>
  <c r="A89" i="99"/>
  <c r="V88" i="99"/>
  <c r="U88" i="99"/>
  <c r="T88" i="99"/>
  <c r="S88" i="99"/>
  <c r="R88" i="99"/>
  <c r="Q88" i="99"/>
  <c r="P88" i="99"/>
  <c r="O88" i="99"/>
  <c r="A88" i="99"/>
  <c r="V87" i="99"/>
  <c r="U87" i="99"/>
  <c r="T87" i="99"/>
  <c r="S87" i="99"/>
  <c r="R87" i="99"/>
  <c r="Q87" i="99"/>
  <c r="P87" i="99"/>
  <c r="O87" i="99"/>
  <c r="A87" i="99"/>
  <c r="V86" i="99"/>
  <c r="U86" i="99"/>
  <c r="T86" i="99"/>
  <c r="S86" i="99"/>
  <c r="R86" i="99"/>
  <c r="Q86" i="99"/>
  <c r="P86" i="99"/>
  <c r="O86" i="99"/>
  <c r="A86" i="99"/>
  <c r="V85" i="99"/>
  <c r="U85" i="99"/>
  <c r="T85" i="99"/>
  <c r="S85" i="99"/>
  <c r="R85" i="99"/>
  <c r="Q85" i="99"/>
  <c r="P85" i="99"/>
  <c r="O85" i="99"/>
  <c r="A85" i="99"/>
  <c r="V84" i="99"/>
  <c r="U84" i="99"/>
  <c r="T84" i="99"/>
  <c r="S84" i="99"/>
  <c r="R84" i="99"/>
  <c r="Q84" i="99"/>
  <c r="P84" i="99"/>
  <c r="O84" i="99"/>
  <c r="A84" i="99"/>
  <c r="V83" i="99"/>
  <c r="U83" i="99"/>
  <c r="T83" i="99"/>
  <c r="S83" i="99"/>
  <c r="R83" i="99"/>
  <c r="Q83" i="99"/>
  <c r="P83" i="99"/>
  <c r="O83" i="99"/>
  <c r="A83" i="99"/>
  <c r="V82" i="99"/>
  <c r="U82" i="99"/>
  <c r="T82" i="99"/>
  <c r="S82" i="99"/>
  <c r="R82" i="99"/>
  <c r="Q82" i="99"/>
  <c r="P82" i="99"/>
  <c r="O82" i="99"/>
  <c r="L82" i="99"/>
  <c r="K82" i="99"/>
  <c r="J82" i="99"/>
  <c r="I82" i="99"/>
  <c r="H82" i="99"/>
  <c r="G82" i="99"/>
  <c r="F82" i="99"/>
  <c r="A82" i="99"/>
  <c r="V81" i="99"/>
  <c r="U81" i="99"/>
  <c r="T81" i="99"/>
  <c r="S81" i="99"/>
  <c r="R81" i="99"/>
  <c r="Q81" i="99"/>
  <c r="P81" i="99"/>
  <c r="O81" i="99"/>
  <c r="A81" i="99"/>
  <c r="V80" i="99"/>
  <c r="U80" i="99"/>
  <c r="T80" i="99"/>
  <c r="S80" i="99"/>
  <c r="R80" i="99"/>
  <c r="Q80" i="99"/>
  <c r="P80" i="99"/>
  <c r="O80" i="99"/>
  <c r="A80" i="99"/>
  <c r="V79" i="99"/>
  <c r="U79" i="99"/>
  <c r="T79" i="99"/>
  <c r="S79" i="99"/>
  <c r="R79" i="99"/>
  <c r="Q79" i="99"/>
  <c r="P79" i="99"/>
  <c r="O79" i="99"/>
  <c r="A79" i="99"/>
  <c r="V78" i="99"/>
  <c r="U78" i="99"/>
  <c r="T78" i="99"/>
  <c r="S78" i="99"/>
  <c r="R78" i="99"/>
  <c r="Q78" i="99"/>
  <c r="P78" i="99"/>
  <c r="O78" i="99"/>
  <c r="A78" i="99"/>
  <c r="V77" i="99"/>
  <c r="U77" i="99"/>
  <c r="T77" i="99"/>
  <c r="S77" i="99"/>
  <c r="R77" i="99"/>
  <c r="Q77" i="99"/>
  <c r="P77" i="99"/>
  <c r="O77" i="99"/>
  <c r="A77" i="99"/>
  <c r="V76" i="99"/>
  <c r="U76" i="99"/>
  <c r="T76" i="99"/>
  <c r="S76" i="99"/>
  <c r="R76" i="99"/>
  <c r="Q76" i="99"/>
  <c r="P76" i="99"/>
  <c r="O76" i="99"/>
  <c r="A76" i="99"/>
  <c r="V75" i="99"/>
  <c r="U75" i="99"/>
  <c r="T75" i="99"/>
  <c r="S75" i="99"/>
  <c r="R75" i="99"/>
  <c r="Q75" i="99"/>
  <c r="P75" i="99"/>
  <c r="O75" i="99"/>
  <c r="A75" i="99"/>
  <c r="V74" i="99"/>
  <c r="U74" i="99"/>
  <c r="T74" i="99"/>
  <c r="S74" i="99"/>
  <c r="R74" i="99"/>
  <c r="Q74" i="99"/>
  <c r="P74" i="99"/>
  <c r="O74" i="99"/>
  <c r="A74" i="99"/>
  <c r="V73" i="99"/>
  <c r="U73" i="99"/>
  <c r="T73" i="99"/>
  <c r="S73" i="99"/>
  <c r="R73" i="99"/>
  <c r="Q73" i="99"/>
  <c r="P73" i="99"/>
  <c r="O73" i="99"/>
  <c r="A73" i="99"/>
  <c r="V72" i="99"/>
  <c r="U72" i="99"/>
  <c r="T72" i="99"/>
  <c r="S72" i="99"/>
  <c r="R72" i="99"/>
  <c r="Q72" i="99"/>
  <c r="P72" i="99"/>
  <c r="O72" i="99"/>
  <c r="A72" i="99"/>
  <c r="V71" i="99"/>
  <c r="U71" i="99"/>
  <c r="T71" i="99"/>
  <c r="S71" i="99"/>
  <c r="R71" i="99"/>
  <c r="Q71" i="99"/>
  <c r="P71" i="99"/>
  <c r="O71" i="99"/>
  <c r="L71" i="99"/>
  <c r="K71" i="99"/>
  <c r="J71" i="99"/>
  <c r="I71" i="99"/>
  <c r="H71" i="99"/>
  <c r="G71" i="99"/>
  <c r="F71" i="99"/>
  <c r="E71" i="99"/>
  <c r="D71" i="99"/>
  <c r="C71" i="99"/>
  <c r="A71" i="99"/>
  <c r="V70" i="99"/>
  <c r="U70" i="99"/>
  <c r="T70" i="99"/>
  <c r="S70" i="99"/>
  <c r="R70" i="99"/>
  <c r="Q70" i="99"/>
  <c r="P70" i="99"/>
  <c r="O70" i="99"/>
  <c r="A70" i="99"/>
  <c r="V69" i="99"/>
  <c r="U69" i="99"/>
  <c r="T69" i="99"/>
  <c r="S69" i="99"/>
  <c r="R69" i="99"/>
  <c r="Q69" i="99"/>
  <c r="P69" i="99"/>
  <c r="O69" i="99"/>
  <c r="L69" i="99"/>
  <c r="K69" i="99"/>
  <c r="J69" i="99"/>
  <c r="I69" i="99"/>
  <c r="H69" i="99"/>
  <c r="G69" i="99"/>
  <c r="F69" i="99"/>
  <c r="D69" i="99"/>
  <c r="C69" i="99"/>
  <c r="A69" i="99"/>
  <c r="V68" i="99"/>
  <c r="U68" i="99"/>
  <c r="T68" i="99"/>
  <c r="S68" i="99"/>
  <c r="R68" i="99"/>
  <c r="Q68" i="99"/>
  <c r="P68" i="99"/>
  <c r="O68" i="99"/>
  <c r="D68" i="99"/>
  <c r="C68" i="99"/>
  <c r="A68" i="99"/>
  <c r="V67" i="99"/>
  <c r="U67" i="99"/>
  <c r="T67" i="99"/>
  <c r="S67" i="99"/>
  <c r="R67" i="99"/>
  <c r="Q67" i="99"/>
  <c r="P67" i="99"/>
  <c r="O67" i="99"/>
  <c r="A67" i="99"/>
  <c r="V66" i="99"/>
  <c r="U66" i="99"/>
  <c r="T66" i="99"/>
  <c r="S66" i="99"/>
  <c r="R66" i="99"/>
  <c r="Q66" i="99"/>
  <c r="P66" i="99"/>
  <c r="O66" i="99"/>
  <c r="A66" i="99"/>
  <c r="V65" i="99"/>
  <c r="U65" i="99"/>
  <c r="T65" i="99"/>
  <c r="S65" i="99"/>
  <c r="R65" i="99"/>
  <c r="Q65" i="99"/>
  <c r="P65" i="99"/>
  <c r="O65" i="99"/>
  <c r="D65" i="99"/>
  <c r="C65" i="99"/>
  <c r="A65" i="99"/>
  <c r="V64" i="99"/>
  <c r="U64" i="99"/>
  <c r="T64" i="99"/>
  <c r="S64" i="99"/>
  <c r="R64" i="99"/>
  <c r="Q64" i="99"/>
  <c r="P64" i="99"/>
  <c r="O64" i="99"/>
  <c r="D64" i="99"/>
  <c r="C64" i="99"/>
  <c r="A64" i="99"/>
  <c r="V63" i="99"/>
  <c r="U63" i="99"/>
  <c r="T63" i="99"/>
  <c r="S63" i="99"/>
  <c r="R63" i="99"/>
  <c r="Q63" i="99"/>
  <c r="P63" i="99"/>
  <c r="O63" i="99"/>
  <c r="A63" i="99"/>
  <c r="V62" i="99"/>
  <c r="U62" i="99"/>
  <c r="T62" i="99"/>
  <c r="S62" i="99"/>
  <c r="R62" i="99"/>
  <c r="Q62" i="99"/>
  <c r="P62" i="99"/>
  <c r="O62" i="99"/>
  <c r="A62" i="99"/>
  <c r="V61" i="99"/>
  <c r="U61" i="99"/>
  <c r="T61" i="99"/>
  <c r="S61" i="99"/>
  <c r="R61" i="99"/>
  <c r="Q61" i="99"/>
  <c r="P61" i="99"/>
  <c r="O61" i="99"/>
  <c r="A61" i="99"/>
  <c r="V60" i="99"/>
  <c r="U60" i="99"/>
  <c r="T60" i="99"/>
  <c r="S60" i="99"/>
  <c r="R60" i="99"/>
  <c r="Q60" i="99"/>
  <c r="P60" i="99"/>
  <c r="O60" i="99"/>
  <c r="A60" i="99"/>
  <c r="V59" i="99"/>
  <c r="U59" i="99"/>
  <c r="T59" i="99"/>
  <c r="S59" i="99"/>
  <c r="R59" i="99"/>
  <c r="Q59" i="99"/>
  <c r="P59" i="99"/>
  <c r="O59" i="99"/>
  <c r="A59" i="99"/>
  <c r="V58" i="99"/>
  <c r="U58" i="99"/>
  <c r="T58" i="99"/>
  <c r="S58" i="99"/>
  <c r="R58" i="99"/>
  <c r="Q58" i="99"/>
  <c r="P58" i="99"/>
  <c r="O58" i="99"/>
  <c r="C58" i="99"/>
  <c r="D58" i="99" s="1"/>
  <c r="A58" i="99"/>
  <c r="V57" i="99"/>
  <c r="U57" i="99"/>
  <c r="T57" i="99"/>
  <c r="S57" i="99"/>
  <c r="R57" i="99"/>
  <c r="Q57" i="99"/>
  <c r="P57" i="99"/>
  <c r="O57" i="99"/>
  <c r="C57" i="99"/>
  <c r="D57" i="99" s="1"/>
  <c r="A57" i="99"/>
  <c r="V56" i="99"/>
  <c r="U56" i="99"/>
  <c r="T56" i="99"/>
  <c r="S56" i="99"/>
  <c r="R56" i="99"/>
  <c r="Q56" i="99"/>
  <c r="P56" i="99"/>
  <c r="O56" i="99"/>
  <c r="A56" i="99"/>
  <c r="V55" i="99"/>
  <c r="U55" i="99"/>
  <c r="T55" i="99"/>
  <c r="S55" i="99"/>
  <c r="R55" i="99"/>
  <c r="Q55" i="99"/>
  <c r="P55" i="99"/>
  <c r="O55" i="99"/>
  <c r="A55" i="99"/>
  <c r="V54" i="99"/>
  <c r="U54" i="99"/>
  <c r="T54" i="99"/>
  <c r="S54" i="99"/>
  <c r="R54" i="99"/>
  <c r="Q54" i="99"/>
  <c r="P54" i="99"/>
  <c r="O54" i="99"/>
  <c r="D54" i="99"/>
  <c r="C54" i="99"/>
  <c r="A54" i="99"/>
  <c r="V53" i="99"/>
  <c r="U53" i="99"/>
  <c r="T53" i="99"/>
  <c r="S53" i="99"/>
  <c r="R53" i="99"/>
  <c r="Q53" i="99"/>
  <c r="P53" i="99"/>
  <c r="O53" i="99"/>
  <c r="L53" i="99"/>
  <c r="K53" i="99"/>
  <c r="J53" i="99"/>
  <c r="I53" i="99"/>
  <c r="H53" i="99"/>
  <c r="G53" i="99"/>
  <c r="F53" i="99"/>
  <c r="E53" i="99"/>
  <c r="D53" i="99"/>
  <c r="C53" i="99"/>
  <c r="A53" i="99"/>
  <c r="V52" i="99"/>
  <c r="U52" i="99"/>
  <c r="T52" i="99"/>
  <c r="S52" i="99"/>
  <c r="R52" i="99"/>
  <c r="Q52" i="99"/>
  <c r="P52" i="99"/>
  <c r="O52" i="99"/>
  <c r="L52" i="99"/>
  <c r="K52" i="99"/>
  <c r="J52" i="99"/>
  <c r="I52" i="99"/>
  <c r="H52" i="99"/>
  <c r="G52" i="99"/>
  <c r="F52" i="99"/>
  <c r="E52" i="99"/>
  <c r="D52" i="99"/>
  <c r="C52" i="99"/>
  <c r="A52" i="99"/>
  <c r="V51" i="99"/>
  <c r="U51" i="99"/>
  <c r="T51" i="99"/>
  <c r="S51" i="99"/>
  <c r="R51" i="99"/>
  <c r="Q51" i="99"/>
  <c r="P51" i="99"/>
  <c r="O51" i="99"/>
  <c r="A51" i="99"/>
  <c r="V50" i="99"/>
  <c r="U50" i="99"/>
  <c r="T50" i="99"/>
  <c r="S50" i="99"/>
  <c r="R50" i="99"/>
  <c r="Q50" i="99"/>
  <c r="P50" i="99"/>
  <c r="O50" i="99"/>
  <c r="A50" i="99"/>
  <c r="V49" i="99"/>
  <c r="U49" i="99"/>
  <c r="T49" i="99"/>
  <c r="S49" i="99"/>
  <c r="R49" i="99"/>
  <c r="Q49" i="99"/>
  <c r="P49" i="99"/>
  <c r="O49" i="99"/>
  <c r="A49" i="99"/>
  <c r="V48" i="99"/>
  <c r="U48" i="99"/>
  <c r="T48" i="99"/>
  <c r="S48" i="99"/>
  <c r="R48" i="99"/>
  <c r="Q48" i="99"/>
  <c r="P48" i="99"/>
  <c r="O48" i="99"/>
  <c r="A48" i="99"/>
  <c r="V47" i="99"/>
  <c r="U47" i="99"/>
  <c r="T47" i="99"/>
  <c r="S47" i="99"/>
  <c r="R47" i="99"/>
  <c r="Q47" i="99"/>
  <c r="P47" i="99"/>
  <c r="O47" i="99"/>
  <c r="A47" i="99"/>
  <c r="V46" i="99"/>
  <c r="U46" i="99"/>
  <c r="T46" i="99"/>
  <c r="S46" i="99"/>
  <c r="R46" i="99"/>
  <c r="Q46" i="99"/>
  <c r="P46" i="99"/>
  <c r="O46" i="99"/>
  <c r="A46" i="99"/>
  <c r="V45" i="99"/>
  <c r="U45" i="99"/>
  <c r="T45" i="99"/>
  <c r="S45" i="99"/>
  <c r="R45" i="99"/>
  <c r="Q45" i="99"/>
  <c r="P45" i="99"/>
  <c r="O45" i="99"/>
  <c r="A45" i="99"/>
  <c r="V44" i="99"/>
  <c r="U44" i="99"/>
  <c r="T44" i="99"/>
  <c r="S44" i="99"/>
  <c r="R44" i="99"/>
  <c r="Q44" i="99"/>
  <c r="P44" i="99"/>
  <c r="O44" i="99"/>
  <c r="A44" i="99"/>
  <c r="V43" i="99"/>
  <c r="U43" i="99"/>
  <c r="T43" i="99"/>
  <c r="S43" i="99"/>
  <c r="R43" i="99"/>
  <c r="Q43" i="99"/>
  <c r="P43" i="99"/>
  <c r="O43" i="99"/>
  <c r="L43" i="99"/>
  <c r="K43" i="99"/>
  <c r="J43" i="99"/>
  <c r="I43" i="99"/>
  <c r="H43" i="99"/>
  <c r="G43" i="99"/>
  <c r="F43" i="99"/>
  <c r="E43" i="99"/>
  <c r="D43" i="99"/>
  <c r="C43" i="99"/>
  <c r="A43" i="99"/>
  <c r="V42" i="99"/>
  <c r="U42" i="99"/>
  <c r="T42" i="99"/>
  <c r="S42" i="99"/>
  <c r="R42" i="99"/>
  <c r="Q42" i="99"/>
  <c r="P42" i="99"/>
  <c r="O42" i="99"/>
  <c r="L42" i="99"/>
  <c r="K42" i="99"/>
  <c r="J42" i="99"/>
  <c r="I42" i="99"/>
  <c r="H42" i="99"/>
  <c r="G42" i="99"/>
  <c r="F42" i="99"/>
  <c r="E42" i="99"/>
  <c r="D42" i="99"/>
  <c r="C42" i="99"/>
  <c r="A42" i="99"/>
  <c r="V41" i="99"/>
  <c r="U41" i="99"/>
  <c r="T41" i="99"/>
  <c r="S41" i="99"/>
  <c r="R41" i="99"/>
  <c r="Q41" i="99"/>
  <c r="P41" i="99"/>
  <c r="O41" i="99"/>
  <c r="L41" i="99"/>
  <c r="K41" i="99"/>
  <c r="J41" i="99"/>
  <c r="I41" i="99"/>
  <c r="H41" i="99"/>
  <c r="G41" i="99"/>
  <c r="F41" i="99"/>
  <c r="E41" i="99"/>
  <c r="D41" i="99"/>
  <c r="C41" i="99"/>
  <c r="A41" i="99"/>
  <c r="V40" i="99"/>
  <c r="U40" i="99"/>
  <c r="T40" i="99"/>
  <c r="S40" i="99"/>
  <c r="R40" i="99"/>
  <c r="Q40" i="99"/>
  <c r="P40" i="99"/>
  <c r="O40" i="99"/>
  <c r="A40" i="99"/>
  <c r="V39" i="99"/>
  <c r="U39" i="99"/>
  <c r="T39" i="99"/>
  <c r="S39" i="99"/>
  <c r="R39" i="99"/>
  <c r="Q39" i="99"/>
  <c r="P39" i="99"/>
  <c r="O39" i="99"/>
  <c r="L39" i="99"/>
  <c r="K39" i="99"/>
  <c r="J39" i="99"/>
  <c r="I39" i="99"/>
  <c r="H39" i="99"/>
  <c r="G39" i="99"/>
  <c r="F39" i="99"/>
  <c r="E39" i="99"/>
  <c r="D39" i="99"/>
  <c r="C39" i="99"/>
  <c r="A39" i="99"/>
  <c r="V38" i="99"/>
  <c r="U38" i="99"/>
  <c r="T38" i="99"/>
  <c r="S38" i="99"/>
  <c r="R38" i="99"/>
  <c r="Q38" i="99"/>
  <c r="P38" i="99"/>
  <c r="O38" i="99"/>
  <c r="A38" i="99"/>
  <c r="V37" i="99"/>
  <c r="U37" i="99"/>
  <c r="T37" i="99"/>
  <c r="S37" i="99"/>
  <c r="R37" i="99"/>
  <c r="Q37" i="99"/>
  <c r="P37" i="99"/>
  <c r="O37" i="99"/>
  <c r="L37" i="99"/>
  <c r="K37" i="99"/>
  <c r="J37" i="99"/>
  <c r="I37" i="99"/>
  <c r="H37" i="99"/>
  <c r="G37" i="99"/>
  <c r="F37" i="99"/>
  <c r="E37" i="99"/>
  <c r="D37" i="99"/>
  <c r="C37" i="99"/>
  <c r="A37" i="99"/>
  <c r="V36" i="99"/>
  <c r="U36" i="99"/>
  <c r="T36" i="99"/>
  <c r="S36" i="99"/>
  <c r="R36" i="99"/>
  <c r="Q36" i="99"/>
  <c r="P36" i="99"/>
  <c r="O36" i="99"/>
  <c r="D36" i="99"/>
  <c r="C36" i="99"/>
  <c r="A36" i="99"/>
  <c r="V35" i="99"/>
  <c r="U35" i="99"/>
  <c r="T35" i="99"/>
  <c r="S35" i="99"/>
  <c r="R35" i="99"/>
  <c r="Q35" i="99"/>
  <c r="P35" i="99"/>
  <c r="O35" i="99"/>
  <c r="A35" i="99"/>
  <c r="V34" i="99"/>
  <c r="U34" i="99"/>
  <c r="T34" i="99"/>
  <c r="S34" i="99"/>
  <c r="R34" i="99"/>
  <c r="Q34" i="99"/>
  <c r="P34" i="99"/>
  <c r="O34" i="99"/>
  <c r="L34" i="99"/>
  <c r="K34" i="99"/>
  <c r="J34" i="99"/>
  <c r="I34" i="99"/>
  <c r="H34" i="99"/>
  <c r="G34" i="99"/>
  <c r="F34" i="99"/>
  <c r="E34" i="99"/>
  <c r="D34" i="99"/>
  <c r="C34" i="99"/>
  <c r="A34" i="99"/>
  <c r="V33" i="99"/>
  <c r="U33" i="99"/>
  <c r="T33" i="99"/>
  <c r="S33" i="99"/>
  <c r="R33" i="99"/>
  <c r="Q33" i="99"/>
  <c r="P33" i="99"/>
  <c r="O33" i="99"/>
  <c r="L33" i="99"/>
  <c r="K33" i="99"/>
  <c r="J33" i="99"/>
  <c r="I33" i="99"/>
  <c r="H33" i="99"/>
  <c r="G33" i="99"/>
  <c r="F33" i="99"/>
  <c r="E33" i="99"/>
  <c r="T32" i="99"/>
  <c r="S32" i="99"/>
  <c r="V31" i="99"/>
  <c r="U31" i="99"/>
  <c r="T31" i="99"/>
  <c r="S31" i="99"/>
  <c r="R31" i="99"/>
  <c r="Q31" i="99"/>
  <c r="P31" i="99"/>
  <c r="O31" i="99"/>
  <c r="N31" i="99"/>
  <c r="M31" i="99"/>
  <c r="J20" i="99"/>
  <c r="I20" i="99"/>
  <c r="H20" i="99"/>
  <c r="G20" i="99"/>
  <c r="J19" i="99"/>
  <c r="I19" i="99"/>
  <c r="H19" i="99"/>
  <c r="G19" i="99"/>
  <c r="J18" i="99"/>
  <c r="I18" i="99"/>
  <c r="H18" i="99"/>
  <c r="G18" i="99"/>
  <c r="J17" i="99"/>
  <c r="I17" i="99"/>
  <c r="H17" i="99"/>
  <c r="G17" i="99"/>
  <c r="J16" i="99"/>
  <c r="I16" i="99"/>
  <c r="H16" i="99"/>
  <c r="G16" i="99"/>
  <c r="J15" i="99"/>
  <c r="I15" i="99"/>
  <c r="H15" i="99"/>
  <c r="G15" i="99"/>
  <c r="J14" i="99"/>
  <c r="I14" i="99"/>
  <c r="H14" i="99"/>
  <c r="G14" i="99"/>
  <c r="J13" i="99"/>
  <c r="I13" i="99"/>
  <c r="H13" i="99"/>
  <c r="G13" i="99"/>
  <c r="J12" i="99"/>
  <c r="H12" i="99"/>
  <c r="G12" i="99"/>
  <c r="J11" i="99"/>
  <c r="H11" i="99"/>
  <c r="G11" i="99"/>
  <c r="E7" i="99"/>
  <c r="B7" i="99"/>
  <c r="L144" i="90"/>
  <c r="K144" i="90"/>
  <c r="J144" i="90"/>
  <c r="I144" i="90"/>
  <c r="H144" i="90"/>
  <c r="G144" i="90"/>
  <c r="F144" i="90"/>
  <c r="E144" i="90"/>
  <c r="D144" i="90"/>
  <c r="C144" i="90"/>
  <c r="B144" i="90"/>
  <c r="L143" i="90"/>
  <c r="K143" i="90"/>
  <c r="J143" i="90"/>
  <c r="I143" i="90"/>
  <c r="H143" i="90"/>
  <c r="G143" i="90"/>
  <c r="F143" i="90"/>
  <c r="E143" i="90"/>
  <c r="M142" i="90"/>
  <c r="L142" i="90"/>
  <c r="K142" i="90"/>
  <c r="J142" i="90"/>
  <c r="I142" i="90"/>
  <c r="H142" i="90"/>
  <c r="G142" i="90"/>
  <c r="F142" i="90"/>
  <c r="E142" i="90"/>
  <c r="D142" i="90"/>
  <c r="C142" i="90"/>
  <c r="M141" i="90"/>
  <c r="L141" i="90"/>
  <c r="K141" i="90"/>
  <c r="J141" i="90"/>
  <c r="I141" i="90"/>
  <c r="H141" i="90"/>
  <c r="G141" i="90"/>
  <c r="F141" i="90"/>
  <c r="E141" i="90"/>
  <c r="D141" i="90"/>
  <c r="C141" i="90"/>
  <c r="M140" i="90"/>
  <c r="L140" i="90"/>
  <c r="K140" i="90"/>
  <c r="J140" i="90"/>
  <c r="I140" i="90"/>
  <c r="H140" i="90"/>
  <c r="G140" i="90"/>
  <c r="F140" i="90"/>
  <c r="E140" i="90"/>
  <c r="D140" i="90"/>
  <c r="C140" i="90"/>
  <c r="L136" i="90"/>
  <c r="K136" i="90"/>
  <c r="J136" i="90"/>
  <c r="I136" i="90"/>
  <c r="H136" i="90"/>
  <c r="G136" i="90"/>
  <c r="F136" i="90"/>
  <c r="E136" i="90"/>
  <c r="D136" i="90"/>
  <c r="C136" i="90"/>
  <c r="B136" i="90"/>
  <c r="L135" i="90"/>
  <c r="K135" i="90"/>
  <c r="J135" i="90"/>
  <c r="I135" i="90"/>
  <c r="H135" i="90"/>
  <c r="G135" i="90"/>
  <c r="F135" i="90"/>
  <c r="E135" i="90"/>
  <c r="M134" i="90"/>
  <c r="L134" i="90"/>
  <c r="K134" i="90"/>
  <c r="J134" i="90"/>
  <c r="I134" i="90"/>
  <c r="H134" i="90"/>
  <c r="G134" i="90"/>
  <c r="F134" i="90"/>
  <c r="E134" i="90"/>
  <c r="D134" i="90"/>
  <c r="C134" i="90"/>
  <c r="M133" i="90"/>
  <c r="L133" i="90"/>
  <c r="K133" i="90"/>
  <c r="J133" i="90"/>
  <c r="I133" i="90"/>
  <c r="H133" i="90"/>
  <c r="G133" i="90"/>
  <c r="F133" i="90"/>
  <c r="E133" i="90"/>
  <c r="D133" i="90"/>
  <c r="C133" i="90"/>
  <c r="M132" i="90"/>
  <c r="L132" i="90"/>
  <c r="K132" i="90"/>
  <c r="J132" i="90"/>
  <c r="I132" i="90"/>
  <c r="H132" i="90"/>
  <c r="G132" i="90"/>
  <c r="F132" i="90"/>
  <c r="E132" i="90"/>
  <c r="D132" i="90"/>
  <c r="C132" i="90"/>
  <c r="V103" i="90"/>
  <c r="U103" i="90"/>
  <c r="T103" i="90"/>
  <c r="S103" i="90"/>
  <c r="R103" i="90"/>
  <c r="Q103" i="90"/>
  <c r="P103" i="90"/>
  <c r="O103" i="90"/>
  <c r="N103" i="90"/>
  <c r="A103" i="90"/>
  <c r="V102" i="90"/>
  <c r="U102" i="90"/>
  <c r="T102" i="90"/>
  <c r="S102" i="90"/>
  <c r="R102" i="90"/>
  <c r="Q102" i="90"/>
  <c r="P102" i="90"/>
  <c r="O102" i="90"/>
  <c r="N102" i="90"/>
  <c r="A102" i="90"/>
  <c r="V101" i="90"/>
  <c r="U101" i="90"/>
  <c r="T101" i="90"/>
  <c r="S101" i="90"/>
  <c r="R101" i="90"/>
  <c r="Q101" i="90"/>
  <c r="P101" i="90"/>
  <c r="O101" i="90"/>
  <c r="N101" i="90"/>
  <c r="A101" i="90"/>
  <c r="V100" i="90"/>
  <c r="U100" i="90"/>
  <c r="T100" i="90"/>
  <c r="S100" i="90"/>
  <c r="R100" i="90"/>
  <c r="Q100" i="90"/>
  <c r="P100" i="90"/>
  <c r="O100" i="90"/>
  <c r="N100" i="90"/>
  <c r="A100" i="90"/>
  <c r="V99" i="90"/>
  <c r="U99" i="90"/>
  <c r="T99" i="90"/>
  <c r="S99" i="90"/>
  <c r="R99" i="90"/>
  <c r="Q99" i="90"/>
  <c r="P99" i="90"/>
  <c r="O99" i="90"/>
  <c r="N99" i="90"/>
  <c r="A99" i="90"/>
  <c r="V98" i="90"/>
  <c r="U98" i="90"/>
  <c r="T98" i="90"/>
  <c r="S98" i="90"/>
  <c r="R98" i="90"/>
  <c r="Q98" i="90"/>
  <c r="P98" i="90"/>
  <c r="O98" i="90"/>
  <c r="N98" i="90"/>
  <c r="A98" i="90"/>
  <c r="V97" i="90"/>
  <c r="U97" i="90"/>
  <c r="T97" i="90"/>
  <c r="S97" i="90"/>
  <c r="R97" i="90"/>
  <c r="Q97" i="90"/>
  <c r="P97" i="90"/>
  <c r="O97" i="90"/>
  <c r="N97" i="90"/>
  <c r="A97" i="90"/>
  <c r="V96" i="90"/>
  <c r="U96" i="90"/>
  <c r="T96" i="90"/>
  <c r="S96" i="90"/>
  <c r="R96" i="90"/>
  <c r="Q96" i="90"/>
  <c r="P96" i="90"/>
  <c r="O96" i="90"/>
  <c r="N96" i="90"/>
  <c r="A96" i="90"/>
  <c r="V95" i="90"/>
  <c r="U95" i="90"/>
  <c r="T95" i="90"/>
  <c r="S95" i="90"/>
  <c r="R95" i="90"/>
  <c r="Q95" i="90"/>
  <c r="P95" i="90"/>
  <c r="O95" i="90"/>
  <c r="N95" i="90"/>
  <c r="A95" i="90"/>
  <c r="V94" i="90"/>
  <c r="U94" i="90"/>
  <c r="T94" i="90"/>
  <c r="S94" i="90"/>
  <c r="R94" i="90"/>
  <c r="Q94" i="90"/>
  <c r="P94" i="90"/>
  <c r="O94" i="90"/>
  <c r="N94" i="90"/>
  <c r="A94" i="90"/>
  <c r="V93" i="90"/>
  <c r="U93" i="90"/>
  <c r="T93" i="90"/>
  <c r="S93" i="90"/>
  <c r="R93" i="90"/>
  <c r="Q93" i="90"/>
  <c r="P93" i="90"/>
  <c r="O93" i="90"/>
  <c r="N93" i="90"/>
  <c r="A93" i="90"/>
  <c r="V92" i="90"/>
  <c r="U92" i="90"/>
  <c r="T92" i="90"/>
  <c r="S92" i="90"/>
  <c r="R92" i="90"/>
  <c r="Q92" i="90"/>
  <c r="P92" i="90"/>
  <c r="O92" i="90"/>
  <c r="N92" i="90"/>
  <c r="A92" i="90"/>
  <c r="V91" i="90"/>
  <c r="U91" i="90"/>
  <c r="T91" i="90"/>
  <c r="S91" i="90"/>
  <c r="R91" i="90"/>
  <c r="Q91" i="90"/>
  <c r="P91" i="90"/>
  <c r="O91" i="90"/>
  <c r="N91" i="90"/>
  <c r="A91" i="90"/>
  <c r="V90" i="90"/>
  <c r="U90" i="90"/>
  <c r="T90" i="90"/>
  <c r="S90" i="90"/>
  <c r="R90" i="90"/>
  <c r="Q90" i="90"/>
  <c r="P90" i="90"/>
  <c r="O90" i="90"/>
  <c r="N90" i="90"/>
  <c r="A90" i="90"/>
  <c r="V89" i="90"/>
  <c r="U89" i="90"/>
  <c r="T89" i="90"/>
  <c r="S89" i="90"/>
  <c r="R89" i="90"/>
  <c r="Q89" i="90"/>
  <c r="P89" i="90"/>
  <c r="O89" i="90"/>
  <c r="N89" i="90"/>
  <c r="A89" i="90"/>
  <c r="V88" i="90"/>
  <c r="U88" i="90"/>
  <c r="T88" i="90"/>
  <c r="S88" i="90"/>
  <c r="R88" i="90"/>
  <c r="Q88" i="90"/>
  <c r="P88" i="90"/>
  <c r="O88" i="90"/>
  <c r="N88" i="90"/>
  <c r="A88" i="90"/>
  <c r="V87" i="90"/>
  <c r="U87" i="90"/>
  <c r="T87" i="90"/>
  <c r="S87" i="90"/>
  <c r="R87" i="90"/>
  <c r="Q87" i="90"/>
  <c r="P87" i="90"/>
  <c r="O87" i="90"/>
  <c r="N87" i="90"/>
  <c r="A87" i="90"/>
  <c r="V86" i="90"/>
  <c r="U86" i="90"/>
  <c r="T86" i="90"/>
  <c r="S86" i="90"/>
  <c r="R86" i="90"/>
  <c r="Q86" i="90"/>
  <c r="P86" i="90"/>
  <c r="O86" i="90"/>
  <c r="N86" i="90"/>
  <c r="A86" i="90"/>
  <c r="V85" i="90"/>
  <c r="U85" i="90"/>
  <c r="T85" i="90"/>
  <c r="S85" i="90"/>
  <c r="R85" i="90"/>
  <c r="Q85" i="90"/>
  <c r="P85" i="90"/>
  <c r="O85" i="90"/>
  <c r="N85" i="90"/>
  <c r="A85" i="90"/>
  <c r="V84" i="90"/>
  <c r="U84" i="90"/>
  <c r="T84" i="90"/>
  <c r="S84" i="90"/>
  <c r="R84" i="90"/>
  <c r="Q84" i="90"/>
  <c r="P84" i="90"/>
  <c r="O84" i="90"/>
  <c r="N84" i="90"/>
  <c r="A84" i="90"/>
  <c r="V83" i="90"/>
  <c r="U83" i="90"/>
  <c r="T83" i="90"/>
  <c r="S83" i="90"/>
  <c r="R83" i="90"/>
  <c r="Q83" i="90"/>
  <c r="P83" i="90"/>
  <c r="O83" i="90"/>
  <c r="N83" i="90"/>
  <c r="A83" i="90"/>
  <c r="V82" i="90"/>
  <c r="U82" i="90"/>
  <c r="T82" i="90"/>
  <c r="S82" i="90"/>
  <c r="R82" i="90"/>
  <c r="Q82" i="90"/>
  <c r="P82" i="90"/>
  <c r="O82" i="90"/>
  <c r="N82" i="90"/>
  <c r="L82" i="90"/>
  <c r="K82" i="90"/>
  <c r="J82" i="90"/>
  <c r="I82" i="90"/>
  <c r="H82" i="90"/>
  <c r="G82" i="90"/>
  <c r="F82" i="90"/>
  <c r="A82" i="90"/>
  <c r="V81" i="90"/>
  <c r="U81" i="90"/>
  <c r="T81" i="90"/>
  <c r="S81" i="90"/>
  <c r="R81" i="90"/>
  <c r="Q81" i="90"/>
  <c r="P81" i="90"/>
  <c r="O81" i="90"/>
  <c r="N81" i="90"/>
  <c r="A81" i="90"/>
  <c r="V80" i="90"/>
  <c r="U80" i="90"/>
  <c r="T80" i="90"/>
  <c r="S80" i="90"/>
  <c r="R80" i="90"/>
  <c r="Q80" i="90"/>
  <c r="P80" i="90"/>
  <c r="O80" i="90"/>
  <c r="N80" i="90"/>
  <c r="A80" i="90"/>
  <c r="V79" i="90"/>
  <c r="U79" i="90"/>
  <c r="T79" i="90"/>
  <c r="S79" i="90"/>
  <c r="R79" i="90"/>
  <c r="Q79" i="90"/>
  <c r="P79" i="90"/>
  <c r="O79" i="90"/>
  <c r="N79" i="90"/>
  <c r="A79" i="90"/>
  <c r="V78" i="90"/>
  <c r="U78" i="90"/>
  <c r="T78" i="90"/>
  <c r="S78" i="90"/>
  <c r="R78" i="90"/>
  <c r="Q78" i="90"/>
  <c r="P78" i="90"/>
  <c r="O78" i="90"/>
  <c r="N78" i="90"/>
  <c r="A78" i="90"/>
  <c r="V77" i="90"/>
  <c r="U77" i="90"/>
  <c r="T77" i="90"/>
  <c r="S77" i="90"/>
  <c r="R77" i="90"/>
  <c r="Q77" i="90"/>
  <c r="P77" i="90"/>
  <c r="O77" i="90"/>
  <c r="N77" i="90"/>
  <c r="A77" i="90"/>
  <c r="V76" i="90"/>
  <c r="U76" i="90"/>
  <c r="T76" i="90"/>
  <c r="S76" i="90"/>
  <c r="R76" i="90"/>
  <c r="Q76" i="90"/>
  <c r="P76" i="90"/>
  <c r="O76" i="90"/>
  <c r="N76" i="90"/>
  <c r="A76" i="90"/>
  <c r="V75" i="90"/>
  <c r="U75" i="90"/>
  <c r="T75" i="90"/>
  <c r="S75" i="90"/>
  <c r="R75" i="90"/>
  <c r="Q75" i="90"/>
  <c r="P75" i="90"/>
  <c r="O75" i="90"/>
  <c r="N75" i="90"/>
  <c r="A75" i="90"/>
  <c r="V74" i="90"/>
  <c r="U74" i="90"/>
  <c r="T74" i="90"/>
  <c r="S74" i="90"/>
  <c r="R74" i="90"/>
  <c r="Q74" i="90"/>
  <c r="P74" i="90"/>
  <c r="O74" i="90"/>
  <c r="N74" i="90"/>
  <c r="A74" i="90"/>
  <c r="V73" i="90"/>
  <c r="U73" i="90"/>
  <c r="T73" i="90"/>
  <c r="S73" i="90"/>
  <c r="R73" i="90"/>
  <c r="Q73" i="90"/>
  <c r="P73" i="90"/>
  <c r="O73" i="90"/>
  <c r="N73" i="90"/>
  <c r="A73" i="90"/>
  <c r="V72" i="90"/>
  <c r="U72" i="90"/>
  <c r="T72" i="90"/>
  <c r="S72" i="90"/>
  <c r="R72" i="90"/>
  <c r="Q72" i="90"/>
  <c r="P72" i="90"/>
  <c r="O72" i="90"/>
  <c r="N72" i="90"/>
  <c r="A72" i="90"/>
  <c r="V71" i="90"/>
  <c r="U71" i="90"/>
  <c r="T71" i="90"/>
  <c r="S71" i="90"/>
  <c r="R71" i="90"/>
  <c r="Q71" i="90"/>
  <c r="P71" i="90"/>
  <c r="O71" i="90"/>
  <c r="N71" i="90"/>
  <c r="L71" i="90"/>
  <c r="K71" i="90"/>
  <c r="J71" i="90"/>
  <c r="I71" i="90"/>
  <c r="H71" i="90"/>
  <c r="G71" i="90"/>
  <c r="F71" i="90"/>
  <c r="E71" i="90"/>
  <c r="D71" i="90"/>
  <c r="C71" i="90"/>
  <c r="A71" i="90"/>
  <c r="V70" i="90"/>
  <c r="U70" i="90"/>
  <c r="T70" i="90"/>
  <c r="S70" i="90"/>
  <c r="R70" i="90"/>
  <c r="Q70" i="90"/>
  <c r="P70" i="90"/>
  <c r="O70" i="90"/>
  <c r="N70" i="90"/>
  <c r="A70" i="90"/>
  <c r="L69" i="90"/>
  <c r="K69" i="90"/>
  <c r="J69" i="90"/>
  <c r="I69" i="90"/>
  <c r="H69" i="90"/>
  <c r="G69" i="90"/>
  <c r="F69" i="90"/>
  <c r="E69" i="90"/>
  <c r="D69" i="90"/>
  <c r="C69" i="90"/>
  <c r="A69" i="90"/>
  <c r="V68" i="90"/>
  <c r="U68" i="90"/>
  <c r="T68" i="90"/>
  <c r="S68" i="90"/>
  <c r="R68" i="90"/>
  <c r="Q68" i="90"/>
  <c r="P68" i="90"/>
  <c r="O68" i="90"/>
  <c r="N68" i="90"/>
  <c r="C68" i="90"/>
  <c r="A68" i="90"/>
  <c r="V67" i="90"/>
  <c r="U67" i="90"/>
  <c r="T67" i="90"/>
  <c r="S67" i="90"/>
  <c r="R67" i="90"/>
  <c r="Q67" i="90"/>
  <c r="P67" i="90"/>
  <c r="O67" i="90"/>
  <c r="N67" i="90"/>
  <c r="A67" i="90"/>
  <c r="V66" i="90"/>
  <c r="U66" i="90"/>
  <c r="T66" i="90"/>
  <c r="S66" i="90"/>
  <c r="R66" i="90"/>
  <c r="Q66" i="90"/>
  <c r="P66" i="90"/>
  <c r="O66" i="90"/>
  <c r="N66" i="90"/>
  <c r="A66" i="90"/>
  <c r="C65" i="90"/>
  <c r="A65" i="90"/>
  <c r="V64" i="90"/>
  <c r="U64" i="90"/>
  <c r="T64" i="90"/>
  <c r="S64" i="90"/>
  <c r="R64" i="90"/>
  <c r="Q64" i="90"/>
  <c r="P64" i="90"/>
  <c r="O64" i="90"/>
  <c r="N64" i="90"/>
  <c r="C64" i="90"/>
  <c r="A64" i="90"/>
  <c r="V63" i="90"/>
  <c r="U63" i="90"/>
  <c r="T63" i="90"/>
  <c r="S63" i="90"/>
  <c r="R63" i="90"/>
  <c r="Q63" i="90"/>
  <c r="P63" i="90"/>
  <c r="O63" i="90"/>
  <c r="N63" i="90"/>
  <c r="A63" i="90"/>
  <c r="V62" i="90"/>
  <c r="U62" i="90"/>
  <c r="T62" i="90"/>
  <c r="S62" i="90"/>
  <c r="R62" i="90"/>
  <c r="Q62" i="90"/>
  <c r="P62" i="90"/>
  <c r="O62" i="90"/>
  <c r="N62" i="90"/>
  <c r="A62" i="90"/>
  <c r="V61" i="90"/>
  <c r="U61" i="90"/>
  <c r="T61" i="90"/>
  <c r="S61" i="90"/>
  <c r="R61" i="90"/>
  <c r="Q61" i="90"/>
  <c r="P61" i="90"/>
  <c r="O61" i="90"/>
  <c r="N61" i="90"/>
  <c r="A61" i="90"/>
  <c r="V60" i="90"/>
  <c r="U60" i="90"/>
  <c r="T60" i="90"/>
  <c r="S60" i="90"/>
  <c r="R60" i="90"/>
  <c r="Q60" i="90"/>
  <c r="P60" i="90"/>
  <c r="O60" i="90"/>
  <c r="N60" i="90"/>
  <c r="A60" i="90"/>
  <c r="V59" i="90"/>
  <c r="U59" i="90"/>
  <c r="T59" i="90"/>
  <c r="S59" i="90"/>
  <c r="R59" i="90"/>
  <c r="Q59" i="90"/>
  <c r="P59" i="90"/>
  <c r="O59" i="90"/>
  <c r="N59" i="90"/>
  <c r="A59" i="90"/>
  <c r="V58" i="90"/>
  <c r="U58" i="90"/>
  <c r="T58" i="90"/>
  <c r="S58" i="90"/>
  <c r="R58" i="90"/>
  <c r="Q58" i="90"/>
  <c r="P58" i="90"/>
  <c r="O58" i="90"/>
  <c r="N58" i="90"/>
  <c r="C58" i="90"/>
  <c r="A58" i="90"/>
  <c r="V57" i="90"/>
  <c r="U57" i="90"/>
  <c r="T57" i="90"/>
  <c r="S57" i="90"/>
  <c r="R57" i="90"/>
  <c r="Q57" i="90"/>
  <c r="P57" i="90"/>
  <c r="O57" i="90"/>
  <c r="N57" i="90"/>
  <c r="C57" i="90"/>
  <c r="A57" i="90"/>
  <c r="V56" i="90"/>
  <c r="U56" i="90"/>
  <c r="T56" i="90"/>
  <c r="S56" i="90"/>
  <c r="R56" i="90"/>
  <c r="Q56" i="90"/>
  <c r="P56" i="90"/>
  <c r="O56" i="90"/>
  <c r="N56" i="90"/>
  <c r="A56" i="90"/>
  <c r="V55" i="90"/>
  <c r="U55" i="90"/>
  <c r="T55" i="90"/>
  <c r="S55" i="90"/>
  <c r="R55" i="90"/>
  <c r="Q55" i="90"/>
  <c r="P55" i="90"/>
  <c r="O55" i="90"/>
  <c r="N55" i="90"/>
  <c r="A55" i="90"/>
  <c r="V54" i="90"/>
  <c r="U54" i="90"/>
  <c r="T54" i="90"/>
  <c r="S54" i="90"/>
  <c r="R54" i="90"/>
  <c r="Q54" i="90"/>
  <c r="P54" i="90"/>
  <c r="O54" i="90"/>
  <c r="N54" i="90"/>
  <c r="C54" i="90"/>
  <c r="A54" i="90"/>
  <c r="V53" i="90"/>
  <c r="U53" i="90"/>
  <c r="T53" i="90"/>
  <c r="S53" i="90"/>
  <c r="R53" i="90"/>
  <c r="Q53" i="90"/>
  <c r="P53" i="90"/>
  <c r="O53" i="90"/>
  <c r="N53" i="90"/>
  <c r="L53" i="90"/>
  <c r="K53" i="90"/>
  <c r="J53" i="90"/>
  <c r="I53" i="90"/>
  <c r="H53" i="90"/>
  <c r="G53" i="90"/>
  <c r="F53" i="90"/>
  <c r="E53" i="90"/>
  <c r="D53" i="90"/>
  <c r="C53" i="90"/>
  <c r="A53" i="90"/>
  <c r="V52" i="90"/>
  <c r="U52" i="90"/>
  <c r="T52" i="90"/>
  <c r="S52" i="90"/>
  <c r="R52" i="90"/>
  <c r="Q52" i="90"/>
  <c r="P52" i="90"/>
  <c r="O52" i="90"/>
  <c r="N52" i="90"/>
  <c r="L52" i="90"/>
  <c r="K52" i="90"/>
  <c r="J52" i="90"/>
  <c r="I52" i="90"/>
  <c r="H52" i="90"/>
  <c r="G52" i="90"/>
  <c r="F52" i="90"/>
  <c r="E52" i="90"/>
  <c r="D52" i="90"/>
  <c r="C52" i="90"/>
  <c r="A52" i="90"/>
  <c r="V51" i="90"/>
  <c r="U51" i="90"/>
  <c r="T51" i="90"/>
  <c r="S51" i="90"/>
  <c r="R51" i="90"/>
  <c r="Q51" i="90"/>
  <c r="P51" i="90"/>
  <c r="O51" i="90"/>
  <c r="N51" i="90"/>
  <c r="A51" i="90"/>
  <c r="V50" i="90"/>
  <c r="U50" i="90"/>
  <c r="T50" i="90"/>
  <c r="S50" i="90"/>
  <c r="R50" i="90"/>
  <c r="Q50" i="90"/>
  <c r="P50" i="90"/>
  <c r="O50" i="90"/>
  <c r="N50" i="90"/>
  <c r="A50" i="90"/>
  <c r="V49" i="90"/>
  <c r="U49" i="90"/>
  <c r="T49" i="90"/>
  <c r="S49" i="90"/>
  <c r="R49" i="90"/>
  <c r="Q49" i="90"/>
  <c r="P49" i="90"/>
  <c r="O49" i="90"/>
  <c r="N49" i="90"/>
  <c r="A49" i="90"/>
  <c r="V48" i="90"/>
  <c r="U48" i="90"/>
  <c r="T48" i="90"/>
  <c r="S48" i="90"/>
  <c r="R48" i="90"/>
  <c r="Q48" i="90"/>
  <c r="P48" i="90"/>
  <c r="O48" i="90"/>
  <c r="N48" i="90"/>
  <c r="A48" i="90"/>
  <c r="V47" i="90"/>
  <c r="U47" i="90"/>
  <c r="T47" i="90"/>
  <c r="S47" i="90"/>
  <c r="R47" i="90"/>
  <c r="Q47" i="90"/>
  <c r="P47" i="90"/>
  <c r="O47" i="90"/>
  <c r="N47" i="90"/>
  <c r="A47" i="90"/>
  <c r="V46" i="90"/>
  <c r="U46" i="90"/>
  <c r="T46" i="90"/>
  <c r="S46" i="90"/>
  <c r="R46" i="90"/>
  <c r="Q46" i="90"/>
  <c r="P46" i="90"/>
  <c r="O46" i="90"/>
  <c r="N46" i="90"/>
  <c r="A46" i="90"/>
  <c r="V45" i="90"/>
  <c r="U45" i="90"/>
  <c r="T45" i="90"/>
  <c r="S45" i="90"/>
  <c r="R45" i="90"/>
  <c r="Q45" i="90"/>
  <c r="P45" i="90"/>
  <c r="O45" i="90"/>
  <c r="N45" i="90"/>
  <c r="A45" i="90"/>
  <c r="V44" i="90"/>
  <c r="U44" i="90"/>
  <c r="T44" i="90"/>
  <c r="S44" i="90"/>
  <c r="R44" i="90"/>
  <c r="Q44" i="90"/>
  <c r="P44" i="90"/>
  <c r="O44" i="90"/>
  <c r="N44" i="90"/>
  <c r="A44" i="90"/>
  <c r="V43" i="90"/>
  <c r="U43" i="90"/>
  <c r="T43" i="90"/>
  <c r="S43" i="90"/>
  <c r="R43" i="90"/>
  <c r="Q43" i="90"/>
  <c r="P43" i="90"/>
  <c r="O43" i="90"/>
  <c r="N43" i="90"/>
  <c r="L43" i="90"/>
  <c r="K43" i="90"/>
  <c r="J43" i="90"/>
  <c r="I43" i="90"/>
  <c r="H43" i="90"/>
  <c r="G43" i="90"/>
  <c r="F43" i="90"/>
  <c r="E43" i="90"/>
  <c r="D43" i="90"/>
  <c r="C43" i="90"/>
  <c r="A43" i="90"/>
  <c r="V42" i="90"/>
  <c r="U42" i="90"/>
  <c r="T42" i="90"/>
  <c r="S42" i="90"/>
  <c r="R42" i="90"/>
  <c r="Q42" i="90"/>
  <c r="P42" i="90"/>
  <c r="O42" i="90"/>
  <c r="N42" i="90"/>
  <c r="L42" i="90"/>
  <c r="K42" i="90"/>
  <c r="J42" i="90"/>
  <c r="I42" i="90"/>
  <c r="H42" i="90"/>
  <c r="G42" i="90"/>
  <c r="F42" i="90"/>
  <c r="E42" i="90"/>
  <c r="D42" i="90"/>
  <c r="C42" i="90"/>
  <c r="A42" i="90"/>
  <c r="V41" i="90"/>
  <c r="U41" i="90"/>
  <c r="T41" i="90"/>
  <c r="S41" i="90"/>
  <c r="R41" i="90"/>
  <c r="Q41" i="90"/>
  <c r="P41" i="90"/>
  <c r="O41" i="90"/>
  <c r="N41" i="90"/>
  <c r="L41" i="90"/>
  <c r="K41" i="90"/>
  <c r="J41" i="90"/>
  <c r="I41" i="90"/>
  <c r="H41" i="90"/>
  <c r="G41" i="90"/>
  <c r="F41" i="90"/>
  <c r="E41" i="90"/>
  <c r="D41" i="90"/>
  <c r="C41" i="90"/>
  <c r="A41" i="90"/>
  <c r="V40" i="90"/>
  <c r="U40" i="90"/>
  <c r="T40" i="90"/>
  <c r="S40" i="90"/>
  <c r="R40" i="90"/>
  <c r="Q40" i="90"/>
  <c r="P40" i="90"/>
  <c r="O40" i="90"/>
  <c r="N40" i="90"/>
  <c r="A40" i="90"/>
  <c r="V39" i="90"/>
  <c r="U39" i="90"/>
  <c r="T39" i="90"/>
  <c r="S39" i="90"/>
  <c r="R39" i="90"/>
  <c r="Q39" i="90"/>
  <c r="P39" i="90"/>
  <c r="O39" i="90"/>
  <c r="N39" i="90"/>
  <c r="L39" i="90"/>
  <c r="K39" i="90"/>
  <c r="J39" i="90"/>
  <c r="I39" i="90"/>
  <c r="H39" i="90"/>
  <c r="G39" i="90"/>
  <c r="F39" i="90"/>
  <c r="E39" i="90"/>
  <c r="D39" i="90"/>
  <c r="C39" i="90"/>
  <c r="A39" i="90"/>
  <c r="V38" i="90"/>
  <c r="U38" i="90"/>
  <c r="T38" i="90"/>
  <c r="S38" i="90"/>
  <c r="R38" i="90"/>
  <c r="Q38" i="90"/>
  <c r="P38" i="90"/>
  <c r="O38" i="90"/>
  <c r="N38" i="90"/>
  <c r="A38" i="90"/>
  <c r="V37" i="90"/>
  <c r="U37" i="90"/>
  <c r="T37" i="90"/>
  <c r="S37" i="90"/>
  <c r="R37" i="90"/>
  <c r="Q37" i="90"/>
  <c r="P37" i="90"/>
  <c r="O37" i="90"/>
  <c r="N37" i="90"/>
  <c r="L37" i="90"/>
  <c r="K37" i="90"/>
  <c r="J37" i="90"/>
  <c r="I37" i="90"/>
  <c r="H37" i="90"/>
  <c r="G37" i="90"/>
  <c r="F37" i="90"/>
  <c r="E37" i="90"/>
  <c r="D37" i="90"/>
  <c r="C37" i="90"/>
  <c r="A37" i="90"/>
  <c r="V36" i="90"/>
  <c r="U36" i="90"/>
  <c r="T36" i="90"/>
  <c r="S36" i="90"/>
  <c r="R36" i="90"/>
  <c r="Q36" i="90"/>
  <c r="P36" i="90"/>
  <c r="O36" i="90"/>
  <c r="N36" i="90"/>
  <c r="C36" i="90"/>
  <c r="A36" i="90"/>
  <c r="V35" i="90"/>
  <c r="U35" i="90"/>
  <c r="T35" i="90"/>
  <c r="S35" i="90"/>
  <c r="R35" i="90"/>
  <c r="Q35" i="90"/>
  <c r="P35" i="90"/>
  <c r="O35" i="90"/>
  <c r="N35" i="90"/>
  <c r="A35" i="90"/>
  <c r="V34" i="90"/>
  <c r="U34" i="90"/>
  <c r="T34" i="90"/>
  <c r="S34" i="90"/>
  <c r="R34" i="90"/>
  <c r="Q34" i="90"/>
  <c r="P34" i="90"/>
  <c r="O34" i="90"/>
  <c r="N34" i="90"/>
  <c r="L34" i="90"/>
  <c r="K34" i="90"/>
  <c r="J34" i="90"/>
  <c r="I34" i="90"/>
  <c r="H34" i="90"/>
  <c r="G34" i="90"/>
  <c r="F34" i="90"/>
  <c r="E34" i="90"/>
  <c r="D34" i="90"/>
  <c r="C34" i="90"/>
  <c r="A34" i="90"/>
  <c r="V33" i="90"/>
  <c r="U33" i="90"/>
  <c r="T33" i="90"/>
  <c r="S33" i="90"/>
  <c r="R33" i="90"/>
  <c r="Q33" i="90"/>
  <c r="P33" i="90"/>
  <c r="O33" i="90"/>
  <c r="N33" i="90"/>
  <c r="L33" i="90"/>
  <c r="K33" i="90"/>
  <c r="J33" i="90"/>
  <c r="I33" i="90"/>
  <c r="H33" i="90"/>
  <c r="G33" i="90"/>
  <c r="F33" i="90"/>
  <c r="E33" i="90"/>
  <c r="D33" i="90"/>
  <c r="T32" i="90"/>
  <c r="S32" i="90"/>
  <c r="V31" i="90"/>
  <c r="U31" i="90"/>
  <c r="T31" i="90"/>
  <c r="S31" i="90"/>
  <c r="R31" i="90"/>
  <c r="Q31" i="90"/>
  <c r="P31" i="90"/>
  <c r="O31" i="90"/>
  <c r="N31" i="90"/>
  <c r="M31" i="90"/>
  <c r="J20" i="90"/>
  <c r="I20" i="90"/>
  <c r="H20" i="90"/>
  <c r="G20" i="90"/>
  <c r="J19" i="90"/>
  <c r="I19" i="90"/>
  <c r="H19" i="90"/>
  <c r="G19" i="90"/>
  <c r="J18" i="90"/>
  <c r="I18" i="90"/>
  <c r="H18" i="90"/>
  <c r="G18" i="90"/>
  <c r="J17" i="90"/>
  <c r="I17" i="90"/>
  <c r="H17" i="90"/>
  <c r="G17" i="90"/>
  <c r="J16" i="90"/>
  <c r="I16" i="90"/>
  <c r="H16" i="90"/>
  <c r="G16" i="90"/>
  <c r="J15" i="90"/>
  <c r="I15" i="90"/>
  <c r="H15" i="90"/>
  <c r="G15" i="90"/>
  <c r="J14" i="90"/>
  <c r="I14" i="90"/>
  <c r="H14" i="90"/>
  <c r="G14" i="90"/>
  <c r="J13" i="90"/>
  <c r="I13" i="90"/>
  <c r="H13" i="90"/>
  <c r="G13" i="90"/>
  <c r="J12" i="90"/>
  <c r="I12" i="90"/>
  <c r="H12" i="90"/>
  <c r="G12" i="90"/>
  <c r="J11" i="90"/>
  <c r="H11" i="90"/>
  <c r="G11" i="90"/>
  <c r="E7" i="90"/>
  <c r="B7" i="90"/>
  <c r="I11" i="90" s="1"/>
  <c r="C33" i="90" s="1"/>
  <c r="C35" i="90" s="1"/>
  <c r="AN187" i="40"/>
  <c r="AM187" i="40"/>
  <c r="AL187" i="40"/>
  <c r="AH187" i="40"/>
  <c r="AG187" i="40"/>
  <c r="AF187" i="40"/>
  <c r="AE187" i="40"/>
  <c r="AD187" i="40"/>
  <c r="AC187" i="40"/>
  <c r="AB187" i="40"/>
  <c r="AA187" i="40"/>
  <c r="Z187" i="40"/>
  <c r="Y187" i="40"/>
  <c r="X187" i="40"/>
  <c r="W187" i="40"/>
  <c r="V187" i="40"/>
  <c r="U187" i="40"/>
  <c r="T187" i="40"/>
  <c r="S187" i="40"/>
  <c r="R187" i="40"/>
  <c r="Q187" i="40"/>
  <c r="P187" i="40"/>
  <c r="O187" i="40"/>
  <c r="N187" i="40"/>
  <c r="M187" i="40"/>
  <c r="L187" i="40"/>
  <c r="K187" i="40"/>
  <c r="J187" i="40"/>
  <c r="I187" i="40"/>
  <c r="H187" i="40"/>
  <c r="G187" i="40"/>
  <c r="F187" i="40"/>
  <c r="E187" i="40"/>
  <c r="AN186" i="40"/>
  <c r="AM186" i="40"/>
  <c r="AL186" i="40"/>
  <c r="AH186" i="40"/>
  <c r="AG186" i="40"/>
  <c r="AF186" i="40"/>
  <c r="AA186" i="40"/>
  <c r="Z186" i="40"/>
  <c r="Y186" i="40"/>
  <c r="X186" i="40"/>
  <c r="W186" i="40"/>
  <c r="T186" i="40"/>
  <c r="S186" i="40"/>
  <c r="R186" i="40"/>
  <c r="Q186" i="40"/>
  <c r="P186" i="40"/>
  <c r="O186" i="40"/>
  <c r="N186" i="40"/>
  <c r="M186" i="40"/>
  <c r="L186" i="40"/>
  <c r="K186" i="40"/>
  <c r="J186" i="40"/>
  <c r="I186" i="40"/>
  <c r="H186" i="40"/>
  <c r="G186" i="40"/>
  <c r="F186" i="40"/>
  <c r="E186" i="40"/>
  <c r="AN185" i="40"/>
  <c r="AM185" i="40"/>
  <c r="AL185" i="40"/>
  <c r="AH185" i="40"/>
  <c r="AG185" i="40"/>
  <c r="AF185" i="40"/>
  <c r="AA185" i="40"/>
  <c r="Z185" i="40"/>
  <c r="Y185" i="40"/>
  <c r="X185" i="40"/>
  <c r="W185" i="40"/>
  <c r="T185" i="40"/>
  <c r="S185" i="40"/>
  <c r="R185" i="40"/>
  <c r="Q185" i="40"/>
  <c r="P185" i="40"/>
  <c r="O185" i="40"/>
  <c r="N185" i="40"/>
  <c r="M185" i="40"/>
  <c r="L185" i="40"/>
  <c r="K185" i="40"/>
  <c r="J185" i="40"/>
  <c r="I185" i="40"/>
  <c r="H185" i="40"/>
  <c r="G185" i="40"/>
  <c r="F185" i="40"/>
  <c r="E185" i="40"/>
  <c r="AN184" i="40"/>
  <c r="AM184" i="40"/>
  <c r="AL184" i="40"/>
  <c r="AH184" i="40"/>
  <c r="AG184" i="40"/>
  <c r="AF184" i="40"/>
  <c r="AA184" i="40"/>
  <c r="Z184" i="40"/>
  <c r="Y184" i="40"/>
  <c r="X184" i="40"/>
  <c r="W184" i="40"/>
  <c r="T184" i="40"/>
  <c r="S184" i="40"/>
  <c r="R184" i="40"/>
  <c r="Q184" i="40"/>
  <c r="P184" i="40"/>
  <c r="O184" i="40"/>
  <c r="N184" i="40"/>
  <c r="M184" i="40"/>
  <c r="L184" i="40"/>
  <c r="K184" i="40"/>
  <c r="J184" i="40"/>
  <c r="I184" i="40"/>
  <c r="H184" i="40"/>
  <c r="G184" i="40"/>
  <c r="F184" i="40"/>
  <c r="E184" i="40"/>
  <c r="AN183" i="40"/>
  <c r="AM183" i="40"/>
  <c r="AL183" i="40"/>
  <c r="AH183" i="40"/>
  <c r="AG183" i="40"/>
  <c r="AF183" i="40"/>
  <c r="AA183" i="40"/>
  <c r="Z183" i="40"/>
  <c r="Y183" i="40"/>
  <c r="X183" i="40"/>
  <c r="W183" i="40"/>
  <c r="T183" i="40"/>
  <c r="S183" i="40"/>
  <c r="R183" i="40"/>
  <c r="Q183" i="40"/>
  <c r="P183" i="40"/>
  <c r="O183" i="40"/>
  <c r="N183" i="40"/>
  <c r="M183" i="40"/>
  <c r="L183" i="40"/>
  <c r="K183" i="40"/>
  <c r="J183" i="40"/>
  <c r="I183" i="40"/>
  <c r="H183" i="40"/>
  <c r="G183" i="40"/>
  <c r="F183" i="40"/>
  <c r="E183" i="40"/>
  <c r="AN182" i="40"/>
  <c r="AM182" i="40"/>
  <c r="AL182" i="40"/>
  <c r="AH182" i="40"/>
  <c r="AG182" i="40"/>
  <c r="AF182" i="40"/>
  <c r="AA182" i="40"/>
  <c r="Z182" i="40"/>
  <c r="Y182" i="40"/>
  <c r="X182" i="40"/>
  <c r="W182" i="40"/>
  <c r="T182" i="40"/>
  <c r="S182" i="40"/>
  <c r="R182" i="40"/>
  <c r="Q182" i="40"/>
  <c r="P182" i="40"/>
  <c r="O182" i="40"/>
  <c r="N182" i="40"/>
  <c r="M182" i="40"/>
  <c r="L182" i="40"/>
  <c r="K182" i="40"/>
  <c r="J182" i="40"/>
  <c r="I182" i="40"/>
  <c r="H182" i="40"/>
  <c r="G182" i="40"/>
  <c r="F182" i="40"/>
  <c r="E182" i="40"/>
  <c r="AN181" i="40"/>
  <c r="AM181" i="40"/>
  <c r="AL181" i="40"/>
  <c r="AH181" i="40"/>
  <c r="AG181" i="40"/>
  <c r="AF181" i="40"/>
  <c r="AA181" i="40"/>
  <c r="Z181" i="40"/>
  <c r="Y181" i="40"/>
  <c r="X181" i="40"/>
  <c r="W181" i="40"/>
  <c r="T181" i="40"/>
  <c r="S181" i="40"/>
  <c r="R181" i="40"/>
  <c r="Q181" i="40"/>
  <c r="P181" i="40"/>
  <c r="O181" i="40"/>
  <c r="N181" i="40"/>
  <c r="M181" i="40"/>
  <c r="L181" i="40"/>
  <c r="K181" i="40"/>
  <c r="J181" i="40"/>
  <c r="I181" i="40"/>
  <c r="H181" i="40"/>
  <c r="G181" i="40"/>
  <c r="F181" i="40"/>
  <c r="E181" i="40"/>
  <c r="AN180" i="40"/>
  <c r="AM180" i="40"/>
  <c r="AL180" i="40"/>
  <c r="AH180" i="40"/>
  <c r="AG180" i="40"/>
  <c r="AF180" i="40"/>
  <c r="AA180" i="40"/>
  <c r="Z180" i="40"/>
  <c r="Y180" i="40"/>
  <c r="X180" i="40"/>
  <c r="W180" i="40"/>
  <c r="T180" i="40"/>
  <c r="S180" i="40"/>
  <c r="R180" i="40"/>
  <c r="Q180" i="40"/>
  <c r="P180" i="40"/>
  <c r="O180" i="40"/>
  <c r="N180" i="40"/>
  <c r="M180" i="40"/>
  <c r="L180" i="40"/>
  <c r="K180" i="40"/>
  <c r="J180" i="40"/>
  <c r="I180" i="40"/>
  <c r="H180" i="40"/>
  <c r="G180" i="40"/>
  <c r="F180" i="40"/>
  <c r="E180" i="40"/>
  <c r="AN179" i="40"/>
  <c r="AM179" i="40"/>
  <c r="AL179" i="40"/>
  <c r="AH179" i="40"/>
  <c r="AG179" i="40"/>
  <c r="AF179" i="40"/>
  <c r="AA179" i="40"/>
  <c r="Z179" i="40"/>
  <c r="Y179" i="40"/>
  <c r="X179" i="40"/>
  <c r="W179" i="40"/>
  <c r="T179" i="40"/>
  <c r="S179" i="40"/>
  <c r="R179" i="40"/>
  <c r="Q179" i="40"/>
  <c r="P179" i="40"/>
  <c r="O179" i="40"/>
  <c r="N179" i="40"/>
  <c r="M179" i="40"/>
  <c r="L179" i="40"/>
  <c r="K179" i="40"/>
  <c r="J179" i="40"/>
  <c r="I179" i="40"/>
  <c r="H179" i="40"/>
  <c r="G179" i="40"/>
  <c r="F179" i="40"/>
  <c r="E179" i="40"/>
  <c r="AN178" i="40"/>
  <c r="AM178" i="40"/>
  <c r="AL178" i="40"/>
  <c r="AH178" i="40"/>
  <c r="AG178" i="40"/>
  <c r="AF178" i="40"/>
  <c r="AA178" i="40"/>
  <c r="Z178" i="40"/>
  <c r="Y178" i="40"/>
  <c r="X178" i="40"/>
  <c r="W178" i="40"/>
  <c r="T178" i="40"/>
  <c r="S178" i="40"/>
  <c r="R178" i="40"/>
  <c r="Q178" i="40"/>
  <c r="P178" i="40"/>
  <c r="O178" i="40"/>
  <c r="N178" i="40"/>
  <c r="M178" i="40"/>
  <c r="L178" i="40"/>
  <c r="K178" i="40"/>
  <c r="J178" i="40"/>
  <c r="I178" i="40"/>
  <c r="H178" i="40"/>
  <c r="G178" i="40"/>
  <c r="F178" i="40"/>
  <c r="E178" i="40"/>
  <c r="AM174" i="40"/>
  <c r="AL174" i="40"/>
  <c r="AK174" i="40"/>
  <c r="AJ174" i="40"/>
  <c r="AI174" i="40"/>
  <c r="AH174" i="40"/>
  <c r="AG174" i="40"/>
  <c r="AF174" i="40"/>
  <c r="AE174" i="40"/>
  <c r="AD174" i="40"/>
  <c r="AC174" i="40"/>
  <c r="AB174" i="40"/>
  <c r="AA174" i="40"/>
  <c r="Z174" i="40"/>
  <c r="Y174" i="40"/>
  <c r="X174" i="40"/>
  <c r="W174" i="40"/>
  <c r="V174" i="40"/>
  <c r="U174" i="40"/>
  <c r="T174" i="40"/>
  <c r="S174" i="40"/>
  <c r="R174" i="40"/>
  <c r="Q174" i="40"/>
  <c r="P174" i="40"/>
  <c r="O174" i="40"/>
  <c r="N174" i="40"/>
  <c r="M174" i="40"/>
  <c r="L174" i="40"/>
  <c r="K174" i="40"/>
  <c r="J174" i="40"/>
  <c r="I174" i="40"/>
  <c r="H174" i="40"/>
  <c r="G174" i="40"/>
  <c r="F174" i="40"/>
  <c r="E174" i="40"/>
  <c r="AM173" i="40"/>
  <c r="AL173" i="40"/>
  <c r="AK173" i="40"/>
  <c r="AI173" i="40"/>
  <c r="AH173" i="40"/>
  <c r="AG173" i="40"/>
  <c r="AF173" i="40"/>
  <c r="AE173" i="40"/>
  <c r="AD173" i="40"/>
  <c r="AC173" i="40"/>
  <c r="AB173" i="40"/>
  <c r="AA173" i="40"/>
  <c r="Z173" i="40"/>
  <c r="Y173" i="40"/>
  <c r="X173" i="40"/>
  <c r="W173" i="40"/>
  <c r="V173" i="40"/>
  <c r="U173" i="40"/>
  <c r="T173" i="40"/>
  <c r="S173" i="40"/>
  <c r="R173" i="40"/>
  <c r="Q173" i="40"/>
  <c r="P173" i="40"/>
  <c r="O173" i="40"/>
  <c r="N173" i="40"/>
  <c r="M173" i="40"/>
  <c r="L173" i="40"/>
  <c r="K173" i="40"/>
  <c r="J173" i="40"/>
  <c r="I173" i="40"/>
  <c r="H173" i="40"/>
  <c r="G173" i="40"/>
  <c r="F173" i="40"/>
  <c r="E173" i="40"/>
  <c r="AM172" i="40"/>
  <c r="AL172" i="40"/>
  <c r="AK172" i="40"/>
  <c r="AI172" i="40"/>
  <c r="AH172" i="40"/>
  <c r="AG172" i="40"/>
  <c r="AF172" i="40"/>
  <c r="AE172" i="40"/>
  <c r="AD172" i="40"/>
  <c r="AC172" i="40"/>
  <c r="AB172" i="40"/>
  <c r="AA172" i="40"/>
  <c r="Z172" i="40"/>
  <c r="Y172" i="40"/>
  <c r="X172" i="40"/>
  <c r="W172" i="40"/>
  <c r="V172" i="40"/>
  <c r="U172" i="40"/>
  <c r="T172" i="40"/>
  <c r="S172" i="40"/>
  <c r="R172" i="40"/>
  <c r="Q172" i="40"/>
  <c r="P172" i="40"/>
  <c r="O172" i="40"/>
  <c r="N172" i="40"/>
  <c r="M172" i="40"/>
  <c r="L172" i="40"/>
  <c r="K172" i="40"/>
  <c r="J172" i="40"/>
  <c r="I172" i="40"/>
  <c r="H172" i="40"/>
  <c r="G172" i="40"/>
  <c r="F172" i="40"/>
  <c r="E172" i="40"/>
  <c r="AM171" i="40"/>
  <c r="AL171" i="40"/>
  <c r="AK171" i="40"/>
  <c r="AI171" i="40"/>
  <c r="AH171" i="40"/>
  <c r="AG171" i="40"/>
  <c r="AF171" i="40"/>
  <c r="AE171" i="40"/>
  <c r="AD171" i="40"/>
  <c r="AC171" i="40"/>
  <c r="AB171" i="40"/>
  <c r="AA171" i="40"/>
  <c r="Z171" i="40"/>
  <c r="Y171" i="40"/>
  <c r="X171" i="40"/>
  <c r="W171" i="40"/>
  <c r="V171" i="40"/>
  <c r="U171" i="40"/>
  <c r="T171" i="40"/>
  <c r="S171" i="40"/>
  <c r="R171" i="40"/>
  <c r="Q171" i="40"/>
  <c r="P171" i="40"/>
  <c r="O171" i="40"/>
  <c r="N171" i="40"/>
  <c r="M171" i="40"/>
  <c r="L171" i="40"/>
  <c r="K171" i="40"/>
  <c r="J171" i="40"/>
  <c r="I171" i="40"/>
  <c r="H171" i="40"/>
  <c r="G171" i="40"/>
  <c r="F171" i="40"/>
  <c r="E171" i="40"/>
  <c r="AM170" i="40"/>
  <c r="AL170" i="40"/>
  <c r="AK170" i="40"/>
  <c r="AI170" i="40"/>
  <c r="AH170" i="40"/>
  <c r="AG170" i="40"/>
  <c r="AF170" i="40"/>
  <c r="AE170" i="40"/>
  <c r="AD170" i="40"/>
  <c r="AC170" i="40"/>
  <c r="AB170" i="40"/>
  <c r="AA170" i="40"/>
  <c r="Z170" i="40"/>
  <c r="Y170" i="40"/>
  <c r="X170" i="40"/>
  <c r="W170" i="40"/>
  <c r="V170" i="40"/>
  <c r="U170" i="40"/>
  <c r="T170" i="40"/>
  <c r="S170" i="40"/>
  <c r="R170" i="40"/>
  <c r="Q170" i="40"/>
  <c r="P170" i="40"/>
  <c r="O170" i="40"/>
  <c r="N170" i="40"/>
  <c r="M170" i="40"/>
  <c r="L170" i="40"/>
  <c r="K170" i="40"/>
  <c r="J170" i="40"/>
  <c r="I170" i="40"/>
  <c r="H170" i="40"/>
  <c r="G170" i="40"/>
  <c r="F170" i="40"/>
  <c r="E170" i="40"/>
  <c r="AM169" i="40"/>
  <c r="AL169" i="40"/>
  <c r="AK169" i="40"/>
  <c r="AI169" i="40"/>
  <c r="AH169" i="40"/>
  <c r="AG169" i="40"/>
  <c r="AF169" i="40"/>
  <c r="AE169" i="40"/>
  <c r="AD169" i="40"/>
  <c r="AC169" i="40"/>
  <c r="AB169" i="40"/>
  <c r="AA169" i="40"/>
  <c r="Z169" i="40"/>
  <c r="Y169" i="40"/>
  <c r="X169" i="40"/>
  <c r="W169" i="40"/>
  <c r="V169" i="40"/>
  <c r="U169" i="40"/>
  <c r="T169" i="40"/>
  <c r="S169" i="40"/>
  <c r="R169" i="40"/>
  <c r="Q169" i="40"/>
  <c r="P169" i="40"/>
  <c r="O169" i="40"/>
  <c r="N169" i="40"/>
  <c r="M169" i="40"/>
  <c r="L169" i="40"/>
  <c r="K169" i="40"/>
  <c r="J169" i="40"/>
  <c r="I169" i="40"/>
  <c r="H169" i="40"/>
  <c r="G169" i="40"/>
  <c r="F169" i="40"/>
  <c r="E169" i="40"/>
  <c r="AM168" i="40"/>
  <c r="AL168" i="40"/>
  <c r="AK168" i="40"/>
  <c r="AI168" i="40"/>
  <c r="AH168" i="40"/>
  <c r="AG168" i="40"/>
  <c r="AF168" i="40"/>
  <c r="AE168" i="40"/>
  <c r="AD168" i="40"/>
  <c r="AC168" i="40"/>
  <c r="AB168" i="40"/>
  <c r="AA168" i="40"/>
  <c r="Z168" i="40"/>
  <c r="Y168" i="40"/>
  <c r="X168" i="40"/>
  <c r="W168" i="40"/>
  <c r="V168" i="40"/>
  <c r="U168" i="40"/>
  <c r="T168" i="40"/>
  <c r="S168" i="40"/>
  <c r="R168" i="40"/>
  <c r="Q168" i="40"/>
  <c r="P168" i="40"/>
  <c r="O168" i="40"/>
  <c r="N168" i="40"/>
  <c r="M168" i="40"/>
  <c r="L168" i="40"/>
  <c r="K168" i="40"/>
  <c r="J168" i="40"/>
  <c r="I168" i="40"/>
  <c r="H168" i="40"/>
  <c r="G168" i="40"/>
  <c r="F168" i="40"/>
  <c r="E168" i="40"/>
  <c r="AM167" i="40"/>
  <c r="AL167" i="40"/>
  <c r="AK167" i="40"/>
  <c r="AI167" i="40"/>
  <c r="AH167" i="40"/>
  <c r="AG167" i="40"/>
  <c r="AF167" i="40"/>
  <c r="AE167" i="40"/>
  <c r="AD167" i="40"/>
  <c r="AC167" i="40"/>
  <c r="AB167" i="40"/>
  <c r="AA167" i="40"/>
  <c r="Z167" i="40"/>
  <c r="Y167" i="40"/>
  <c r="X167" i="40"/>
  <c r="W167" i="40"/>
  <c r="V167" i="40"/>
  <c r="U167" i="40"/>
  <c r="T167" i="40"/>
  <c r="S167" i="40"/>
  <c r="R167" i="40"/>
  <c r="Q167" i="40"/>
  <c r="P167" i="40"/>
  <c r="O167" i="40"/>
  <c r="N167" i="40"/>
  <c r="M167" i="40"/>
  <c r="L167" i="40"/>
  <c r="K167" i="40"/>
  <c r="J167" i="40"/>
  <c r="I167" i="40"/>
  <c r="H167" i="40"/>
  <c r="G167" i="40"/>
  <c r="F167" i="40"/>
  <c r="E167" i="40"/>
  <c r="AM166" i="40"/>
  <c r="AL166" i="40"/>
  <c r="AK166" i="40"/>
  <c r="AI166" i="40"/>
  <c r="AH166" i="40"/>
  <c r="AG166" i="40"/>
  <c r="AF166" i="40"/>
  <c r="AE166" i="40"/>
  <c r="AD166" i="40"/>
  <c r="AC166" i="40"/>
  <c r="AB166" i="40"/>
  <c r="AA166" i="40"/>
  <c r="Z166" i="40"/>
  <c r="Y166" i="40"/>
  <c r="X166" i="40"/>
  <c r="W166" i="40"/>
  <c r="V166" i="40"/>
  <c r="U166" i="40"/>
  <c r="T166" i="40"/>
  <c r="S166" i="40"/>
  <c r="R166" i="40"/>
  <c r="Q166" i="40"/>
  <c r="P166" i="40"/>
  <c r="O166" i="40"/>
  <c r="N166" i="40"/>
  <c r="M166" i="40"/>
  <c r="L166" i="40"/>
  <c r="K166" i="40"/>
  <c r="J166" i="40"/>
  <c r="I166" i="40"/>
  <c r="H166" i="40"/>
  <c r="G166" i="40"/>
  <c r="F166" i="40"/>
  <c r="E166" i="40"/>
  <c r="AM165" i="40"/>
  <c r="AL165" i="40"/>
  <c r="AK165" i="40"/>
  <c r="AI165" i="40"/>
  <c r="AH165" i="40"/>
  <c r="AG165" i="40"/>
  <c r="AF165" i="40"/>
  <c r="AE165" i="40"/>
  <c r="AD165" i="40"/>
  <c r="AC165" i="40"/>
  <c r="AB165" i="40"/>
  <c r="AA165" i="40"/>
  <c r="Z165" i="40"/>
  <c r="Y165" i="40"/>
  <c r="X165" i="40"/>
  <c r="W165" i="40"/>
  <c r="V165" i="40"/>
  <c r="U165" i="40"/>
  <c r="T165" i="40"/>
  <c r="S165" i="40"/>
  <c r="R165" i="40"/>
  <c r="Q165" i="40"/>
  <c r="P165" i="40"/>
  <c r="O165" i="40"/>
  <c r="N165" i="40"/>
  <c r="M165" i="40"/>
  <c r="L165" i="40"/>
  <c r="K165" i="40"/>
  <c r="J165" i="40"/>
  <c r="I165" i="40"/>
  <c r="H165" i="40"/>
  <c r="G165" i="40"/>
  <c r="F165" i="40"/>
  <c r="E165" i="40"/>
  <c r="D160" i="40"/>
  <c r="D159" i="40"/>
  <c r="D158" i="40"/>
  <c r="D157" i="40"/>
  <c r="D156" i="40"/>
  <c r="D155" i="40"/>
  <c r="D154" i="40"/>
  <c r="D153" i="40"/>
  <c r="D152" i="40"/>
  <c r="D147" i="40"/>
  <c r="D146" i="40"/>
  <c r="D145" i="40"/>
  <c r="D144" i="40"/>
  <c r="D143" i="40"/>
  <c r="D142" i="40"/>
  <c r="D141" i="40"/>
  <c r="D140" i="40"/>
  <c r="D139" i="40"/>
  <c r="N132" i="40"/>
  <c r="Q131" i="40"/>
  <c r="N131" i="40"/>
  <c r="Q127" i="40"/>
  <c r="N127" i="40"/>
  <c r="Q126" i="40"/>
  <c r="N126" i="40"/>
  <c r="Q125" i="40"/>
  <c r="N125" i="40"/>
  <c r="Q124" i="40"/>
  <c r="N124" i="40"/>
  <c r="Q123" i="40"/>
  <c r="N123" i="40"/>
  <c r="Q122" i="40"/>
  <c r="N122" i="40"/>
  <c r="Q120" i="40"/>
  <c r="N120" i="40"/>
  <c r="Q118" i="40"/>
  <c r="N118" i="40"/>
  <c r="Q117" i="40"/>
  <c r="N117" i="40"/>
  <c r="Q116" i="40"/>
  <c r="N116" i="40"/>
  <c r="Q115" i="40"/>
  <c r="N115" i="40"/>
  <c r="Q114" i="40"/>
  <c r="N114" i="40"/>
  <c r="Q113" i="40"/>
  <c r="N113" i="40"/>
  <c r="V103" i="40"/>
  <c r="U103" i="40"/>
  <c r="T103" i="40"/>
  <c r="S103" i="40"/>
  <c r="R103" i="40"/>
  <c r="Q103" i="40"/>
  <c r="P103" i="40"/>
  <c r="F103" i="40"/>
  <c r="C103" i="40"/>
  <c r="A103" i="40"/>
  <c r="V102" i="40"/>
  <c r="U102" i="40"/>
  <c r="T102" i="40"/>
  <c r="S102" i="40"/>
  <c r="R102" i="40"/>
  <c r="Q102" i="40"/>
  <c r="P102" i="40"/>
  <c r="F102" i="40"/>
  <c r="C102" i="40"/>
  <c r="A102" i="40"/>
  <c r="V101" i="40"/>
  <c r="U101" i="40"/>
  <c r="T101" i="40"/>
  <c r="S101" i="40"/>
  <c r="R101" i="40"/>
  <c r="Q101" i="40"/>
  <c r="P101" i="40"/>
  <c r="A101" i="40"/>
  <c r="V100" i="40"/>
  <c r="U100" i="40"/>
  <c r="T100" i="40"/>
  <c r="S100" i="40"/>
  <c r="R100" i="40"/>
  <c r="Q100" i="40"/>
  <c r="P100" i="40"/>
  <c r="A100" i="40"/>
  <c r="V99" i="40"/>
  <c r="U99" i="40"/>
  <c r="T99" i="40"/>
  <c r="S99" i="40"/>
  <c r="R99" i="40"/>
  <c r="Q99" i="40"/>
  <c r="P99" i="40"/>
  <c r="A99" i="40"/>
  <c r="V98" i="40"/>
  <c r="U98" i="40"/>
  <c r="T98" i="40"/>
  <c r="S98" i="40"/>
  <c r="R98" i="40"/>
  <c r="Q98" i="40"/>
  <c r="P98" i="40"/>
  <c r="A98" i="40"/>
  <c r="V97" i="40"/>
  <c r="U97" i="40"/>
  <c r="T97" i="40"/>
  <c r="S97" i="40"/>
  <c r="R97" i="40"/>
  <c r="Q97" i="40"/>
  <c r="P97" i="40"/>
  <c r="A97" i="40"/>
  <c r="V96" i="40"/>
  <c r="U96" i="40"/>
  <c r="T96" i="40"/>
  <c r="S96" i="40"/>
  <c r="R96" i="40"/>
  <c r="Q96" i="40"/>
  <c r="P96" i="40"/>
  <c r="A96" i="40"/>
  <c r="V95" i="40"/>
  <c r="U95" i="40"/>
  <c r="T95" i="40"/>
  <c r="S95" i="40"/>
  <c r="R95" i="40"/>
  <c r="Q95" i="40"/>
  <c r="P95" i="40"/>
  <c r="A95" i="40"/>
  <c r="V94" i="40"/>
  <c r="U94" i="40"/>
  <c r="T94" i="40"/>
  <c r="S94" i="40"/>
  <c r="R94" i="40"/>
  <c r="Q94" i="40"/>
  <c r="P94" i="40"/>
  <c r="A94" i="40"/>
  <c r="V93" i="40"/>
  <c r="U93" i="40"/>
  <c r="T93" i="40"/>
  <c r="S93" i="40"/>
  <c r="R93" i="40"/>
  <c r="Q93" i="40"/>
  <c r="P93" i="40"/>
  <c r="A93" i="40"/>
  <c r="V92" i="40"/>
  <c r="U92" i="40"/>
  <c r="T92" i="40"/>
  <c r="S92" i="40"/>
  <c r="R92" i="40"/>
  <c r="Q92" i="40"/>
  <c r="P92" i="40"/>
  <c r="A92" i="40"/>
  <c r="V91" i="40"/>
  <c r="U91" i="40"/>
  <c r="T91" i="40"/>
  <c r="S91" i="40"/>
  <c r="R91" i="40"/>
  <c r="Q91" i="40"/>
  <c r="P91" i="40"/>
  <c r="A91" i="40"/>
  <c r="V90" i="40"/>
  <c r="U90" i="40"/>
  <c r="T90" i="40"/>
  <c r="S90" i="40"/>
  <c r="R90" i="40"/>
  <c r="Q90" i="40"/>
  <c r="P90" i="40"/>
  <c r="A90" i="40"/>
  <c r="V89" i="40"/>
  <c r="U89" i="40"/>
  <c r="T89" i="40"/>
  <c r="S89" i="40"/>
  <c r="R89" i="40"/>
  <c r="Q89" i="40"/>
  <c r="P89" i="40"/>
  <c r="A89" i="40"/>
  <c r="V88" i="40"/>
  <c r="U88" i="40"/>
  <c r="T88" i="40"/>
  <c r="S88" i="40"/>
  <c r="R88" i="40"/>
  <c r="Q88" i="40"/>
  <c r="P88" i="40"/>
  <c r="A88" i="40"/>
  <c r="V87" i="40"/>
  <c r="U87" i="40"/>
  <c r="T87" i="40"/>
  <c r="S87" i="40"/>
  <c r="R87" i="40"/>
  <c r="Q87" i="40"/>
  <c r="P87" i="40"/>
  <c r="A87" i="40"/>
  <c r="V86" i="40"/>
  <c r="U86" i="40"/>
  <c r="T86" i="40"/>
  <c r="S86" i="40"/>
  <c r="R86" i="40"/>
  <c r="Q86" i="40"/>
  <c r="P86" i="40"/>
  <c r="A86" i="40"/>
  <c r="V85" i="40"/>
  <c r="U85" i="40"/>
  <c r="T85" i="40"/>
  <c r="S85" i="40"/>
  <c r="R85" i="40"/>
  <c r="Q85" i="40"/>
  <c r="P85" i="40"/>
  <c r="A85" i="40"/>
  <c r="V84" i="40"/>
  <c r="U84" i="40"/>
  <c r="T84" i="40"/>
  <c r="S84" i="40"/>
  <c r="R84" i="40"/>
  <c r="Q84" i="40"/>
  <c r="P84" i="40"/>
  <c r="A84" i="40"/>
  <c r="V83" i="40"/>
  <c r="U83" i="40"/>
  <c r="T83" i="40"/>
  <c r="S83" i="40"/>
  <c r="R83" i="40"/>
  <c r="Q83" i="40"/>
  <c r="P83" i="40"/>
  <c r="A83" i="40"/>
  <c r="V82" i="40"/>
  <c r="U82" i="40"/>
  <c r="T82" i="40"/>
  <c r="S82" i="40"/>
  <c r="R82" i="40"/>
  <c r="Q82" i="40"/>
  <c r="P82" i="40"/>
  <c r="L82" i="40"/>
  <c r="K82" i="40"/>
  <c r="J82" i="40"/>
  <c r="I82" i="40"/>
  <c r="H82" i="40"/>
  <c r="G82" i="40"/>
  <c r="F82" i="40"/>
  <c r="A82" i="40"/>
  <c r="V81" i="40"/>
  <c r="U81" i="40"/>
  <c r="T81" i="40"/>
  <c r="S81" i="40"/>
  <c r="R81" i="40"/>
  <c r="Q81" i="40"/>
  <c r="P81" i="40"/>
  <c r="A81" i="40"/>
  <c r="V80" i="40"/>
  <c r="U80" i="40"/>
  <c r="T80" i="40"/>
  <c r="S80" i="40"/>
  <c r="R80" i="40"/>
  <c r="Q80" i="40"/>
  <c r="P80" i="40"/>
  <c r="A80" i="40"/>
  <c r="V79" i="40"/>
  <c r="U79" i="40"/>
  <c r="T79" i="40"/>
  <c r="S79" i="40"/>
  <c r="R79" i="40"/>
  <c r="Q79" i="40"/>
  <c r="P79" i="40"/>
  <c r="A79" i="40"/>
  <c r="V78" i="40"/>
  <c r="U78" i="40"/>
  <c r="T78" i="40"/>
  <c r="S78" i="40"/>
  <c r="R78" i="40"/>
  <c r="Q78" i="40"/>
  <c r="P78" i="40"/>
  <c r="A78" i="40"/>
  <c r="V77" i="40"/>
  <c r="U77" i="40"/>
  <c r="T77" i="40"/>
  <c r="S77" i="40"/>
  <c r="R77" i="40"/>
  <c r="Q77" i="40"/>
  <c r="P77" i="40"/>
  <c r="A77" i="40"/>
  <c r="V76" i="40"/>
  <c r="U76" i="40"/>
  <c r="T76" i="40"/>
  <c r="S76" i="40"/>
  <c r="R76" i="40"/>
  <c r="Q76" i="40"/>
  <c r="P76" i="40"/>
  <c r="A76" i="40"/>
  <c r="V75" i="40"/>
  <c r="U75" i="40"/>
  <c r="T75" i="40"/>
  <c r="S75" i="40"/>
  <c r="R75" i="40"/>
  <c r="Q75" i="40"/>
  <c r="P75" i="40"/>
  <c r="A75" i="40"/>
  <c r="V74" i="40"/>
  <c r="U74" i="40"/>
  <c r="T74" i="40"/>
  <c r="S74" i="40"/>
  <c r="R74" i="40"/>
  <c r="Q74" i="40"/>
  <c r="P74" i="40"/>
  <c r="A74" i="40"/>
  <c r="V73" i="40"/>
  <c r="U73" i="40"/>
  <c r="T73" i="40"/>
  <c r="S73" i="40"/>
  <c r="R73" i="40"/>
  <c r="Q73" i="40"/>
  <c r="P73" i="40"/>
  <c r="A73" i="40"/>
  <c r="V72" i="40"/>
  <c r="U72" i="40"/>
  <c r="T72" i="40"/>
  <c r="S72" i="40"/>
  <c r="R72" i="40"/>
  <c r="Q72" i="40"/>
  <c r="P72" i="40"/>
  <c r="A72" i="40"/>
  <c r="V71" i="40"/>
  <c r="U71" i="40"/>
  <c r="T71" i="40"/>
  <c r="S71" i="40"/>
  <c r="R71" i="40"/>
  <c r="Q71" i="40"/>
  <c r="P71" i="40"/>
  <c r="L71" i="40"/>
  <c r="K71" i="40"/>
  <c r="J71" i="40"/>
  <c r="I71" i="40"/>
  <c r="H71" i="40"/>
  <c r="G71" i="40"/>
  <c r="F71" i="40"/>
  <c r="E71" i="40"/>
  <c r="D71" i="40"/>
  <c r="C71" i="40"/>
  <c r="A71" i="40"/>
  <c r="V70" i="40"/>
  <c r="U70" i="40"/>
  <c r="T70" i="40"/>
  <c r="S70" i="40"/>
  <c r="R70" i="40"/>
  <c r="Q70" i="40"/>
  <c r="P70" i="40"/>
  <c r="A70" i="40"/>
  <c r="L69" i="40"/>
  <c r="K69" i="40"/>
  <c r="J69" i="40"/>
  <c r="I69" i="40"/>
  <c r="F69" i="40"/>
  <c r="E69" i="40"/>
  <c r="D69" i="40"/>
  <c r="C69" i="40"/>
  <c r="A69" i="40"/>
  <c r="V68" i="40"/>
  <c r="U68" i="40"/>
  <c r="T68" i="40"/>
  <c r="S68" i="40"/>
  <c r="R68" i="40"/>
  <c r="Q68" i="40"/>
  <c r="P68" i="40"/>
  <c r="E68" i="40"/>
  <c r="C68" i="40"/>
  <c r="A68" i="40"/>
  <c r="V67" i="40"/>
  <c r="U67" i="40"/>
  <c r="T67" i="40"/>
  <c r="S67" i="40"/>
  <c r="R67" i="40"/>
  <c r="Q67" i="40"/>
  <c r="P67" i="40"/>
  <c r="A67" i="40"/>
  <c r="V66" i="40"/>
  <c r="U66" i="40"/>
  <c r="T66" i="40"/>
  <c r="S66" i="40"/>
  <c r="R66" i="40"/>
  <c r="Q66" i="40"/>
  <c r="P66" i="40"/>
  <c r="A66" i="40"/>
  <c r="E65" i="40"/>
  <c r="D65" i="40"/>
  <c r="C65" i="40"/>
  <c r="A65" i="40"/>
  <c r="V64" i="40"/>
  <c r="U64" i="40"/>
  <c r="T64" i="40"/>
  <c r="S64" i="40"/>
  <c r="R64" i="40"/>
  <c r="Q64" i="40"/>
  <c r="P64" i="40"/>
  <c r="E64" i="40"/>
  <c r="D64" i="40"/>
  <c r="C64" i="40"/>
  <c r="A64" i="40"/>
  <c r="V63" i="40"/>
  <c r="U63" i="40"/>
  <c r="T63" i="40"/>
  <c r="S63" i="40"/>
  <c r="R63" i="40"/>
  <c r="Q63" i="40"/>
  <c r="P63" i="40"/>
  <c r="A63" i="40"/>
  <c r="V62" i="40"/>
  <c r="U62" i="40"/>
  <c r="T62" i="40"/>
  <c r="S62" i="40"/>
  <c r="R62" i="40"/>
  <c r="Q62" i="40"/>
  <c r="P62" i="40"/>
  <c r="A62" i="40"/>
  <c r="V61" i="40"/>
  <c r="U61" i="40"/>
  <c r="T61" i="40"/>
  <c r="S61" i="40"/>
  <c r="R61" i="40"/>
  <c r="Q61" i="40"/>
  <c r="P61" i="40"/>
  <c r="A61" i="40"/>
  <c r="V60" i="40"/>
  <c r="U60" i="40"/>
  <c r="T60" i="40"/>
  <c r="S60" i="40"/>
  <c r="R60" i="40"/>
  <c r="Q60" i="40"/>
  <c r="P60" i="40"/>
  <c r="A60" i="40"/>
  <c r="V59" i="40"/>
  <c r="U59" i="40"/>
  <c r="T59" i="40"/>
  <c r="S59" i="40"/>
  <c r="R59" i="40"/>
  <c r="Q59" i="40"/>
  <c r="P59" i="40"/>
  <c r="A59" i="40"/>
  <c r="V58" i="40"/>
  <c r="U58" i="40"/>
  <c r="T58" i="40"/>
  <c r="S58" i="40"/>
  <c r="R58" i="40"/>
  <c r="Q58" i="40"/>
  <c r="P58" i="40"/>
  <c r="C58" i="40"/>
  <c r="E58" i="40" s="1"/>
  <c r="A58" i="40"/>
  <c r="V57" i="40"/>
  <c r="U57" i="40"/>
  <c r="T57" i="40"/>
  <c r="S57" i="40"/>
  <c r="R57" i="40"/>
  <c r="Q57" i="40"/>
  <c r="P57" i="40"/>
  <c r="C57" i="40"/>
  <c r="E57" i="40" s="1"/>
  <c r="A57" i="40"/>
  <c r="V56" i="40"/>
  <c r="U56" i="40"/>
  <c r="T56" i="40"/>
  <c r="S56" i="40"/>
  <c r="R56" i="40"/>
  <c r="Q56" i="40"/>
  <c r="P56" i="40"/>
  <c r="A56" i="40"/>
  <c r="V55" i="40"/>
  <c r="U55" i="40"/>
  <c r="T55" i="40"/>
  <c r="S55" i="40"/>
  <c r="R55" i="40"/>
  <c r="Q55" i="40"/>
  <c r="P55" i="40"/>
  <c r="A55" i="40"/>
  <c r="V54" i="40"/>
  <c r="U54" i="40"/>
  <c r="T54" i="40"/>
  <c r="S54" i="40"/>
  <c r="R54" i="40"/>
  <c r="Q54" i="40"/>
  <c r="P54" i="40"/>
  <c r="E54" i="40"/>
  <c r="D54" i="40"/>
  <c r="C54" i="40"/>
  <c r="A54" i="40"/>
  <c r="V53" i="40"/>
  <c r="U53" i="40"/>
  <c r="T53" i="40"/>
  <c r="S53" i="40"/>
  <c r="R53" i="40"/>
  <c r="Q53" i="40"/>
  <c r="P53" i="40"/>
  <c r="L53" i="40"/>
  <c r="K53" i="40"/>
  <c r="J53" i="40"/>
  <c r="I53" i="40"/>
  <c r="H53" i="40"/>
  <c r="G53" i="40"/>
  <c r="F53" i="40"/>
  <c r="E53" i="40"/>
  <c r="D53" i="40"/>
  <c r="C53" i="40"/>
  <c r="A53" i="40"/>
  <c r="V52" i="40"/>
  <c r="U52" i="40"/>
  <c r="T52" i="40"/>
  <c r="S52" i="40"/>
  <c r="R52" i="40"/>
  <c r="Q52" i="40"/>
  <c r="P52" i="40"/>
  <c r="L52" i="40"/>
  <c r="K52" i="40"/>
  <c r="J52" i="40"/>
  <c r="I52" i="40"/>
  <c r="H52" i="40"/>
  <c r="G52" i="40"/>
  <c r="F52" i="40"/>
  <c r="E52" i="40"/>
  <c r="D52" i="40"/>
  <c r="C52" i="40"/>
  <c r="A52" i="40"/>
  <c r="V51" i="40"/>
  <c r="U51" i="40"/>
  <c r="T51" i="40"/>
  <c r="S51" i="40"/>
  <c r="R51" i="40"/>
  <c r="Q51" i="40"/>
  <c r="P51" i="40"/>
  <c r="A51" i="40"/>
  <c r="V50" i="40"/>
  <c r="U50" i="40"/>
  <c r="T50" i="40"/>
  <c r="S50" i="40"/>
  <c r="R50" i="40"/>
  <c r="Q50" i="40"/>
  <c r="P50" i="40"/>
  <c r="A50" i="40"/>
  <c r="V49" i="40"/>
  <c r="U49" i="40"/>
  <c r="T49" i="40"/>
  <c r="S49" i="40"/>
  <c r="R49" i="40"/>
  <c r="Q49" i="40"/>
  <c r="P49" i="40"/>
  <c r="A49" i="40"/>
  <c r="V48" i="40"/>
  <c r="U48" i="40"/>
  <c r="T48" i="40"/>
  <c r="S48" i="40"/>
  <c r="R48" i="40"/>
  <c r="Q48" i="40"/>
  <c r="P48" i="40"/>
  <c r="A48" i="40"/>
  <c r="V47" i="40"/>
  <c r="U47" i="40"/>
  <c r="T47" i="40"/>
  <c r="S47" i="40"/>
  <c r="R47" i="40"/>
  <c r="Q47" i="40"/>
  <c r="P47" i="40"/>
  <c r="A47" i="40"/>
  <c r="V46" i="40"/>
  <c r="U46" i="40"/>
  <c r="T46" i="40"/>
  <c r="S46" i="40"/>
  <c r="R46" i="40"/>
  <c r="Q46" i="40"/>
  <c r="P46" i="40"/>
  <c r="A46" i="40"/>
  <c r="V45" i="40"/>
  <c r="U45" i="40"/>
  <c r="T45" i="40"/>
  <c r="S45" i="40"/>
  <c r="R45" i="40"/>
  <c r="Q45" i="40"/>
  <c r="P45" i="40"/>
  <c r="A45" i="40"/>
  <c r="V44" i="40"/>
  <c r="U44" i="40"/>
  <c r="T44" i="40"/>
  <c r="S44" i="40"/>
  <c r="R44" i="40"/>
  <c r="Q44" i="40"/>
  <c r="P44" i="40"/>
  <c r="A44" i="40"/>
  <c r="V43" i="40"/>
  <c r="U43" i="40"/>
  <c r="T43" i="40"/>
  <c r="S43" i="40"/>
  <c r="R43" i="40"/>
  <c r="Q43" i="40"/>
  <c r="P43" i="40"/>
  <c r="L43" i="40"/>
  <c r="K43" i="40"/>
  <c r="J43" i="40"/>
  <c r="F43" i="40"/>
  <c r="E43" i="40"/>
  <c r="D43" i="40"/>
  <c r="C43" i="40"/>
  <c r="A43" i="40"/>
  <c r="V42" i="40"/>
  <c r="U42" i="40"/>
  <c r="T42" i="40"/>
  <c r="S42" i="40"/>
  <c r="R42" i="40"/>
  <c r="Q42" i="40"/>
  <c r="P42" i="40"/>
  <c r="L42" i="40"/>
  <c r="K42" i="40"/>
  <c r="J42" i="40"/>
  <c r="I42" i="40"/>
  <c r="H42" i="40"/>
  <c r="G42" i="40"/>
  <c r="F42" i="40"/>
  <c r="E42" i="40"/>
  <c r="D42" i="40"/>
  <c r="C42" i="40"/>
  <c r="A42" i="40"/>
  <c r="V41" i="40"/>
  <c r="U41" i="40"/>
  <c r="T41" i="40"/>
  <c r="S41" i="40"/>
  <c r="R41" i="40"/>
  <c r="Q41" i="40"/>
  <c r="P41" i="40"/>
  <c r="L41" i="40"/>
  <c r="K41" i="40"/>
  <c r="J41" i="40"/>
  <c r="I41" i="40"/>
  <c r="H41" i="40"/>
  <c r="G41" i="40"/>
  <c r="F41" i="40"/>
  <c r="E41" i="40"/>
  <c r="D41" i="40"/>
  <c r="C41" i="40"/>
  <c r="A41" i="40"/>
  <c r="V40" i="40"/>
  <c r="U40" i="40"/>
  <c r="T40" i="40"/>
  <c r="S40" i="40"/>
  <c r="R40" i="40"/>
  <c r="Q40" i="40"/>
  <c r="P40" i="40"/>
  <c r="A40" i="40"/>
  <c r="V39" i="40"/>
  <c r="U39" i="40"/>
  <c r="T39" i="40"/>
  <c r="S39" i="40"/>
  <c r="R39" i="40"/>
  <c r="Q39" i="40"/>
  <c r="P39" i="40"/>
  <c r="L39" i="40"/>
  <c r="K39" i="40"/>
  <c r="J39" i="40"/>
  <c r="I39" i="40"/>
  <c r="H39" i="40"/>
  <c r="G39" i="40"/>
  <c r="F39" i="40"/>
  <c r="E39" i="40"/>
  <c r="D39" i="40"/>
  <c r="C39" i="40"/>
  <c r="A39" i="40"/>
  <c r="V38" i="40"/>
  <c r="U38" i="40"/>
  <c r="T38" i="40"/>
  <c r="S38" i="40"/>
  <c r="R38" i="40"/>
  <c r="Q38" i="40"/>
  <c r="P38" i="40"/>
  <c r="A38" i="40"/>
  <c r="V37" i="40"/>
  <c r="U37" i="40"/>
  <c r="T37" i="40"/>
  <c r="S37" i="40"/>
  <c r="R37" i="40"/>
  <c r="Q37" i="40"/>
  <c r="P37" i="40"/>
  <c r="L37" i="40"/>
  <c r="K37" i="40"/>
  <c r="J37" i="40"/>
  <c r="I37" i="40"/>
  <c r="H37" i="40"/>
  <c r="G37" i="40"/>
  <c r="F37" i="40"/>
  <c r="E37" i="40"/>
  <c r="D37" i="40"/>
  <c r="C37" i="40"/>
  <c r="A37" i="40"/>
  <c r="V36" i="40"/>
  <c r="U36" i="40"/>
  <c r="T36" i="40"/>
  <c r="S36" i="40"/>
  <c r="R36" i="40"/>
  <c r="Q36" i="40"/>
  <c r="P36" i="40"/>
  <c r="F36" i="40"/>
  <c r="E36" i="40"/>
  <c r="D36" i="40"/>
  <c r="C36" i="40"/>
  <c r="A36" i="40"/>
  <c r="V35" i="40"/>
  <c r="U35" i="40"/>
  <c r="T35" i="40"/>
  <c r="S35" i="40"/>
  <c r="R35" i="40"/>
  <c r="Q35" i="40"/>
  <c r="P35" i="40"/>
  <c r="F35" i="40"/>
  <c r="A35" i="40"/>
  <c r="V34" i="40"/>
  <c r="U34" i="40"/>
  <c r="T34" i="40"/>
  <c r="S34" i="40"/>
  <c r="R34" i="40"/>
  <c r="Q34" i="40"/>
  <c r="P34" i="40"/>
  <c r="L34" i="40"/>
  <c r="K34" i="40"/>
  <c r="J34" i="40"/>
  <c r="I34" i="40"/>
  <c r="H34" i="40"/>
  <c r="G34" i="40"/>
  <c r="F34" i="40"/>
  <c r="E34" i="40"/>
  <c r="D34" i="40"/>
  <c r="C34" i="40"/>
  <c r="A34" i="40"/>
  <c r="V33" i="40"/>
  <c r="U33" i="40"/>
  <c r="T33" i="40"/>
  <c r="S33" i="40"/>
  <c r="R33" i="40"/>
  <c r="Q33" i="40"/>
  <c r="P33" i="40"/>
  <c r="L33" i="40"/>
  <c r="K33" i="40"/>
  <c r="J33" i="40"/>
  <c r="I33" i="40"/>
  <c r="H33" i="40"/>
  <c r="G33" i="40"/>
  <c r="F33" i="40"/>
  <c r="T32" i="40"/>
  <c r="S32" i="40"/>
  <c r="V31" i="40"/>
  <c r="U31" i="40"/>
  <c r="T31" i="40"/>
  <c r="S31" i="40"/>
  <c r="R31" i="40"/>
  <c r="Q31" i="40"/>
  <c r="P31" i="40"/>
  <c r="O31" i="40"/>
  <c r="N31" i="40"/>
  <c r="M31" i="40"/>
  <c r="J20" i="40"/>
  <c r="I20" i="40"/>
  <c r="H20" i="40"/>
  <c r="G20" i="40"/>
  <c r="J19" i="40"/>
  <c r="I19" i="40"/>
  <c r="H19" i="40"/>
  <c r="G19" i="40"/>
  <c r="J18" i="40"/>
  <c r="I18" i="40"/>
  <c r="H18" i="40"/>
  <c r="G18" i="40"/>
  <c r="J17" i="40"/>
  <c r="I17" i="40"/>
  <c r="H17" i="40"/>
  <c r="G17" i="40"/>
  <c r="J16" i="40"/>
  <c r="I16" i="40"/>
  <c r="H16" i="40"/>
  <c r="G16" i="40"/>
  <c r="J15" i="40"/>
  <c r="I15" i="40"/>
  <c r="H15" i="40"/>
  <c r="G15" i="40"/>
  <c r="J14" i="40"/>
  <c r="I14" i="40"/>
  <c r="H14" i="40"/>
  <c r="G14" i="40"/>
  <c r="J13" i="40"/>
  <c r="H13" i="40"/>
  <c r="G13" i="40"/>
  <c r="J12" i="40"/>
  <c r="H12" i="40"/>
  <c r="G12" i="40"/>
  <c r="J11" i="40"/>
  <c r="H11" i="40"/>
  <c r="G11" i="40"/>
  <c r="E7" i="40"/>
  <c r="B7" i="40"/>
  <c r="I13" i="40" s="1"/>
  <c r="E33" i="40" s="1"/>
  <c r="I130" i="62"/>
  <c r="H130" i="62"/>
  <c r="G130" i="62"/>
  <c r="F130" i="62"/>
  <c r="E130" i="62"/>
  <c r="J129" i="62"/>
  <c r="I129" i="62"/>
  <c r="H129" i="62"/>
  <c r="E129" i="62"/>
  <c r="J128" i="62"/>
  <c r="I128" i="62"/>
  <c r="H128" i="62"/>
  <c r="E128" i="62"/>
  <c r="J127" i="62"/>
  <c r="I127" i="62"/>
  <c r="H127" i="62"/>
  <c r="E127" i="62"/>
  <c r="I124" i="62"/>
  <c r="H124" i="62"/>
  <c r="G124" i="62"/>
  <c r="F124" i="62"/>
  <c r="E124" i="62"/>
  <c r="J123" i="62"/>
  <c r="I123" i="62"/>
  <c r="H123" i="62"/>
  <c r="E123" i="62"/>
  <c r="J122" i="62"/>
  <c r="I122" i="62"/>
  <c r="H122" i="62"/>
  <c r="E122" i="62"/>
  <c r="J121" i="62"/>
  <c r="I121" i="62"/>
  <c r="H121" i="62"/>
  <c r="E121" i="62"/>
  <c r="C113" i="62"/>
  <c r="V103" i="62"/>
  <c r="U103" i="62"/>
  <c r="T103" i="62"/>
  <c r="S103" i="62"/>
  <c r="R103" i="62"/>
  <c r="Q103" i="62"/>
  <c r="P103" i="62"/>
  <c r="F103" i="62"/>
  <c r="C103" i="62"/>
  <c r="A103" i="62"/>
  <c r="V102" i="62"/>
  <c r="U102" i="62"/>
  <c r="T102" i="62"/>
  <c r="S102" i="62"/>
  <c r="R102" i="62"/>
  <c r="Q102" i="62"/>
  <c r="P102" i="62"/>
  <c r="F102" i="62"/>
  <c r="C102" i="62"/>
  <c r="A102" i="62"/>
  <c r="V101" i="62"/>
  <c r="U101" i="62"/>
  <c r="T101" i="62"/>
  <c r="S101" i="62"/>
  <c r="R101" i="62"/>
  <c r="Q101" i="62"/>
  <c r="P101" i="62"/>
  <c r="A101" i="62"/>
  <c r="V100" i="62"/>
  <c r="U100" i="62"/>
  <c r="T100" i="62"/>
  <c r="S100" i="62"/>
  <c r="R100" i="62"/>
  <c r="Q100" i="62"/>
  <c r="P100" i="62"/>
  <c r="A100" i="62"/>
  <c r="V99" i="62"/>
  <c r="U99" i="62"/>
  <c r="T99" i="62"/>
  <c r="S99" i="62"/>
  <c r="R99" i="62"/>
  <c r="Q99" i="62"/>
  <c r="P99" i="62"/>
  <c r="A99" i="62"/>
  <c r="V98" i="62"/>
  <c r="U98" i="62"/>
  <c r="T98" i="62"/>
  <c r="S98" i="62"/>
  <c r="R98" i="62"/>
  <c r="Q98" i="62"/>
  <c r="P98" i="62"/>
  <c r="A98" i="62"/>
  <c r="V97" i="62"/>
  <c r="U97" i="62"/>
  <c r="T97" i="62"/>
  <c r="S97" i="62"/>
  <c r="R97" i="62"/>
  <c r="Q97" i="62"/>
  <c r="P97" i="62"/>
  <c r="A97" i="62"/>
  <c r="V96" i="62"/>
  <c r="U96" i="62"/>
  <c r="T96" i="62"/>
  <c r="S96" i="62"/>
  <c r="R96" i="62"/>
  <c r="Q96" i="62"/>
  <c r="P96" i="62"/>
  <c r="A96" i="62"/>
  <c r="V95" i="62"/>
  <c r="U95" i="62"/>
  <c r="T95" i="62"/>
  <c r="S95" i="62"/>
  <c r="R95" i="62"/>
  <c r="Q95" i="62"/>
  <c r="P95" i="62"/>
  <c r="A95" i="62"/>
  <c r="V94" i="62"/>
  <c r="U94" i="62"/>
  <c r="T94" i="62"/>
  <c r="S94" i="62"/>
  <c r="R94" i="62"/>
  <c r="Q94" i="62"/>
  <c r="P94" i="62"/>
  <c r="A94" i="62"/>
  <c r="V93" i="62"/>
  <c r="U93" i="62"/>
  <c r="T93" i="62"/>
  <c r="S93" i="62"/>
  <c r="R93" i="62"/>
  <c r="Q93" i="62"/>
  <c r="P93" i="62"/>
  <c r="A93" i="62"/>
  <c r="V92" i="62"/>
  <c r="U92" i="62"/>
  <c r="T92" i="62"/>
  <c r="S92" i="62"/>
  <c r="R92" i="62"/>
  <c r="Q92" i="62"/>
  <c r="P92" i="62"/>
  <c r="A92" i="62"/>
  <c r="V91" i="62"/>
  <c r="U91" i="62"/>
  <c r="T91" i="62"/>
  <c r="S91" i="62"/>
  <c r="R91" i="62"/>
  <c r="Q91" i="62"/>
  <c r="P91" i="62"/>
  <c r="A91" i="62"/>
  <c r="V90" i="62"/>
  <c r="U90" i="62"/>
  <c r="T90" i="62"/>
  <c r="S90" i="62"/>
  <c r="R90" i="62"/>
  <c r="Q90" i="62"/>
  <c r="P90" i="62"/>
  <c r="A90" i="62"/>
  <c r="V89" i="62"/>
  <c r="U89" i="62"/>
  <c r="T89" i="62"/>
  <c r="S89" i="62"/>
  <c r="R89" i="62"/>
  <c r="Q89" i="62"/>
  <c r="P89" i="62"/>
  <c r="A89" i="62"/>
  <c r="V88" i="62"/>
  <c r="U88" i="62"/>
  <c r="T88" i="62"/>
  <c r="S88" i="62"/>
  <c r="R88" i="62"/>
  <c r="Q88" i="62"/>
  <c r="P88" i="62"/>
  <c r="A88" i="62"/>
  <c r="V87" i="62"/>
  <c r="U87" i="62"/>
  <c r="T87" i="62"/>
  <c r="S87" i="62"/>
  <c r="R87" i="62"/>
  <c r="Q87" i="62"/>
  <c r="P87" i="62"/>
  <c r="A87" i="62"/>
  <c r="V86" i="62"/>
  <c r="U86" i="62"/>
  <c r="T86" i="62"/>
  <c r="S86" i="62"/>
  <c r="R86" i="62"/>
  <c r="Q86" i="62"/>
  <c r="P86" i="62"/>
  <c r="A86" i="62"/>
  <c r="V85" i="62"/>
  <c r="U85" i="62"/>
  <c r="T85" i="62"/>
  <c r="S85" i="62"/>
  <c r="R85" i="62"/>
  <c r="Q85" i="62"/>
  <c r="P85" i="62"/>
  <c r="A85" i="62"/>
  <c r="V84" i="62"/>
  <c r="U84" i="62"/>
  <c r="T84" i="62"/>
  <c r="S84" i="62"/>
  <c r="R84" i="62"/>
  <c r="Q84" i="62"/>
  <c r="P84" i="62"/>
  <c r="A84" i="62"/>
  <c r="V83" i="62"/>
  <c r="U83" i="62"/>
  <c r="T83" i="62"/>
  <c r="S83" i="62"/>
  <c r="R83" i="62"/>
  <c r="Q83" i="62"/>
  <c r="P83" i="62"/>
  <c r="A83" i="62"/>
  <c r="V82" i="62"/>
  <c r="U82" i="62"/>
  <c r="T82" i="62"/>
  <c r="S82" i="62"/>
  <c r="R82" i="62"/>
  <c r="Q82" i="62"/>
  <c r="P82" i="62"/>
  <c r="L82" i="62"/>
  <c r="K82" i="62"/>
  <c r="J82" i="62"/>
  <c r="I82" i="62"/>
  <c r="H82" i="62"/>
  <c r="G82" i="62"/>
  <c r="F82" i="62"/>
  <c r="A82" i="62"/>
  <c r="V81" i="62"/>
  <c r="U81" i="62"/>
  <c r="T81" i="62"/>
  <c r="S81" i="62"/>
  <c r="R81" i="62"/>
  <c r="Q81" i="62"/>
  <c r="P81" i="62"/>
  <c r="A81" i="62"/>
  <c r="V80" i="62"/>
  <c r="U80" i="62"/>
  <c r="T80" i="62"/>
  <c r="S80" i="62"/>
  <c r="R80" i="62"/>
  <c r="Q80" i="62"/>
  <c r="P80" i="62"/>
  <c r="A80" i="62"/>
  <c r="V79" i="62"/>
  <c r="U79" i="62"/>
  <c r="T79" i="62"/>
  <c r="S79" i="62"/>
  <c r="R79" i="62"/>
  <c r="Q79" i="62"/>
  <c r="P79" i="62"/>
  <c r="A79" i="62"/>
  <c r="V78" i="62"/>
  <c r="U78" i="62"/>
  <c r="T78" i="62"/>
  <c r="S78" i="62"/>
  <c r="R78" i="62"/>
  <c r="Q78" i="62"/>
  <c r="P78" i="62"/>
  <c r="A78" i="62"/>
  <c r="V77" i="62"/>
  <c r="U77" i="62"/>
  <c r="T77" i="62"/>
  <c r="S77" i="62"/>
  <c r="R77" i="62"/>
  <c r="Q77" i="62"/>
  <c r="P77" i="62"/>
  <c r="A77" i="62"/>
  <c r="V76" i="62"/>
  <c r="U76" i="62"/>
  <c r="T76" i="62"/>
  <c r="S76" i="62"/>
  <c r="R76" i="62"/>
  <c r="Q76" i="62"/>
  <c r="P76" i="62"/>
  <c r="A76" i="62"/>
  <c r="V75" i="62"/>
  <c r="U75" i="62"/>
  <c r="T75" i="62"/>
  <c r="S75" i="62"/>
  <c r="R75" i="62"/>
  <c r="Q75" i="62"/>
  <c r="P75" i="62"/>
  <c r="A75" i="62"/>
  <c r="V74" i="62"/>
  <c r="U74" i="62"/>
  <c r="T74" i="62"/>
  <c r="S74" i="62"/>
  <c r="R74" i="62"/>
  <c r="Q74" i="62"/>
  <c r="P74" i="62"/>
  <c r="A74" i="62"/>
  <c r="V73" i="62"/>
  <c r="U73" i="62"/>
  <c r="T73" i="62"/>
  <c r="S73" i="62"/>
  <c r="R73" i="62"/>
  <c r="Q73" i="62"/>
  <c r="P73" i="62"/>
  <c r="A73" i="62"/>
  <c r="V72" i="62"/>
  <c r="U72" i="62"/>
  <c r="T72" i="62"/>
  <c r="S72" i="62"/>
  <c r="R72" i="62"/>
  <c r="Q72" i="62"/>
  <c r="P72" i="62"/>
  <c r="A72" i="62"/>
  <c r="V71" i="62"/>
  <c r="U71" i="62"/>
  <c r="T71" i="62"/>
  <c r="S71" i="62"/>
  <c r="R71" i="62"/>
  <c r="Q71" i="62"/>
  <c r="P71" i="62"/>
  <c r="L71" i="62"/>
  <c r="K71" i="62"/>
  <c r="J71" i="62"/>
  <c r="I71" i="62"/>
  <c r="H71" i="62"/>
  <c r="G71" i="62"/>
  <c r="F71" i="62"/>
  <c r="E71" i="62"/>
  <c r="D71" i="62"/>
  <c r="C71" i="62"/>
  <c r="A71" i="62"/>
  <c r="V70" i="62"/>
  <c r="U70" i="62"/>
  <c r="T70" i="62"/>
  <c r="S70" i="62"/>
  <c r="R70" i="62"/>
  <c r="Q70" i="62"/>
  <c r="P70" i="62"/>
  <c r="A70" i="62"/>
  <c r="L69" i="62"/>
  <c r="K69" i="62"/>
  <c r="J69" i="62"/>
  <c r="I69" i="62"/>
  <c r="F69" i="62"/>
  <c r="E69" i="62"/>
  <c r="D69" i="62"/>
  <c r="C69" i="62"/>
  <c r="A69" i="62"/>
  <c r="V68" i="62"/>
  <c r="U68" i="62"/>
  <c r="T68" i="62"/>
  <c r="S68" i="62"/>
  <c r="R68" i="62"/>
  <c r="Q68" i="62"/>
  <c r="P68" i="62"/>
  <c r="E68" i="62"/>
  <c r="D68" i="62"/>
  <c r="C68" i="62"/>
  <c r="A68" i="62"/>
  <c r="V67" i="62"/>
  <c r="U67" i="62"/>
  <c r="T67" i="62"/>
  <c r="S67" i="62"/>
  <c r="R67" i="62"/>
  <c r="Q67" i="62"/>
  <c r="P67" i="62"/>
  <c r="A67" i="62"/>
  <c r="V66" i="62"/>
  <c r="U66" i="62"/>
  <c r="T66" i="62"/>
  <c r="S66" i="62"/>
  <c r="R66" i="62"/>
  <c r="Q66" i="62"/>
  <c r="P66" i="62"/>
  <c r="A66" i="62"/>
  <c r="E65" i="62"/>
  <c r="D65" i="62"/>
  <c r="C65" i="62"/>
  <c r="A65" i="62"/>
  <c r="V64" i="62"/>
  <c r="U64" i="62"/>
  <c r="T64" i="62"/>
  <c r="S64" i="62"/>
  <c r="R64" i="62"/>
  <c r="Q64" i="62"/>
  <c r="P64" i="62"/>
  <c r="E64" i="62"/>
  <c r="D64" i="62"/>
  <c r="C64" i="62"/>
  <c r="A64" i="62"/>
  <c r="V63" i="62"/>
  <c r="U63" i="62"/>
  <c r="T63" i="62"/>
  <c r="S63" i="62"/>
  <c r="R63" i="62"/>
  <c r="Q63" i="62"/>
  <c r="P63" i="62"/>
  <c r="A63" i="62"/>
  <c r="V62" i="62"/>
  <c r="U62" i="62"/>
  <c r="T62" i="62"/>
  <c r="S62" i="62"/>
  <c r="R62" i="62"/>
  <c r="Q62" i="62"/>
  <c r="P62" i="62"/>
  <c r="A62" i="62"/>
  <c r="V61" i="62"/>
  <c r="U61" i="62"/>
  <c r="T61" i="62"/>
  <c r="S61" i="62"/>
  <c r="R61" i="62"/>
  <c r="Q61" i="62"/>
  <c r="P61" i="62"/>
  <c r="A61" i="62"/>
  <c r="V60" i="62"/>
  <c r="U60" i="62"/>
  <c r="T60" i="62"/>
  <c r="S60" i="62"/>
  <c r="R60" i="62"/>
  <c r="Q60" i="62"/>
  <c r="P60" i="62"/>
  <c r="A60" i="62"/>
  <c r="V59" i="62"/>
  <c r="U59" i="62"/>
  <c r="T59" i="62"/>
  <c r="S59" i="62"/>
  <c r="R59" i="62"/>
  <c r="Q59" i="62"/>
  <c r="P59" i="62"/>
  <c r="A59" i="62"/>
  <c r="V58" i="62"/>
  <c r="U58" i="62"/>
  <c r="T58" i="62"/>
  <c r="S58" i="62"/>
  <c r="R58" i="62"/>
  <c r="Q58" i="62"/>
  <c r="P58" i="62"/>
  <c r="C58" i="62"/>
  <c r="D58" i="62" s="1"/>
  <c r="E58" i="62" s="1"/>
  <c r="A58" i="62"/>
  <c r="V57" i="62"/>
  <c r="U57" i="62"/>
  <c r="T57" i="62"/>
  <c r="S57" i="62"/>
  <c r="R57" i="62"/>
  <c r="Q57" i="62"/>
  <c r="P57" i="62"/>
  <c r="D57" i="62"/>
  <c r="E57" i="62" s="1"/>
  <c r="C57" i="62"/>
  <c r="A57" i="62"/>
  <c r="V56" i="62"/>
  <c r="U56" i="62"/>
  <c r="T56" i="62"/>
  <c r="S56" i="62"/>
  <c r="R56" i="62"/>
  <c r="Q56" i="62"/>
  <c r="P56" i="62"/>
  <c r="A56" i="62"/>
  <c r="V55" i="62"/>
  <c r="U55" i="62"/>
  <c r="T55" i="62"/>
  <c r="S55" i="62"/>
  <c r="R55" i="62"/>
  <c r="Q55" i="62"/>
  <c r="P55" i="62"/>
  <c r="A55" i="62"/>
  <c r="V54" i="62"/>
  <c r="U54" i="62"/>
  <c r="T54" i="62"/>
  <c r="S54" i="62"/>
  <c r="R54" i="62"/>
  <c r="Q54" i="62"/>
  <c r="P54" i="62"/>
  <c r="E54" i="62"/>
  <c r="D54" i="62"/>
  <c r="C54" i="62"/>
  <c r="A54" i="62"/>
  <c r="V53" i="62"/>
  <c r="U53" i="62"/>
  <c r="T53" i="62"/>
  <c r="S53" i="62"/>
  <c r="R53" i="62"/>
  <c r="Q53" i="62"/>
  <c r="P53" i="62"/>
  <c r="L53" i="62"/>
  <c r="K53" i="62"/>
  <c r="J53" i="62"/>
  <c r="I53" i="62"/>
  <c r="H53" i="62"/>
  <c r="G53" i="62"/>
  <c r="F53" i="62"/>
  <c r="E53" i="62"/>
  <c r="D53" i="62"/>
  <c r="C53" i="62"/>
  <c r="A53" i="62"/>
  <c r="V52" i="62"/>
  <c r="U52" i="62"/>
  <c r="T52" i="62"/>
  <c r="S52" i="62"/>
  <c r="R52" i="62"/>
  <c r="Q52" i="62"/>
  <c r="P52" i="62"/>
  <c r="L52" i="62"/>
  <c r="K52" i="62"/>
  <c r="J52" i="62"/>
  <c r="I52" i="62"/>
  <c r="H52" i="62"/>
  <c r="G52" i="62"/>
  <c r="F52" i="62"/>
  <c r="E52" i="62"/>
  <c r="D52" i="62"/>
  <c r="C52" i="62"/>
  <c r="A52" i="62"/>
  <c r="V51" i="62"/>
  <c r="U51" i="62"/>
  <c r="T51" i="62"/>
  <c r="S51" i="62"/>
  <c r="R51" i="62"/>
  <c r="Q51" i="62"/>
  <c r="P51" i="62"/>
  <c r="A51" i="62"/>
  <c r="V50" i="62"/>
  <c r="U50" i="62"/>
  <c r="T50" i="62"/>
  <c r="S50" i="62"/>
  <c r="R50" i="62"/>
  <c r="Q50" i="62"/>
  <c r="P50" i="62"/>
  <c r="A50" i="62"/>
  <c r="V49" i="62"/>
  <c r="U49" i="62"/>
  <c r="T49" i="62"/>
  <c r="S49" i="62"/>
  <c r="R49" i="62"/>
  <c r="Q49" i="62"/>
  <c r="P49" i="62"/>
  <c r="A49" i="62"/>
  <c r="V48" i="62"/>
  <c r="U48" i="62"/>
  <c r="T48" i="62"/>
  <c r="S48" i="62"/>
  <c r="R48" i="62"/>
  <c r="Q48" i="62"/>
  <c r="P48" i="62"/>
  <c r="A48" i="62"/>
  <c r="V47" i="62"/>
  <c r="U47" i="62"/>
  <c r="T47" i="62"/>
  <c r="S47" i="62"/>
  <c r="R47" i="62"/>
  <c r="Q47" i="62"/>
  <c r="P47" i="62"/>
  <c r="A47" i="62"/>
  <c r="V46" i="62"/>
  <c r="U46" i="62"/>
  <c r="T46" i="62"/>
  <c r="S46" i="62"/>
  <c r="R46" i="62"/>
  <c r="Q46" i="62"/>
  <c r="P46" i="62"/>
  <c r="A46" i="62"/>
  <c r="V45" i="62"/>
  <c r="U45" i="62"/>
  <c r="T45" i="62"/>
  <c r="S45" i="62"/>
  <c r="R45" i="62"/>
  <c r="Q45" i="62"/>
  <c r="P45" i="62"/>
  <c r="A45" i="62"/>
  <c r="V44" i="62"/>
  <c r="U44" i="62"/>
  <c r="T44" i="62"/>
  <c r="S44" i="62"/>
  <c r="R44" i="62"/>
  <c r="Q44" i="62"/>
  <c r="P44" i="62"/>
  <c r="A44" i="62"/>
  <c r="V43" i="62"/>
  <c r="U43" i="62"/>
  <c r="T43" i="62"/>
  <c r="S43" i="62"/>
  <c r="R43" i="62"/>
  <c r="Q43" i="62"/>
  <c r="P43" i="62"/>
  <c r="L43" i="62"/>
  <c r="K43" i="62"/>
  <c r="J43" i="62"/>
  <c r="F43" i="62"/>
  <c r="E43" i="62"/>
  <c r="D43" i="62"/>
  <c r="C43" i="62"/>
  <c r="A43" i="62"/>
  <c r="V42" i="62"/>
  <c r="U42" i="62"/>
  <c r="T42" i="62"/>
  <c r="S42" i="62"/>
  <c r="R42" i="62"/>
  <c r="Q42" i="62"/>
  <c r="P42" i="62"/>
  <c r="L42" i="62"/>
  <c r="K42" i="62"/>
  <c r="J42" i="62"/>
  <c r="I42" i="62"/>
  <c r="H42" i="62"/>
  <c r="G42" i="62"/>
  <c r="F42" i="62"/>
  <c r="E42" i="62"/>
  <c r="D42" i="62"/>
  <c r="C42" i="62"/>
  <c r="A42" i="62"/>
  <c r="V41" i="62"/>
  <c r="U41" i="62"/>
  <c r="T41" i="62"/>
  <c r="S41" i="62"/>
  <c r="R41" i="62"/>
  <c r="Q41" i="62"/>
  <c r="P41" i="62"/>
  <c r="L41" i="62"/>
  <c r="K41" i="62"/>
  <c r="J41" i="62"/>
  <c r="I41" i="62"/>
  <c r="H41" i="62"/>
  <c r="G41" i="62"/>
  <c r="F41" i="62"/>
  <c r="E41" i="62"/>
  <c r="D41" i="62"/>
  <c r="C41" i="62"/>
  <c r="A41" i="62"/>
  <c r="V40" i="62"/>
  <c r="U40" i="62"/>
  <c r="T40" i="62"/>
  <c r="S40" i="62"/>
  <c r="R40" i="62"/>
  <c r="Q40" i="62"/>
  <c r="P40" i="62"/>
  <c r="A40" i="62"/>
  <c r="V39" i="62"/>
  <c r="U39" i="62"/>
  <c r="T39" i="62"/>
  <c r="S39" i="62"/>
  <c r="R39" i="62"/>
  <c r="Q39" i="62"/>
  <c r="P39" i="62"/>
  <c r="L39" i="62"/>
  <c r="K39" i="62"/>
  <c r="J39" i="62"/>
  <c r="I39" i="62"/>
  <c r="H39" i="62"/>
  <c r="G39" i="62"/>
  <c r="F39" i="62"/>
  <c r="E39" i="62"/>
  <c r="D39" i="62"/>
  <c r="C39" i="62"/>
  <c r="A39" i="62"/>
  <c r="V38" i="62"/>
  <c r="U38" i="62"/>
  <c r="T38" i="62"/>
  <c r="S38" i="62"/>
  <c r="R38" i="62"/>
  <c r="Q38" i="62"/>
  <c r="P38" i="62"/>
  <c r="A38" i="62"/>
  <c r="V37" i="62"/>
  <c r="U37" i="62"/>
  <c r="T37" i="62"/>
  <c r="S37" i="62"/>
  <c r="R37" i="62"/>
  <c r="Q37" i="62"/>
  <c r="P37" i="62"/>
  <c r="L37" i="62"/>
  <c r="K37" i="62"/>
  <c r="J37" i="62"/>
  <c r="I37" i="62"/>
  <c r="H37" i="62"/>
  <c r="G37" i="62"/>
  <c r="F37" i="62"/>
  <c r="E37" i="62"/>
  <c r="D37" i="62"/>
  <c r="C37" i="62"/>
  <c r="A37" i="62"/>
  <c r="V36" i="62"/>
  <c r="U36" i="62"/>
  <c r="T36" i="62"/>
  <c r="S36" i="62"/>
  <c r="R36" i="62"/>
  <c r="Q36" i="62"/>
  <c r="P36" i="62"/>
  <c r="F36" i="62"/>
  <c r="E36" i="62"/>
  <c r="D36" i="62"/>
  <c r="C36" i="62"/>
  <c r="A36" i="62"/>
  <c r="V35" i="62"/>
  <c r="U35" i="62"/>
  <c r="T35" i="62"/>
  <c r="S35" i="62"/>
  <c r="R35" i="62"/>
  <c r="Q35" i="62"/>
  <c r="P35" i="62"/>
  <c r="F35" i="62"/>
  <c r="A35" i="62"/>
  <c r="V34" i="62"/>
  <c r="U34" i="62"/>
  <c r="T34" i="62"/>
  <c r="S34" i="62"/>
  <c r="R34" i="62"/>
  <c r="Q34" i="62"/>
  <c r="P34" i="62"/>
  <c r="L34" i="62"/>
  <c r="K34" i="62"/>
  <c r="J34" i="62"/>
  <c r="I34" i="62"/>
  <c r="H34" i="62"/>
  <c r="G34" i="62"/>
  <c r="F34" i="62"/>
  <c r="E34" i="62"/>
  <c r="D34" i="62"/>
  <c r="C34" i="62"/>
  <c r="A34" i="62"/>
  <c r="V33" i="62"/>
  <c r="U33" i="62"/>
  <c r="T33" i="62"/>
  <c r="S33" i="62"/>
  <c r="R33" i="62"/>
  <c r="Q33" i="62"/>
  <c r="P33" i="62"/>
  <c r="L33" i="62"/>
  <c r="K33" i="62"/>
  <c r="J33" i="62"/>
  <c r="I33" i="62"/>
  <c r="H33" i="62"/>
  <c r="G33" i="62"/>
  <c r="F33" i="62"/>
  <c r="T32" i="62"/>
  <c r="S32" i="62"/>
  <c r="V31" i="62"/>
  <c r="U31" i="62"/>
  <c r="T31" i="62"/>
  <c r="S31" i="62"/>
  <c r="R31" i="62"/>
  <c r="Q31" i="62"/>
  <c r="P31" i="62"/>
  <c r="O31" i="62"/>
  <c r="N31" i="62"/>
  <c r="M31" i="62"/>
  <c r="J20" i="62"/>
  <c r="I20" i="62"/>
  <c r="H20" i="62"/>
  <c r="G20" i="62"/>
  <c r="J19" i="62"/>
  <c r="I19" i="62"/>
  <c r="H19" i="62"/>
  <c r="G19" i="62"/>
  <c r="J18" i="62"/>
  <c r="I18" i="62"/>
  <c r="H18" i="62"/>
  <c r="G18" i="62"/>
  <c r="J17" i="62"/>
  <c r="I17" i="62"/>
  <c r="H17" i="62"/>
  <c r="G17" i="62"/>
  <c r="J16" i="62"/>
  <c r="I16" i="62"/>
  <c r="H16" i="62"/>
  <c r="G16" i="62"/>
  <c r="J15" i="62"/>
  <c r="I15" i="62"/>
  <c r="H15" i="62"/>
  <c r="G15" i="62"/>
  <c r="J14" i="62"/>
  <c r="I14" i="62"/>
  <c r="H14" i="62"/>
  <c r="G14" i="62"/>
  <c r="J13" i="62"/>
  <c r="H13" i="62"/>
  <c r="G13" i="62"/>
  <c r="J12" i="62"/>
  <c r="H12" i="62"/>
  <c r="G12" i="62"/>
  <c r="J11" i="62"/>
  <c r="H11" i="62"/>
  <c r="G11" i="62"/>
  <c r="E7" i="62"/>
  <c r="B7" i="62"/>
  <c r="N132" i="63"/>
  <c r="M132" i="63"/>
  <c r="L132" i="63"/>
  <c r="K132" i="63"/>
  <c r="J132" i="63"/>
  <c r="O131" i="63"/>
  <c r="L131" i="63"/>
  <c r="K131" i="63"/>
  <c r="J131" i="63"/>
  <c r="O130" i="63"/>
  <c r="L130" i="63"/>
  <c r="K130" i="63"/>
  <c r="J130" i="63"/>
  <c r="O129" i="63"/>
  <c r="L129" i="63"/>
  <c r="K129" i="63"/>
  <c r="J129" i="63"/>
  <c r="O128" i="63"/>
  <c r="L128" i="63"/>
  <c r="K128" i="63"/>
  <c r="J128" i="63"/>
  <c r="N125" i="63"/>
  <c r="M125" i="63"/>
  <c r="L125" i="63"/>
  <c r="K125" i="63"/>
  <c r="J125" i="63"/>
  <c r="O124" i="63"/>
  <c r="L124" i="63"/>
  <c r="K124" i="63"/>
  <c r="J124" i="63"/>
  <c r="O123" i="63"/>
  <c r="L123" i="63"/>
  <c r="K123" i="63"/>
  <c r="J123" i="63"/>
  <c r="O122" i="63"/>
  <c r="L122" i="63"/>
  <c r="K122" i="63"/>
  <c r="J122" i="63"/>
  <c r="O121" i="63"/>
  <c r="L121" i="63"/>
  <c r="K121" i="63"/>
  <c r="J121" i="63"/>
  <c r="V103" i="63"/>
  <c r="U103" i="63"/>
  <c r="T103" i="63"/>
  <c r="S103" i="63"/>
  <c r="R103" i="63"/>
  <c r="Q103" i="63"/>
  <c r="P103" i="63"/>
  <c r="O103" i="63"/>
  <c r="F103" i="63"/>
  <c r="C103" i="63"/>
  <c r="A103" i="63"/>
  <c r="V102" i="63"/>
  <c r="U102" i="63"/>
  <c r="T102" i="63"/>
  <c r="S102" i="63"/>
  <c r="R102" i="63"/>
  <c r="Q102" i="63"/>
  <c r="P102" i="63"/>
  <c r="O102" i="63"/>
  <c r="F102" i="63"/>
  <c r="C102" i="63"/>
  <c r="A102" i="63"/>
  <c r="V101" i="63"/>
  <c r="U101" i="63"/>
  <c r="T101" i="63"/>
  <c r="S101" i="63"/>
  <c r="R101" i="63"/>
  <c r="Q101" i="63"/>
  <c r="P101" i="63"/>
  <c r="O101" i="63"/>
  <c r="A101" i="63"/>
  <c r="V100" i="63"/>
  <c r="U100" i="63"/>
  <c r="T100" i="63"/>
  <c r="S100" i="63"/>
  <c r="R100" i="63"/>
  <c r="Q100" i="63"/>
  <c r="P100" i="63"/>
  <c r="O100" i="63"/>
  <c r="A100" i="63"/>
  <c r="V99" i="63"/>
  <c r="U99" i="63"/>
  <c r="T99" i="63"/>
  <c r="S99" i="63"/>
  <c r="R99" i="63"/>
  <c r="Q99" i="63"/>
  <c r="P99" i="63"/>
  <c r="O99" i="63"/>
  <c r="A99" i="63"/>
  <c r="V98" i="63"/>
  <c r="U98" i="63"/>
  <c r="T98" i="63"/>
  <c r="S98" i="63"/>
  <c r="R98" i="63"/>
  <c r="Q98" i="63"/>
  <c r="P98" i="63"/>
  <c r="O98" i="63"/>
  <c r="A98" i="63"/>
  <c r="V97" i="63"/>
  <c r="U97" i="63"/>
  <c r="T97" i="63"/>
  <c r="S97" i="63"/>
  <c r="R97" i="63"/>
  <c r="Q97" i="63"/>
  <c r="P97" i="63"/>
  <c r="O97" i="63"/>
  <c r="A97" i="63"/>
  <c r="V96" i="63"/>
  <c r="U96" i="63"/>
  <c r="T96" i="63"/>
  <c r="S96" i="63"/>
  <c r="R96" i="63"/>
  <c r="Q96" i="63"/>
  <c r="P96" i="63"/>
  <c r="O96" i="63"/>
  <c r="A96" i="63"/>
  <c r="V95" i="63"/>
  <c r="U95" i="63"/>
  <c r="T95" i="63"/>
  <c r="S95" i="63"/>
  <c r="R95" i="63"/>
  <c r="Q95" i="63"/>
  <c r="P95" i="63"/>
  <c r="O95" i="63"/>
  <c r="A95" i="63"/>
  <c r="V94" i="63"/>
  <c r="U94" i="63"/>
  <c r="T94" i="63"/>
  <c r="S94" i="63"/>
  <c r="R94" i="63"/>
  <c r="Q94" i="63"/>
  <c r="P94" i="63"/>
  <c r="O94" i="63"/>
  <c r="A94" i="63"/>
  <c r="V93" i="63"/>
  <c r="U93" i="63"/>
  <c r="T93" i="63"/>
  <c r="S93" i="63"/>
  <c r="R93" i="63"/>
  <c r="Q93" i="63"/>
  <c r="P93" i="63"/>
  <c r="O93" i="63"/>
  <c r="A93" i="63"/>
  <c r="V92" i="63"/>
  <c r="U92" i="63"/>
  <c r="T92" i="63"/>
  <c r="S92" i="63"/>
  <c r="R92" i="63"/>
  <c r="Q92" i="63"/>
  <c r="P92" i="63"/>
  <c r="O92" i="63"/>
  <c r="A92" i="63"/>
  <c r="V91" i="63"/>
  <c r="U91" i="63"/>
  <c r="T91" i="63"/>
  <c r="S91" i="63"/>
  <c r="R91" i="63"/>
  <c r="Q91" i="63"/>
  <c r="P91" i="63"/>
  <c r="O91" i="63"/>
  <c r="A91" i="63"/>
  <c r="V90" i="63"/>
  <c r="U90" i="63"/>
  <c r="T90" i="63"/>
  <c r="S90" i="63"/>
  <c r="R90" i="63"/>
  <c r="Q90" i="63"/>
  <c r="P90" i="63"/>
  <c r="O90" i="63"/>
  <c r="A90" i="63"/>
  <c r="V89" i="63"/>
  <c r="U89" i="63"/>
  <c r="T89" i="63"/>
  <c r="S89" i="63"/>
  <c r="R89" i="63"/>
  <c r="Q89" i="63"/>
  <c r="P89" i="63"/>
  <c r="O89" i="63"/>
  <c r="A89" i="63"/>
  <c r="V88" i="63"/>
  <c r="U88" i="63"/>
  <c r="T88" i="63"/>
  <c r="S88" i="63"/>
  <c r="R88" i="63"/>
  <c r="Q88" i="63"/>
  <c r="P88" i="63"/>
  <c r="O88" i="63"/>
  <c r="A88" i="63"/>
  <c r="V87" i="63"/>
  <c r="U87" i="63"/>
  <c r="T87" i="63"/>
  <c r="S87" i="63"/>
  <c r="R87" i="63"/>
  <c r="Q87" i="63"/>
  <c r="P87" i="63"/>
  <c r="O87" i="63"/>
  <c r="A87" i="63"/>
  <c r="V86" i="63"/>
  <c r="U86" i="63"/>
  <c r="T86" i="63"/>
  <c r="S86" i="63"/>
  <c r="R86" i="63"/>
  <c r="Q86" i="63"/>
  <c r="P86" i="63"/>
  <c r="O86" i="63"/>
  <c r="A86" i="63"/>
  <c r="V85" i="63"/>
  <c r="U85" i="63"/>
  <c r="T85" i="63"/>
  <c r="S85" i="63"/>
  <c r="R85" i="63"/>
  <c r="Q85" i="63"/>
  <c r="P85" i="63"/>
  <c r="O85" i="63"/>
  <c r="A85" i="63"/>
  <c r="V84" i="63"/>
  <c r="U84" i="63"/>
  <c r="T84" i="63"/>
  <c r="S84" i="63"/>
  <c r="R84" i="63"/>
  <c r="Q84" i="63"/>
  <c r="P84" i="63"/>
  <c r="O84" i="63"/>
  <c r="A84" i="63"/>
  <c r="V83" i="63"/>
  <c r="U83" i="63"/>
  <c r="T83" i="63"/>
  <c r="S83" i="63"/>
  <c r="R83" i="63"/>
  <c r="Q83" i="63"/>
  <c r="P83" i="63"/>
  <c r="O83" i="63"/>
  <c r="A83" i="63"/>
  <c r="V82" i="63"/>
  <c r="U82" i="63"/>
  <c r="T82" i="63"/>
  <c r="S82" i="63"/>
  <c r="R82" i="63"/>
  <c r="Q82" i="63"/>
  <c r="P82" i="63"/>
  <c r="O82" i="63"/>
  <c r="L82" i="63"/>
  <c r="K82" i="63"/>
  <c r="J82" i="63"/>
  <c r="I82" i="63"/>
  <c r="H82" i="63"/>
  <c r="G82" i="63"/>
  <c r="F82" i="63"/>
  <c r="A82" i="63"/>
  <c r="V81" i="63"/>
  <c r="U81" i="63"/>
  <c r="T81" i="63"/>
  <c r="S81" i="63"/>
  <c r="R81" i="63"/>
  <c r="Q81" i="63"/>
  <c r="P81" i="63"/>
  <c r="O81" i="63"/>
  <c r="A81" i="63"/>
  <c r="V80" i="63"/>
  <c r="U80" i="63"/>
  <c r="T80" i="63"/>
  <c r="S80" i="63"/>
  <c r="R80" i="63"/>
  <c r="Q80" i="63"/>
  <c r="P80" i="63"/>
  <c r="O80" i="63"/>
  <c r="A80" i="63"/>
  <c r="V79" i="63"/>
  <c r="U79" i="63"/>
  <c r="T79" i="63"/>
  <c r="S79" i="63"/>
  <c r="R79" i="63"/>
  <c r="Q79" i="63"/>
  <c r="P79" i="63"/>
  <c r="O79" i="63"/>
  <c r="D79" i="63"/>
  <c r="A79" i="63"/>
  <c r="V78" i="63"/>
  <c r="U78" i="63"/>
  <c r="T78" i="63"/>
  <c r="S78" i="63"/>
  <c r="R78" i="63"/>
  <c r="Q78" i="63"/>
  <c r="P78" i="63"/>
  <c r="O78" i="63"/>
  <c r="D78" i="63"/>
  <c r="A78" i="63"/>
  <c r="V77" i="63"/>
  <c r="U77" i="63"/>
  <c r="T77" i="63"/>
  <c r="S77" i="63"/>
  <c r="R77" i="63"/>
  <c r="Q77" i="63"/>
  <c r="P77" i="63"/>
  <c r="O77" i="63"/>
  <c r="D77" i="63"/>
  <c r="A77" i="63"/>
  <c r="V76" i="63"/>
  <c r="U76" i="63"/>
  <c r="T76" i="63"/>
  <c r="S76" i="63"/>
  <c r="R76" i="63"/>
  <c r="Q76" i="63"/>
  <c r="P76" i="63"/>
  <c r="O76" i="63"/>
  <c r="D76" i="63"/>
  <c r="A76" i="63"/>
  <c r="V75" i="63"/>
  <c r="U75" i="63"/>
  <c r="T75" i="63"/>
  <c r="S75" i="63"/>
  <c r="R75" i="63"/>
  <c r="Q75" i="63"/>
  <c r="P75" i="63"/>
  <c r="O75" i="63"/>
  <c r="A75" i="63"/>
  <c r="V74" i="63"/>
  <c r="U74" i="63"/>
  <c r="T74" i="63"/>
  <c r="S74" i="63"/>
  <c r="R74" i="63"/>
  <c r="Q74" i="63"/>
  <c r="P74" i="63"/>
  <c r="O74" i="63"/>
  <c r="A74" i="63"/>
  <c r="V73" i="63"/>
  <c r="U73" i="63"/>
  <c r="T73" i="63"/>
  <c r="S73" i="63"/>
  <c r="R73" i="63"/>
  <c r="Q73" i="63"/>
  <c r="P73" i="63"/>
  <c r="O73" i="63"/>
  <c r="A73" i="63"/>
  <c r="V72" i="63"/>
  <c r="U72" i="63"/>
  <c r="T72" i="63"/>
  <c r="S72" i="63"/>
  <c r="R72" i="63"/>
  <c r="Q72" i="63"/>
  <c r="P72" i="63"/>
  <c r="O72" i="63"/>
  <c r="A72" i="63"/>
  <c r="V71" i="63"/>
  <c r="U71" i="63"/>
  <c r="T71" i="63"/>
  <c r="S71" i="63"/>
  <c r="R71" i="63"/>
  <c r="Q71" i="63"/>
  <c r="P71" i="63"/>
  <c r="O71" i="63"/>
  <c r="L71" i="63"/>
  <c r="K71" i="63"/>
  <c r="J71" i="63"/>
  <c r="I71" i="63"/>
  <c r="H71" i="63"/>
  <c r="G71" i="63"/>
  <c r="F71" i="63"/>
  <c r="E71" i="63"/>
  <c r="D71" i="63"/>
  <c r="C71" i="63"/>
  <c r="A71" i="63"/>
  <c r="V70" i="63"/>
  <c r="U70" i="63"/>
  <c r="T70" i="63"/>
  <c r="S70" i="63"/>
  <c r="R70" i="63"/>
  <c r="Q70" i="63"/>
  <c r="P70" i="63"/>
  <c r="O70" i="63"/>
  <c r="A70" i="63"/>
  <c r="L69" i="63"/>
  <c r="K69" i="63"/>
  <c r="J69" i="63"/>
  <c r="I69" i="63"/>
  <c r="F69" i="63"/>
  <c r="E69" i="63"/>
  <c r="D69" i="63"/>
  <c r="C69" i="63"/>
  <c r="A69" i="63"/>
  <c r="V68" i="63"/>
  <c r="U68" i="63"/>
  <c r="T68" i="63"/>
  <c r="S68" i="63"/>
  <c r="R68" i="63"/>
  <c r="Q68" i="63"/>
  <c r="P68" i="63"/>
  <c r="O68" i="63"/>
  <c r="D68" i="63"/>
  <c r="C68" i="63"/>
  <c r="A68" i="63"/>
  <c r="V67" i="63"/>
  <c r="U67" i="63"/>
  <c r="T67" i="63"/>
  <c r="S67" i="63"/>
  <c r="R67" i="63"/>
  <c r="Q67" i="63"/>
  <c r="P67" i="63"/>
  <c r="O67" i="63"/>
  <c r="A67" i="63"/>
  <c r="V66" i="63"/>
  <c r="U66" i="63"/>
  <c r="T66" i="63"/>
  <c r="S66" i="63"/>
  <c r="R66" i="63"/>
  <c r="Q66" i="63"/>
  <c r="P66" i="63"/>
  <c r="O66" i="63"/>
  <c r="A66" i="63"/>
  <c r="D65" i="63"/>
  <c r="C65" i="63"/>
  <c r="A65" i="63"/>
  <c r="V64" i="63"/>
  <c r="U64" i="63"/>
  <c r="T64" i="63"/>
  <c r="S64" i="63"/>
  <c r="R64" i="63"/>
  <c r="Q64" i="63"/>
  <c r="P64" i="63"/>
  <c r="O64" i="63"/>
  <c r="D64" i="63"/>
  <c r="C64" i="63"/>
  <c r="A64" i="63"/>
  <c r="V63" i="63"/>
  <c r="U63" i="63"/>
  <c r="T63" i="63"/>
  <c r="S63" i="63"/>
  <c r="R63" i="63"/>
  <c r="Q63" i="63"/>
  <c r="P63" i="63"/>
  <c r="O63" i="63"/>
  <c r="A63" i="63"/>
  <c r="V62" i="63"/>
  <c r="U62" i="63"/>
  <c r="T62" i="63"/>
  <c r="S62" i="63"/>
  <c r="R62" i="63"/>
  <c r="Q62" i="63"/>
  <c r="P62" i="63"/>
  <c r="O62" i="63"/>
  <c r="A62" i="63"/>
  <c r="V61" i="63"/>
  <c r="U61" i="63"/>
  <c r="T61" i="63"/>
  <c r="S61" i="63"/>
  <c r="R61" i="63"/>
  <c r="Q61" i="63"/>
  <c r="P61" i="63"/>
  <c r="O61" i="63"/>
  <c r="A61" i="63"/>
  <c r="V60" i="63"/>
  <c r="U60" i="63"/>
  <c r="T60" i="63"/>
  <c r="S60" i="63"/>
  <c r="R60" i="63"/>
  <c r="Q60" i="63"/>
  <c r="P60" i="63"/>
  <c r="O60" i="63"/>
  <c r="A60" i="63"/>
  <c r="V59" i="63"/>
  <c r="U59" i="63"/>
  <c r="T59" i="63"/>
  <c r="S59" i="63"/>
  <c r="R59" i="63"/>
  <c r="Q59" i="63"/>
  <c r="P59" i="63"/>
  <c r="O59" i="63"/>
  <c r="A59" i="63"/>
  <c r="V58" i="63"/>
  <c r="U58" i="63"/>
  <c r="T58" i="63"/>
  <c r="S58" i="63"/>
  <c r="R58" i="63"/>
  <c r="Q58" i="63"/>
  <c r="P58" i="63"/>
  <c r="O58" i="63"/>
  <c r="D58" i="63"/>
  <c r="C58" i="63"/>
  <c r="A58" i="63"/>
  <c r="V57" i="63"/>
  <c r="U57" i="63"/>
  <c r="T57" i="63"/>
  <c r="S57" i="63"/>
  <c r="R57" i="63"/>
  <c r="Q57" i="63"/>
  <c r="P57" i="63"/>
  <c r="O57" i="63"/>
  <c r="D57" i="63"/>
  <c r="C57" i="63"/>
  <c r="A57" i="63"/>
  <c r="V56" i="63"/>
  <c r="U56" i="63"/>
  <c r="T56" i="63"/>
  <c r="S56" i="63"/>
  <c r="R56" i="63"/>
  <c r="Q56" i="63"/>
  <c r="P56" i="63"/>
  <c r="O56" i="63"/>
  <c r="A56" i="63"/>
  <c r="V55" i="63"/>
  <c r="U55" i="63"/>
  <c r="T55" i="63"/>
  <c r="S55" i="63"/>
  <c r="R55" i="63"/>
  <c r="Q55" i="63"/>
  <c r="P55" i="63"/>
  <c r="O55" i="63"/>
  <c r="A55" i="63"/>
  <c r="V54" i="63"/>
  <c r="U54" i="63"/>
  <c r="T54" i="63"/>
  <c r="S54" i="63"/>
  <c r="R54" i="63"/>
  <c r="Q54" i="63"/>
  <c r="P54" i="63"/>
  <c r="O54" i="63"/>
  <c r="D54" i="63"/>
  <c r="C54" i="63"/>
  <c r="A54" i="63"/>
  <c r="V53" i="63"/>
  <c r="U53" i="63"/>
  <c r="T53" i="63"/>
  <c r="S53" i="63"/>
  <c r="R53" i="63"/>
  <c r="Q53" i="63"/>
  <c r="P53" i="63"/>
  <c r="O53" i="63"/>
  <c r="L53" i="63"/>
  <c r="K53" i="63"/>
  <c r="J53" i="63"/>
  <c r="I53" i="63"/>
  <c r="H53" i="63"/>
  <c r="G53" i="63"/>
  <c r="F53" i="63"/>
  <c r="E53" i="63"/>
  <c r="D53" i="63"/>
  <c r="C53" i="63"/>
  <c r="A53" i="63"/>
  <c r="V52" i="63"/>
  <c r="U52" i="63"/>
  <c r="T52" i="63"/>
  <c r="S52" i="63"/>
  <c r="R52" i="63"/>
  <c r="Q52" i="63"/>
  <c r="P52" i="63"/>
  <c r="O52" i="63"/>
  <c r="L52" i="63"/>
  <c r="K52" i="63"/>
  <c r="J52" i="63"/>
  <c r="I52" i="63"/>
  <c r="H52" i="63"/>
  <c r="G52" i="63"/>
  <c r="F52" i="63"/>
  <c r="E52" i="63"/>
  <c r="D52" i="63"/>
  <c r="C52" i="63"/>
  <c r="A52" i="63"/>
  <c r="V51" i="63"/>
  <c r="U51" i="63"/>
  <c r="T51" i="63"/>
  <c r="S51" i="63"/>
  <c r="R51" i="63"/>
  <c r="Q51" i="63"/>
  <c r="P51" i="63"/>
  <c r="O51" i="63"/>
  <c r="A51" i="63"/>
  <c r="V50" i="63"/>
  <c r="U50" i="63"/>
  <c r="T50" i="63"/>
  <c r="S50" i="63"/>
  <c r="R50" i="63"/>
  <c r="Q50" i="63"/>
  <c r="P50" i="63"/>
  <c r="O50" i="63"/>
  <c r="A50" i="63"/>
  <c r="V49" i="63"/>
  <c r="U49" i="63"/>
  <c r="T49" i="63"/>
  <c r="S49" i="63"/>
  <c r="R49" i="63"/>
  <c r="Q49" i="63"/>
  <c r="P49" i="63"/>
  <c r="O49" i="63"/>
  <c r="A49" i="63"/>
  <c r="V48" i="63"/>
  <c r="U48" i="63"/>
  <c r="T48" i="63"/>
  <c r="S48" i="63"/>
  <c r="R48" i="63"/>
  <c r="Q48" i="63"/>
  <c r="P48" i="63"/>
  <c r="O48" i="63"/>
  <c r="A48" i="63"/>
  <c r="V47" i="63"/>
  <c r="U47" i="63"/>
  <c r="T47" i="63"/>
  <c r="S47" i="63"/>
  <c r="R47" i="63"/>
  <c r="Q47" i="63"/>
  <c r="P47" i="63"/>
  <c r="O47" i="63"/>
  <c r="A47" i="63"/>
  <c r="V46" i="63"/>
  <c r="U46" i="63"/>
  <c r="T46" i="63"/>
  <c r="S46" i="63"/>
  <c r="R46" i="63"/>
  <c r="Q46" i="63"/>
  <c r="P46" i="63"/>
  <c r="O46" i="63"/>
  <c r="A46" i="63"/>
  <c r="V45" i="63"/>
  <c r="U45" i="63"/>
  <c r="T45" i="63"/>
  <c r="S45" i="63"/>
  <c r="R45" i="63"/>
  <c r="Q45" i="63"/>
  <c r="P45" i="63"/>
  <c r="O45" i="63"/>
  <c r="A45" i="63"/>
  <c r="V44" i="63"/>
  <c r="U44" i="63"/>
  <c r="T44" i="63"/>
  <c r="S44" i="63"/>
  <c r="R44" i="63"/>
  <c r="Q44" i="63"/>
  <c r="P44" i="63"/>
  <c r="O44" i="63"/>
  <c r="A44" i="63"/>
  <c r="V43" i="63"/>
  <c r="U43" i="63"/>
  <c r="T43" i="63"/>
  <c r="S43" i="63"/>
  <c r="R43" i="63"/>
  <c r="Q43" i="63"/>
  <c r="P43" i="63"/>
  <c r="O43" i="63"/>
  <c r="L43" i="63"/>
  <c r="K43" i="63"/>
  <c r="J43" i="63"/>
  <c r="D43" i="63"/>
  <c r="C43" i="63"/>
  <c r="A43" i="63"/>
  <c r="V42" i="63"/>
  <c r="U42" i="63"/>
  <c r="T42" i="63"/>
  <c r="S42" i="63"/>
  <c r="R42" i="63"/>
  <c r="Q42" i="63"/>
  <c r="P42" i="63"/>
  <c r="O42" i="63"/>
  <c r="L42" i="63"/>
  <c r="K42" i="63"/>
  <c r="J42" i="63"/>
  <c r="I42" i="63"/>
  <c r="H42" i="63"/>
  <c r="G42" i="63"/>
  <c r="C42" i="63"/>
  <c r="A42" i="63"/>
  <c r="V41" i="63"/>
  <c r="U41" i="63"/>
  <c r="T41" i="63"/>
  <c r="S41" i="63"/>
  <c r="R41" i="63"/>
  <c r="Q41" i="63"/>
  <c r="P41" i="63"/>
  <c r="O41" i="63"/>
  <c r="L41" i="63"/>
  <c r="K41" i="63"/>
  <c r="J41" i="63"/>
  <c r="I41" i="63"/>
  <c r="H41" i="63"/>
  <c r="G41" i="63"/>
  <c r="D41" i="63"/>
  <c r="C41" i="63"/>
  <c r="A41" i="63"/>
  <c r="V40" i="63"/>
  <c r="U40" i="63"/>
  <c r="T40" i="63"/>
  <c r="S40" i="63"/>
  <c r="R40" i="63"/>
  <c r="Q40" i="63"/>
  <c r="P40" i="63"/>
  <c r="O40" i="63"/>
  <c r="A40" i="63"/>
  <c r="V39" i="63"/>
  <c r="U39" i="63"/>
  <c r="T39" i="63"/>
  <c r="S39" i="63"/>
  <c r="R39" i="63"/>
  <c r="Q39" i="63"/>
  <c r="P39" i="63"/>
  <c r="O39" i="63"/>
  <c r="L39" i="63"/>
  <c r="K39" i="63"/>
  <c r="J39" i="63"/>
  <c r="I39" i="63"/>
  <c r="H39" i="63"/>
  <c r="G39" i="63"/>
  <c r="D39" i="63"/>
  <c r="C39" i="63"/>
  <c r="A39" i="63"/>
  <c r="V38" i="63"/>
  <c r="U38" i="63"/>
  <c r="T38" i="63"/>
  <c r="S38" i="63"/>
  <c r="R38" i="63"/>
  <c r="Q38" i="63"/>
  <c r="P38" i="63"/>
  <c r="O38" i="63"/>
  <c r="A38" i="63"/>
  <c r="V37" i="63"/>
  <c r="U37" i="63"/>
  <c r="T37" i="63"/>
  <c r="S37" i="63"/>
  <c r="R37" i="63"/>
  <c r="Q37" i="63"/>
  <c r="P37" i="63"/>
  <c r="O37" i="63"/>
  <c r="L37" i="63"/>
  <c r="K37" i="63"/>
  <c r="J37" i="63"/>
  <c r="I37" i="63"/>
  <c r="H37" i="63"/>
  <c r="G37" i="63"/>
  <c r="F37" i="63"/>
  <c r="E37" i="63"/>
  <c r="D37" i="63"/>
  <c r="C37" i="63"/>
  <c r="A37" i="63"/>
  <c r="V36" i="63"/>
  <c r="U36" i="63"/>
  <c r="T36" i="63"/>
  <c r="S36" i="63"/>
  <c r="R36" i="63"/>
  <c r="Q36" i="63"/>
  <c r="P36" i="63"/>
  <c r="O36" i="63"/>
  <c r="F36" i="63"/>
  <c r="E36" i="63"/>
  <c r="D36" i="63"/>
  <c r="C36" i="63"/>
  <c r="A36" i="63"/>
  <c r="V35" i="63"/>
  <c r="U35" i="63"/>
  <c r="T35" i="63"/>
  <c r="S35" i="63"/>
  <c r="R35" i="63"/>
  <c r="Q35" i="63"/>
  <c r="P35" i="63"/>
  <c r="O35" i="63"/>
  <c r="F35" i="63"/>
  <c r="E35" i="63"/>
  <c r="A35" i="63"/>
  <c r="V34" i="63"/>
  <c r="U34" i="63"/>
  <c r="T34" i="63"/>
  <c r="S34" i="63"/>
  <c r="R34" i="63"/>
  <c r="Q34" i="63"/>
  <c r="P34" i="63"/>
  <c r="O34" i="63"/>
  <c r="L34" i="63"/>
  <c r="K34" i="63"/>
  <c r="J34" i="63"/>
  <c r="I34" i="63"/>
  <c r="H34" i="63"/>
  <c r="G34" i="63"/>
  <c r="F34" i="63"/>
  <c r="E34" i="63"/>
  <c r="D34" i="63"/>
  <c r="C34" i="63"/>
  <c r="A34" i="63"/>
  <c r="V33" i="63"/>
  <c r="U33" i="63"/>
  <c r="T33" i="63"/>
  <c r="S33" i="63"/>
  <c r="R33" i="63"/>
  <c r="Q33" i="63"/>
  <c r="P33" i="63"/>
  <c r="O33" i="63"/>
  <c r="L33" i="63"/>
  <c r="K33" i="63"/>
  <c r="J33" i="63"/>
  <c r="I33" i="63"/>
  <c r="H33" i="63"/>
  <c r="G33" i="63"/>
  <c r="F33" i="63"/>
  <c r="E33" i="63"/>
  <c r="T32" i="63"/>
  <c r="S32" i="63"/>
  <c r="V31" i="63"/>
  <c r="U31" i="63"/>
  <c r="T31" i="63"/>
  <c r="S31" i="63"/>
  <c r="R31" i="63"/>
  <c r="Q31" i="63"/>
  <c r="P31" i="63"/>
  <c r="O31" i="63"/>
  <c r="N31" i="63"/>
  <c r="M31" i="63"/>
  <c r="J20" i="63"/>
  <c r="I20" i="63"/>
  <c r="H20" i="63"/>
  <c r="G20" i="63"/>
  <c r="J19" i="63"/>
  <c r="I19" i="63"/>
  <c r="H19" i="63"/>
  <c r="G19" i="63"/>
  <c r="J18" i="63"/>
  <c r="I18" i="63"/>
  <c r="H18" i="63"/>
  <c r="G18" i="63"/>
  <c r="J17" i="63"/>
  <c r="I17" i="63"/>
  <c r="H17" i="63"/>
  <c r="G17" i="63"/>
  <c r="J16" i="63"/>
  <c r="I16" i="63"/>
  <c r="H16" i="63"/>
  <c r="G16" i="63"/>
  <c r="J15" i="63"/>
  <c r="I15" i="63"/>
  <c r="H15" i="63"/>
  <c r="G15" i="63"/>
  <c r="J14" i="63"/>
  <c r="I14" i="63"/>
  <c r="H14" i="63"/>
  <c r="G14" i="63"/>
  <c r="J13" i="63"/>
  <c r="I13" i="63"/>
  <c r="H13" i="63"/>
  <c r="G13" i="63"/>
  <c r="J12" i="63"/>
  <c r="H12" i="63"/>
  <c r="G12" i="63"/>
  <c r="J11" i="63"/>
  <c r="H11" i="63"/>
  <c r="G11" i="63"/>
  <c r="E7" i="63"/>
  <c r="B7" i="63"/>
  <c r="I12" i="63" s="1"/>
  <c r="D33" i="63" s="1"/>
  <c r="I138" i="19"/>
  <c r="H138" i="19"/>
  <c r="G138" i="19"/>
  <c r="F138" i="19"/>
  <c r="E138" i="19"/>
  <c r="J136" i="19"/>
  <c r="I136" i="19"/>
  <c r="G136" i="19"/>
  <c r="F136" i="19"/>
  <c r="E136" i="19"/>
  <c r="D136" i="19"/>
  <c r="J135" i="19"/>
  <c r="I135" i="19"/>
  <c r="G135" i="19"/>
  <c r="E135" i="19"/>
  <c r="J134" i="19"/>
  <c r="I134" i="19"/>
  <c r="G134" i="19"/>
  <c r="E134" i="19"/>
  <c r="I131" i="19"/>
  <c r="H131" i="19"/>
  <c r="G131" i="19"/>
  <c r="F131" i="19"/>
  <c r="E131" i="19"/>
  <c r="J129" i="19"/>
  <c r="I129" i="19"/>
  <c r="G129" i="19"/>
  <c r="F129" i="19"/>
  <c r="E129" i="19"/>
  <c r="D129" i="19"/>
  <c r="J128" i="19"/>
  <c r="I128" i="19"/>
  <c r="G128" i="19"/>
  <c r="F128" i="19"/>
  <c r="E128" i="19"/>
  <c r="J127" i="19"/>
  <c r="I127" i="19"/>
  <c r="G127" i="19"/>
  <c r="F127" i="19"/>
  <c r="E127" i="19"/>
  <c r="V103" i="19"/>
  <c r="U103" i="19"/>
  <c r="T103" i="19"/>
  <c r="S103" i="19"/>
  <c r="R103" i="19"/>
  <c r="Q103" i="19"/>
  <c r="P103" i="19"/>
  <c r="O103" i="19"/>
  <c r="A103" i="19"/>
  <c r="V102" i="19"/>
  <c r="U102" i="19"/>
  <c r="T102" i="19"/>
  <c r="S102" i="19"/>
  <c r="R102" i="19"/>
  <c r="Q102" i="19"/>
  <c r="P102" i="19"/>
  <c r="O102" i="19"/>
  <c r="A102" i="19"/>
  <c r="V101" i="19"/>
  <c r="U101" i="19"/>
  <c r="T101" i="19"/>
  <c r="S101" i="19"/>
  <c r="R101" i="19"/>
  <c r="Q101" i="19"/>
  <c r="P101" i="19"/>
  <c r="O101" i="19"/>
  <c r="A101" i="19"/>
  <c r="V100" i="19"/>
  <c r="U100" i="19"/>
  <c r="T100" i="19"/>
  <c r="S100" i="19"/>
  <c r="R100" i="19"/>
  <c r="Q100" i="19"/>
  <c r="P100" i="19"/>
  <c r="O100" i="19"/>
  <c r="A100" i="19"/>
  <c r="V99" i="19"/>
  <c r="U99" i="19"/>
  <c r="T99" i="19"/>
  <c r="S99" i="19"/>
  <c r="R99" i="19"/>
  <c r="Q99" i="19"/>
  <c r="P99" i="19"/>
  <c r="O99" i="19"/>
  <c r="A99" i="19"/>
  <c r="V98" i="19"/>
  <c r="U98" i="19"/>
  <c r="T98" i="19"/>
  <c r="S98" i="19"/>
  <c r="R98" i="19"/>
  <c r="Q98" i="19"/>
  <c r="P98" i="19"/>
  <c r="O98" i="19"/>
  <c r="A98" i="19"/>
  <c r="V97" i="19"/>
  <c r="U97" i="19"/>
  <c r="T97" i="19"/>
  <c r="S97" i="19"/>
  <c r="R97" i="19"/>
  <c r="Q97" i="19"/>
  <c r="P97" i="19"/>
  <c r="O97" i="19"/>
  <c r="A97" i="19"/>
  <c r="V96" i="19"/>
  <c r="U96" i="19"/>
  <c r="T96" i="19"/>
  <c r="S96" i="19"/>
  <c r="R96" i="19"/>
  <c r="Q96" i="19"/>
  <c r="P96" i="19"/>
  <c r="O96" i="19"/>
  <c r="A96" i="19"/>
  <c r="V95" i="19"/>
  <c r="U95" i="19"/>
  <c r="T95" i="19"/>
  <c r="S95" i="19"/>
  <c r="R95" i="19"/>
  <c r="Q95" i="19"/>
  <c r="P95" i="19"/>
  <c r="O95" i="19"/>
  <c r="A95" i="19"/>
  <c r="V94" i="19"/>
  <c r="U94" i="19"/>
  <c r="T94" i="19"/>
  <c r="S94" i="19"/>
  <c r="R94" i="19"/>
  <c r="Q94" i="19"/>
  <c r="P94" i="19"/>
  <c r="O94" i="19"/>
  <c r="A94" i="19"/>
  <c r="V93" i="19"/>
  <c r="U93" i="19"/>
  <c r="T93" i="19"/>
  <c r="S93" i="19"/>
  <c r="R93" i="19"/>
  <c r="Q93" i="19"/>
  <c r="P93" i="19"/>
  <c r="O93" i="19"/>
  <c r="A93" i="19"/>
  <c r="V92" i="19"/>
  <c r="U92" i="19"/>
  <c r="T92" i="19"/>
  <c r="S92" i="19"/>
  <c r="R92" i="19"/>
  <c r="Q92" i="19"/>
  <c r="P92" i="19"/>
  <c r="O92" i="19"/>
  <c r="A92" i="19"/>
  <c r="V91" i="19"/>
  <c r="U91" i="19"/>
  <c r="T91" i="19"/>
  <c r="S91" i="19"/>
  <c r="R91" i="19"/>
  <c r="Q91" i="19"/>
  <c r="P91" i="19"/>
  <c r="O91" i="19"/>
  <c r="A91" i="19"/>
  <c r="V90" i="19"/>
  <c r="U90" i="19"/>
  <c r="T90" i="19"/>
  <c r="S90" i="19"/>
  <c r="R90" i="19"/>
  <c r="Q90" i="19"/>
  <c r="P90" i="19"/>
  <c r="O90" i="19"/>
  <c r="A90" i="19"/>
  <c r="V89" i="19"/>
  <c r="U89" i="19"/>
  <c r="T89" i="19"/>
  <c r="S89" i="19"/>
  <c r="R89" i="19"/>
  <c r="Q89" i="19"/>
  <c r="P89" i="19"/>
  <c r="O89" i="19"/>
  <c r="A89" i="19"/>
  <c r="V88" i="19"/>
  <c r="U88" i="19"/>
  <c r="T88" i="19"/>
  <c r="S88" i="19"/>
  <c r="R88" i="19"/>
  <c r="Q88" i="19"/>
  <c r="P88" i="19"/>
  <c r="O88" i="19"/>
  <c r="A88" i="19"/>
  <c r="V87" i="19"/>
  <c r="U87" i="19"/>
  <c r="T87" i="19"/>
  <c r="S87" i="19"/>
  <c r="R87" i="19"/>
  <c r="Q87" i="19"/>
  <c r="P87" i="19"/>
  <c r="O87" i="19"/>
  <c r="A87" i="19"/>
  <c r="V86" i="19"/>
  <c r="U86" i="19"/>
  <c r="T86" i="19"/>
  <c r="S86" i="19"/>
  <c r="R86" i="19"/>
  <c r="Q86" i="19"/>
  <c r="P86" i="19"/>
  <c r="O86" i="19"/>
  <c r="A86" i="19"/>
  <c r="V85" i="19"/>
  <c r="U85" i="19"/>
  <c r="T85" i="19"/>
  <c r="S85" i="19"/>
  <c r="R85" i="19"/>
  <c r="Q85" i="19"/>
  <c r="P85" i="19"/>
  <c r="O85" i="19"/>
  <c r="A85" i="19"/>
  <c r="V84" i="19"/>
  <c r="U84" i="19"/>
  <c r="T84" i="19"/>
  <c r="S84" i="19"/>
  <c r="R84" i="19"/>
  <c r="Q84" i="19"/>
  <c r="P84" i="19"/>
  <c r="O84" i="19"/>
  <c r="A84" i="19"/>
  <c r="V83" i="19"/>
  <c r="U83" i="19"/>
  <c r="T83" i="19"/>
  <c r="S83" i="19"/>
  <c r="R83" i="19"/>
  <c r="Q83" i="19"/>
  <c r="P83" i="19"/>
  <c r="O83" i="19"/>
  <c r="A83" i="19"/>
  <c r="V82" i="19"/>
  <c r="U82" i="19"/>
  <c r="T82" i="19"/>
  <c r="S82" i="19"/>
  <c r="R82" i="19"/>
  <c r="Q82" i="19"/>
  <c r="P82" i="19"/>
  <c r="O82" i="19"/>
  <c r="L82" i="19"/>
  <c r="K82" i="19"/>
  <c r="J82" i="19"/>
  <c r="I82" i="19"/>
  <c r="H82" i="19"/>
  <c r="G82" i="19"/>
  <c r="F82" i="19"/>
  <c r="A82" i="19"/>
  <c r="V81" i="19"/>
  <c r="U81" i="19"/>
  <c r="T81" i="19"/>
  <c r="S81" i="19"/>
  <c r="R81" i="19"/>
  <c r="Q81" i="19"/>
  <c r="P81" i="19"/>
  <c r="O81" i="19"/>
  <c r="A81" i="19"/>
  <c r="V80" i="19"/>
  <c r="U80" i="19"/>
  <c r="T80" i="19"/>
  <c r="S80" i="19"/>
  <c r="R80" i="19"/>
  <c r="Q80" i="19"/>
  <c r="P80" i="19"/>
  <c r="O80" i="19"/>
  <c r="A80" i="19"/>
  <c r="V79" i="19"/>
  <c r="U79" i="19"/>
  <c r="T79" i="19"/>
  <c r="S79" i="19"/>
  <c r="R79" i="19"/>
  <c r="Q79" i="19"/>
  <c r="P79" i="19"/>
  <c r="O79" i="19"/>
  <c r="A79" i="19"/>
  <c r="V78" i="19"/>
  <c r="U78" i="19"/>
  <c r="T78" i="19"/>
  <c r="S78" i="19"/>
  <c r="R78" i="19"/>
  <c r="Q78" i="19"/>
  <c r="P78" i="19"/>
  <c r="O78" i="19"/>
  <c r="A78" i="19"/>
  <c r="V77" i="19"/>
  <c r="U77" i="19"/>
  <c r="T77" i="19"/>
  <c r="S77" i="19"/>
  <c r="R77" i="19"/>
  <c r="Q77" i="19"/>
  <c r="P77" i="19"/>
  <c r="O77" i="19"/>
  <c r="A77" i="19"/>
  <c r="V76" i="19"/>
  <c r="U76" i="19"/>
  <c r="T76" i="19"/>
  <c r="S76" i="19"/>
  <c r="R76" i="19"/>
  <c r="Q76" i="19"/>
  <c r="P76" i="19"/>
  <c r="O76" i="19"/>
  <c r="A76" i="19"/>
  <c r="V75" i="19"/>
  <c r="U75" i="19"/>
  <c r="T75" i="19"/>
  <c r="S75" i="19"/>
  <c r="R75" i="19"/>
  <c r="Q75" i="19"/>
  <c r="P75" i="19"/>
  <c r="O75" i="19"/>
  <c r="A75" i="19"/>
  <c r="V74" i="19"/>
  <c r="U74" i="19"/>
  <c r="T74" i="19"/>
  <c r="S74" i="19"/>
  <c r="R74" i="19"/>
  <c r="Q74" i="19"/>
  <c r="P74" i="19"/>
  <c r="O74" i="19"/>
  <c r="A74" i="19"/>
  <c r="V73" i="19"/>
  <c r="U73" i="19"/>
  <c r="T73" i="19"/>
  <c r="S73" i="19"/>
  <c r="R73" i="19"/>
  <c r="Q73" i="19"/>
  <c r="P73" i="19"/>
  <c r="O73" i="19"/>
  <c r="A73" i="19"/>
  <c r="V72" i="19"/>
  <c r="U72" i="19"/>
  <c r="T72" i="19"/>
  <c r="S72" i="19"/>
  <c r="R72" i="19"/>
  <c r="Q72" i="19"/>
  <c r="P72" i="19"/>
  <c r="O72" i="19"/>
  <c r="A72" i="19"/>
  <c r="V71" i="19"/>
  <c r="U71" i="19"/>
  <c r="T71" i="19"/>
  <c r="S71" i="19"/>
  <c r="R71" i="19"/>
  <c r="Q71" i="19"/>
  <c r="P71" i="19"/>
  <c r="O71" i="19"/>
  <c r="L71" i="19"/>
  <c r="K71" i="19"/>
  <c r="J71" i="19"/>
  <c r="I71" i="19"/>
  <c r="H71" i="19"/>
  <c r="G71" i="19"/>
  <c r="F71" i="19"/>
  <c r="E71" i="19"/>
  <c r="D71" i="19"/>
  <c r="C71" i="19"/>
  <c r="A71" i="19"/>
  <c r="V70" i="19"/>
  <c r="U70" i="19"/>
  <c r="T70" i="19"/>
  <c r="S70" i="19"/>
  <c r="R70" i="19"/>
  <c r="Q70" i="19"/>
  <c r="P70" i="19"/>
  <c r="O70" i="19"/>
  <c r="A70" i="19"/>
  <c r="L69" i="19"/>
  <c r="K69" i="19"/>
  <c r="J69" i="19"/>
  <c r="I69" i="19"/>
  <c r="H69" i="19"/>
  <c r="G69" i="19"/>
  <c r="F69" i="19"/>
  <c r="E69" i="19"/>
  <c r="D69" i="19"/>
  <c r="C69" i="19"/>
  <c r="A69" i="19"/>
  <c r="V68" i="19"/>
  <c r="U68" i="19"/>
  <c r="T68" i="19"/>
  <c r="S68" i="19"/>
  <c r="R68" i="19"/>
  <c r="Q68" i="19"/>
  <c r="P68" i="19"/>
  <c r="O68" i="19"/>
  <c r="D68" i="19"/>
  <c r="C68" i="19"/>
  <c r="A68" i="19"/>
  <c r="V67" i="19"/>
  <c r="U67" i="19"/>
  <c r="T67" i="19"/>
  <c r="S67" i="19"/>
  <c r="R67" i="19"/>
  <c r="Q67" i="19"/>
  <c r="P67" i="19"/>
  <c r="O67" i="19"/>
  <c r="A67" i="19"/>
  <c r="V66" i="19"/>
  <c r="U66" i="19"/>
  <c r="T66" i="19"/>
  <c r="S66" i="19"/>
  <c r="R66" i="19"/>
  <c r="Q66" i="19"/>
  <c r="P66" i="19"/>
  <c r="O66" i="19"/>
  <c r="A66" i="19"/>
  <c r="D65" i="19"/>
  <c r="C65" i="19"/>
  <c r="A65" i="19"/>
  <c r="V64" i="19"/>
  <c r="U64" i="19"/>
  <c r="T64" i="19"/>
  <c r="S64" i="19"/>
  <c r="R64" i="19"/>
  <c r="Q64" i="19"/>
  <c r="P64" i="19"/>
  <c r="O64" i="19"/>
  <c r="D64" i="19"/>
  <c r="C64" i="19"/>
  <c r="A64" i="19"/>
  <c r="V63" i="19"/>
  <c r="U63" i="19"/>
  <c r="T63" i="19"/>
  <c r="S63" i="19"/>
  <c r="R63" i="19"/>
  <c r="Q63" i="19"/>
  <c r="P63" i="19"/>
  <c r="O63" i="19"/>
  <c r="A63" i="19"/>
  <c r="V62" i="19"/>
  <c r="U62" i="19"/>
  <c r="T62" i="19"/>
  <c r="S62" i="19"/>
  <c r="R62" i="19"/>
  <c r="Q62" i="19"/>
  <c r="P62" i="19"/>
  <c r="O62" i="19"/>
  <c r="A62" i="19"/>
  <c r="V61" i="19"/>
  <c r="U61" i="19"/>
  <c r="T61" i="19"/>
  <c r="S61" i="19"/>
  <c r="R61" i="19"/>
  <c r="Q61" i="19"/>
  <c r="P61" i="19"/>
  <c r="O61" i="19"/>
  <c r="A61" i="19"/>
  <c r="V60" i="19"/>
  <c r="U60" i="19"/>
  <c r="T60" i="19"/>
  <c r="S60" i="19"/>
  <c r="R60" i="19"/>
  <c r="Q60" i="19"/>
  <c r="P60" i="19"/>
  <c r="O60" i="19"/>
  <c r="A60" i="19"/>
  <c r="V59" i="19"/>
  <c r="U59" i="19"/>
  <c r="T59" i="19"/>
  <c r="S59" i="19"/>
  <c r="R59" i="19"/>
  <c r="Q59" i="19"/>
  <c r="P59" i="19"/>
  <c r="O59" i="19"/>
  <c r="A59" i="19"/>
  <c r="V58" i="19"/>
  <c r="U58" i="19"/>
  <c r="T58" i="19"/>
  <c r="S58" i="19"/>
  <c r="R58" i="19"/>
  <c r="Q58" i="19"/>
  <c r="P58" i="19"/>
  <c r="O58" i="19"/>
  <c r="D58" i="19"/>
  <c r="C58" i="19"/>
  <c r="A58" i="19"/>
  <c r="V57" i="19"/>
  <c r="U57" i="19"/>
  <c r="T57" i="19"/>
  <c r="S57" i="19"/>
  <c r="R57" i="19"/>
  <c r="Q57" i="19"/>
  <c r="P57" i="19"/>
  <c r="O57" i="19"/>
  <c r="C57" i="19"/>
  <c r="D57" i="19" s="1"/>
  <c r="A57" i="19"/>
  <c r="V56" i="19"/>
  <c r="U56" i="19"/>
  <c r="T56" i="19"/>
  <c r="S56" i="19"/>
  <c r="R56" i="19"/>
  <c r="Q56" i="19"/>
  <c r="P56" i="19"/>
  <c r="O56" i="19"/>
  <c r="A56" i="19"/>
  <c r="V55" i="19"/>
  <c r="U55" i="19"/>
  <c r="T55" i="19"/>
  <c r="S55" i="19"/>
  <c r="R55" i="19"/>
  <c r="Q55" i="19"/>
  <c r="P55" i="19"/>
  <c r="O55" i="19"/>
  <c r="A55" i="19"/>
  <c r="V54" i="19"/>
  <c r="U54" i="19"/>
  <c r="T54" i="19"/>
  <c r="S54" i="19"/>
  <c r="R54" i="19"/>
  <c r="Q54" i="19"/>
  <c r="P54" i="19"/>
  <c r="O54" i="19"/>
  <c r="A54" i="19"/>
  <c r="V53" i="19"/>
  <c r="U53" i="19"/>
  <c r="T53" i="19"/>
  <c r="S53" i="19"/>
  <c r="R53" i="19"/>
  <c r="Q53" i="19"/>
  <c r="P53" i="19"/>
  <c r="O53" i="19"/>
  <c r="L53" i="19"/>
  <c r="K53" i="19"/>
  <c r="J53" i="19"/>
  <c r="I53" i="19"/>
  <c r="H53" i="19"/>
  <c r="G53" i="19"/>
  <c r="F53" i="19"/>
  <c r="E53" i="19"/>
  <c r="D53" i="19"/>
  <c r="C53" i="19"/>
  <c r="A53" i="19"/>
  <c r="V52" i="19"/>
  <c r="U52" i="19"/>
  <c r="T52" i="19"/>
  <c r="S52" i="19"/>
  <c r="R52" i="19"/>
  <c r="Q52" i="19"/>
  <c r="P52" i="19"/>
  <c r="O52" i="19"/>
  <c r="L52" i="19"/>
  <c r="K52" i="19"/>
  <c r="J52" i="19"/>
  <c r="I52" i="19"/>
  <c r="H52" i="19"/>
  <c r="G52" i="19"/>
  <c r="F52" i="19"/>
  <c r="E52" i="19"/>
  <c r="D52" i="19"/>
  <c r="C52" i="19"/>
  <c r="A52" i="19"/>
  <c r="V51" i="19"/>
  <c r="U51" i="19"/>
  <c r="T51" i="19"/>
  <c r="S51" i="19"/>
  <c r="R51" i="19"/>
  <c r="Q51" i="19"/>
  <c r="P51" i="19"/>
  <c r="O51" i="19"/>
  <c r="A51" i="19"/>
  <c r="V50" i="19"/>
  <c r="U50" i="19"/>
  <c r="T50" i="19"/>
  <c r="S50" i="19"/>
  <c r="R50" i="19"/>
  <c r="Q50" i="19"/>
  <c r="P50" i="19"/>
  <c r="O50" i="19"/>
  <c r="A50" i="19"/>
  <c r="V49" i="19"/>
  <c r="U49" i="19"/>
  <c r="T49" i="19"/>
  <c r="S49" i="19"/>
  <c r="R49" i="19"/>
  <c r="Q49" i="19"/>
  <c r="P49" i="19"/>
  <c r="O49" i="19"/>
  <c r="A49" i="19"/>
  <c r="V48" i="19"/>
  <c r="U48" i="19"/>
  <c r="T48" i="19"/>
  <c r="S48" i="19"/>
  <c r="R48" i="19"/>
  <c r="Q48" i="19"/>
  <c r="P48" i="19"/>
  <c r="O48" i="19"/>
  <c r="A48" i="19"/>
  <c r="V47" i="19"/>
  <c r="U47" i="19"/>
  <c r="T47" i="19"/>
  <c r="S47" i="19"/>
  <c r="R47" i="19"/>
  <c r="Q47" i="19"/>
  <c r="P47" i="19"/>
  <c r="O47" i="19"/>
  <c r="A47" i="19"/>
  <c r="V46" i="19"/>
  <c r="U46" i="19"/>
  <c r="T46" i="19"/>
  <c r="S46" i="19"/>
  <c r="R46" i="19"/>
  <c r="Q46" i="19"/>
  <c r="P46" i="19"/>
  <c r="O46" i="19"/>
  <c r="A46" i="19"/>
  <c r="V45" i="19"/>
  <c r="U45" i="19"/>
  <c r="T45" i="19"/>
  <c r="S45" i="19"/>
  <c r="R45" i="19"/>
  <c r="Q45" i="19"/>
  <c r="P45" i="19"/>
  <c r="O45" i="19"/>
  <c r="A45" i="19"/>
  <c r="V44" i="19"/>
  <c r="U44" i="19"/>
  <c r="T44" i="19"/>
  <c r="S44" i="19"/>
  <c r="R44" i="19"/>
  <c r="Q44" i="19"/>
  <c r="P44" i="19"/>
  <c r="O44" i="19"/>
  <c r="A44" i="19"/>
  <c r="V43" i="19"/>
  <c r="U43" i="19"/>
  <c r="T43" i="19"/>
  <c r="S43" i="19"/>
  <c r="R43" i="19"/>
  <c r="Q43" i="19"/>
  <c r="P43" i="19"/>
  <c r="O43" i="19"/>
  <c r="L43" i="19"/>
  <c r="K43" i="19"/>
  <c r="J43" i="19"/>
  <c r="I43" i="19"/>
  <c r="H43" i="19"/>
  <c r="G43" i="19"/>
  <c r="F43" i="19"/>
  <c r="E43" i="19"/>
  <c r="D43" i="19"/>
  <c r="C43" i="19"/>
  <c r="A43" i="19"/>
  <c r="V42" i="19"/>
  <c r="U42" i="19"/>
  <c r="T42" i="19"/>
  <c r="S42" i="19"/>
  <c r="R42" i="19"/>
  <c r="Q42" i="19"/>
  <c r="P42" i="19"/>
  <c r="O42" i="19"/>
  <c r="L42" i="19"/>
  <c r="K42" i="19"/>
  <c r="J42" i="19"/>
  <c r="I42" i="19"/>
  <c r="H42" i="19"/>
  <c r="G42" i="19"/>
  <c r="F42" i="19"/>
  <c r="E42" i="19"/>
  <c r="D42" i="19"/>
  <c r="C42" i="19"/>
  <c r="A42" i="19"/>
  <c r="V41" i="19"/>
  <c r="U41" i="19"/>
  <c r="T41" i="19"/>
  <c r="S41" i="19"/>
  <c r="R41" i="19"/>
  <c r="Q41" i="19"/>
  <c r="P41" i="19"/>
  <c r="O41" i="19"/>
  <c r="L41" i="19"/>
  <c r="K41" i="19"/>
  <c r="J41" i="19"/>
  <c r="I41" i="19"/>
  <c r="H41" i="19"/>
  <c r="G41" i="19"/>
  <c r="F41" i="19"/>
  <c r="E41" i="19"/>
  <c r="D41" i="19"/>
  <c r="C41" i="19"/>
  <c r="A41" i="19"/>
  <c r="V40" i="19"/>
  <c r="U40" i="19"/>
  <c r="T40" i="19"/>
  <c r="S40" i="19"/>
  <c r="R40" i="19"/>
  <c r="Q40" i="19"/>
  <c r="P40" i="19"/>
  <c r="O40" i="19"/>
  <c r="A40" i="19"/>
  <c r="V39" i="19"/>
  <c r="U39" i="19"/>
  <c r="T39" i="19"/>
  <c r="S39" i="19"/>
  <c r="R39" i="19"/>
  <c r="Q39" i="19"/>
  <c r="P39" i="19"/>
  <c r="O39" i="19"/>
  <c r="L39" i="19"/>
  <c r="K39" i="19"/>
  <c r="J39" i="19"/>
  <c r="I39" i="19"/>
  <c r="H39" i="19"/>
  <c r="G39" i="19"/>
  <c r="F39" i="19"/>
  <c r="E39" i="19"/>
  <c r="D39" i="19"/>
  <c r="C39" i="19"/>
  <c r="A39" i="19"/>
  <c r="V38" i="19"/>
  <c r="U38" i="19"/>
  <c r="T38" i="19"/>
  <c r="S38" i="19"/>
  <c r="R38" i="19"/>
  <c r="Q38" i="19"/>
  <c r="P38" i="19"/>
  <c r="O38" i="19"/>
  <c r="A38" i="19"/>
  <c r="V37" i="19"/>
  <c r="U37" i="19"/>
  <c r="T37" i="19"/>
  <c r="S37" i="19"/>
  <c r="R37" i="19"/>
  <c r="Q37" i="19"/>
  <c r="P37" i="19"/>
  <c r="O37" i="19"/>
  <c r="L37" i="19"/>
  <c r="K37" i="19"/>
  <c r="J37" i="19"/>
  <c r="I37" i="19"/>
  <c r="H37" i="19"/>
  <c r="G37" i="19"/>
  <c r="F37" i="19"/>
  <c r="E37" i="19"/>
  <c r="D37" i="19"/>
  <c r="C37" i="19"/>
  <c r="A37" i="19"/>
  <c r="V36" i="19"/>
  <c r="U36" i="19"/>
  <c r="T36" i="19"/>
  <c r="S36" i="19"/>
  <c r="R36" i="19"/>
  <c r="Q36" i="19"/>
  <c r="P36" i="19"/>
  <c r="O36" i="19"/>
  <c r="C36" i="19"/>
  <c r="A36" i="19"/>
  <c r="V35" i="19"/>
  <c r="U35" i="19"/>
  <c r="T35" i="19"/>
  <c r="S35" i="19"/>
  <c r="R35" i="19"/>
  <c r="Q35" i="19"/>
  <c r="P35" i="19"/>
  <c r="O35" i="19"/>
  <c r="A35" i="19"/>
  <c r="V34" i="19"/>
  <c r="U34" i="19"/>
  <c r="T34" i="19"/>
  <c r="S34" i="19"/>
  <c r="R34" i="19"/>
  <c r="Q34" i="19"/>
  <c r="P34" i="19"/>
  <c r="O34" i="19"/>
  <c r="L34" i="19"/>
  <c r="K34" i="19"/>
  <c r="J34" i="19"/>
  <c r="I34" i="19"/>
  <c r="H34" i="19"/>
  <c r="G34" i="19"/>
  <c r="F34" i="19"/>
  <c r="E34" i="19"/>
  <c r="D34" i="19"/>
  <c r="C34" i="19"/>
  <c r="A34" i="19"/>
  <c r="V33" i="19"/>
  <c r="U33" i="19"/>
  <c r="T33" i="19"/>
  <c r="S33" i="19"/>
  <c r="R33" i="19"/>
  <c r="Q33" i="19"/>
  <c r="P33" i="19"/>
  <c r="O33" i="19"/>
  <c r="L33" i="19"/>
  <c r="K33" i="19"/>
  <c r="J33" i="19"/>
  <c r="I33" i="19"/>
  <c r="H33" i="19"/>
  <c r="G33" i="19"/>
  <c r="F33" i="19"/>
  <c r="E33" i="19"/>
  <c r="T32" i="19"/>
  <c r="S32" i="19"/>
  <c r="V31" i="19"/>
  <c r="U31" i="19"/>
  <c r="T31" i="19"/>
  <c r="S31" i="19"/>
  <c r="R31" i="19"/>
  <c r="Q31" i="19"/>
  <c r="P31" i="19"/>
  <c r="O31" i="19"/>
  <c r="N31" i="19"/>
  <c r="M31" i="19"/>
  <c r="J20" i="19"/>
  <c r="I20" i="19"/>
  <c r="H20" i="19"/>
  <c r="G20" i="19"/>
  <c r="J19" i="19"/>
  <c r="I19" i="19"/>
  <c r="H19" i="19"/>
  <c r="G19" i="19"/>
  <c r="J18" i="19"/>
  <c r="I18" i="19"/>
  <c r="H18" i="19"/>
  <c r="G18" i="19"/>
  <c r="J17" i="19"/>
  <c r="I17" i="19"/>
  <c r="H17" i="19"/>
  <c r="G17" i="19"/>
  <c r="J16" i="19"/>
  <c r="I16" i="19"/>
  <c r="H16" i="19"/>
  <c r="G16" i="19"/>
  <c r="J15" i="19"/>
  <c r="I15" i="19"/>
  <c r="H15" i="19"/>
  <c r="G15" i="19"/>
  <c r="J14" i="19"/>
  <c r="I14" i="19"/>
  <c r="H14" i="19"/>
  <c r="G14" i="19"/>
  <c r="J13" i="19"/>
  <c r="I13" i="19"/>
  <c r="H13" i="19"/>
  <c r="G13" i="19"/>
  <c r="J12" i="19"/>
  <c r="H12" i="19"/>
  <c r="G12" i="19"/>
  <c r="J11" i="19"/>
  <c r="H11" i="19"/>
  <c r="G11" i="19"/>
  <c r="E7" i="19"/>
  <c r="B7" i="19"/>
  <c r="I12" i="19" s="1"/>
  <c r="D33" i="19" s="1"/>
  <c r="N33" i="19" s="1"/>
  <c r="N80" i="19" s="1"/>
  <c r="G138" i="12"/>
  <c r="F138" i="12"/>
  <c r="E138" i="12"/>
  <c r="D138" i="12"/>
  <c r="H137" i="12"/>
  <c r="G137" i="12"/>
  <c r="F137" i="12"/>
  <c r="E137" i="12"/>
  <c r="D137" i="12"/>
  <c r="H136" i="12"/>
  <c r="G136" i="12"/>
  <c r="F136" i="12"/>
  <c r="E136" i="12"/>
  <c r="D136" i="12"/>
  <c r="H135" i="12"/>
  <c r="G135" i="12"/>
  <c r="F135" i="12"/>
  <c r="E135" i="12"/>
  <c r="D135" i="12"/>
  <c r="H134" i="12"/>
  <c r="G134" i="12"/>
  <c r="F134" i="12"/>
  <c r="E134" i="12"/>
  <c r="D134" i="12"/>
  <c r="H133" i="12"/>
  <c r="G133" i="12"/>
  <c r="F133" i="12"/>
  <c r="E133" i="12"/>
  <c r="D133" i="12"/>
  <c r="H132" i="12"/>
  <c r="G132" i="12"/>
  <c r="F132" i="12"/>
  <c r="E132" i="12"/>
  <c r="D132" i="12"/>
  <c r="H131" i="12"/>
  <c r="G131" i="12"/>
  <c r="F131" i="12"/>
  <c r="E131" i="12"/>
  <c r="D131" i="12"/>
  <c r="H130" i="12"/>
  <c r="G130" i="12"/>
  <c r="F130" i="12"/>
  <c r="E130" i="12"/>
  <c r="D130" i="12"/>
  <c r="V103" i="12"/>
  <c r="U103" i="12"/>
  <c r="T103" i="12"/>
  <c r="S103" i="12"/>
  <c r="R103" i="12"/>
  <c r="Q103" i="12"/>
  <c r="P103" i="12"/>
  <c r="O103" i="12"/>
  <c r="N103" i="12"/>
  <c r="A103" i="12"/>
  <c r="V102" i="12"/>
  <c r="U102" i="12"/>
  <c r="T102" i="12"/>
  <c r="S102" i="12"/>
  <c r="R102" i="12"/>
  <c r="Q102" i="12"/>
  <c r="P102" i="12"/>
  <c r="O102" i="12"/>
  <c r="N102" i="12"/>
  <c r="A102" i="12"/>
  <c r="V101" i="12"/>
  <c r="U101" i="12"/>
  <c r="T101" i="12"/>
  <c r="S101" i="12"/>
  <c r="R101" i="12"/>
  <c r="Q101" i="12"/>
  <c r="P101" i="12"/>
  <c r="O101" i="12"/>
  <c r="N101" i="12"/>
  <c r="A101" i="12"/>
  <c r="V100" i="12"/>
  <c r="U100" i="12"/>
  <c r="T100" i="12"/>
  <c r="S100" i="12"/>
  <c r="R100" i="12"/>
  <c r="Q100" i="12"/>
  <c r="P100" i="12"/>
  <c r="O100" i="12"/>
  <c r="N100" i="12"/>
  <c r="A100" i="12"/>
  <c r="V99" i="12"/>
  <c r="U99" i="12"/>
  <c r="T99" i="12"/>
  <c r="S99" i="12"/>
  <c r="R99" i="12"/>
  <c r="Q99" i="12"/>
  <c r="P99" i="12"/>
  <c r="O99" i="12"/>
  <c r="N99" i="12"/>
  <c r="A99" i="12"/>
  <c r="V98" i="12"/>
  <c r="U98" i="12"/>
  <c r="T98" i="12"/>
  <c r="S98" i="12"/>
  <c r="R98" i="12"/>
  <c r="Q98" i="12"/>
  <c r="P98" i="12"/>
  <c r="O98" i="12"/>
  <c r="N98" i="12"/>
  <c r="A98" i="12"/>
  <c r="V97" i="12"/>
  <c r="U97" i="12"/>
  <c r="T97" i="12"/>
  <c r="S97" i="12"/>
  <c r="R97" i="12"/>
  <c r="Q97" i="12"/>
  <c r="P97" i="12"/>
  <c r="O97" i="12"/>
  <c r="N97" i="12"/>
  <c r="A97" i="12"/>
  <c r="V96" i="12"/>
  <c r="U96" i="12"/>
  <c r="T96" i="12"/>
  <c r="S96" i="12"/>
  <c r="R96" i="12"/>
  <c r="Q96" i="12"/>
  <c r="P96" i="12"/>
  <c r="O96" i="12"/>
  <c r="N96" i="12"/>
  <c r="A96" i="12"/>
  <c r="V95" i="12"/>
  <c r="U95" i="12"/>
  <c r="T95" i="12"/>
  <c r="S95" i="12"/>
  <c r="R95" i="12"/>
  <c r="Q95" i="12"/>
  <c r="P95" i="12"/>
  <c r="O95" i="12"/>
  <c r="N95" i="12"/>
  <c r="A95" i="12"/>
  <c r="V94" i="12"/>
  <c r="U94" i="12"/>
  <c r="T94" i="12"/>
  <c r="S94" i="12"/>
  <c r="R94" i="12"/>
  <c r="Q94" i="12"/>
  <c r="P94" i="12"/>
  <c r="O94" i="12"/>
  <c r="N94" i="12"/>
  <c r="A94" i="12"/>
  <c r="V93" i="12"/>
  <c r="U93" i="12"/>
  <c r="T93" i="12"/>
  <c r="S93" i="12"/>
  <c r="R93" i="12"/>
  <c r="Q93" i="12"/>
  <c r="P93" i="12"/>
  <c r="O93" i="12"/>
  <c r="N93" i="12"/>
  <c r="A93" i="12"/>
  <c r="V92" i="12"/>
  <c r="U92" i="12"/>
  <c r="T92" i="12"/>
  <c r="S92" i="12"/>
  <c r="R92" i="12"/>
  <c r="Q92" i="12"/>
  <c r="P92" i="12"/>
  <c r="O92" i="12"/>
  <c r="N92" i="12"/>
  <c r="A92" i="12"/>
  <c r="V91" i="12"/>
  <c r="U91" i="12"/>
  <c r="T91" i="12"/>
  <c r="S91" i="12"/>
  <c r="R91" i="12"/>
  <c r="Q91" i="12"/>
  <c r="P91" i="12"/>
  <c r="O91" i="12"/>
  <c r="N91" i="12"/>
  <c r="A91" i="12"/>
  <c r="V90" i="12"/>
  <c r="U90" i="12"/>
  <c r="T90" i="12"/>
  <c r="S90" i="12"/>
  <c r="R90" i="12"/>
  <c r="Q90" i="12"/>
  <c r="P90" i="12"/>
  <c r="O90" i="12"/>
  <c r="N90" i="12"/>
  <c r="A90" i="12"/>
  <c r="V89" i="12"/>
  <c r="U89" i="12"/>
  <c r="T89" i="12"/>
  <c r="S89" i="12"/>
  <c r="R89" i="12"/>
  <c r="Q89" i="12"/>
  <c r="P89" i="12"/>
  <c r="O89" i="12"/>
  <c r="N89" i="12"/>
  <c r="A89" i="12"/>
  <c r="V88" i="12"/>
  <c r="U88" i="12"/>
  <c r="T88" i="12"/>
  <c r="S88" i="12"/>
  <c r="R88" i="12"/>
  <c r="Q88" i="12"/>
  <c r="P88" i="12"/>
  <c r="O88" i="12"/>
  <c r="N88" i="12"/>
  <c r="A88" i="12"/>
  <c r="V87" i="12"/>
  <c r="U87" i="12"/>
  <c r="T87" i="12"/>
  <c r="S87" i="12"/>
  <c r="R87" i="12"/>
  <c r="Q87" i="12"/>
  <c r="P87" i="12"/>
  <c r="O87" i="12"/>
  <c r="N87" i="12"/>
  <c r="A87" i="12"/>
  <c r="V86" i="12"/>
  <c r="U86" i="12"/>
  <c r="T86" i="12"/>
  <c r="S86" i="12"/>
  <c r="R86" i="12"/>
  <c r="Q86" i="12"/>
  <c r="P86" i="12"/>
  <c r="O86" i="12"/>
  <c r="N86" i="12"/>
  <c r="A86" i="12"/>
  <c r="V85" i="12"/>
  <c r="U85" i="12"/>
  <c r="T85" i="12"/>
  <c r="S85" i="12"/>
  <c r="R85" i="12"/>
  <c r="Q85" i="12"/>
  <c r="P85" i="12"/>
  <c r="O85" i="12"/>
  <c r="N85" i="12"/>
  <c r="A85" i="12"/>
  <c r="V84" i="12"/>
  <c r="U84" i="12"/>
  <c r="T84" i="12"/>
  <c r="S84" i="12"/>
  <c r="R84" i="12"/>
  <c r="Q84" i="12"/>
  <c r="P84" i="12"/>
  <c r="O84" i="12"/>
  <c r="N84" i="12"/>
  <c r="A84" i="12"/>
  <c r="V83" i="12"/>
  <c r="U83" i="12"/>
  <c r="T83" i="12"/>
  <c r="S83" i="12"/>
  <c r="R83" i="12"/>
  <c r="Q83" i="12"/>
  <c r="P83" i="12"/>
  <c r="O83" i="12"/>
  <c r="N83" i="12"/>
  <c r="A83" i="12"/>
  <c r="V82" i="12"/>
  <c r="U82" i="12"/>
  <c r="T82" i="12"/>
  <c r="S82" i="12"/>
  <c r="R82" i="12"/>
  <c r="Q82" i="12"/>
  <c r="P82" i="12"/>
  <c r="O82" i="12"/>
  <c r="N82" i="12"/>
  <c r="L82" i="12"/>
  <c r="K82" i="12"/>
  <c r="J82" i="12"/>
  <c r="I82" i="12"/>
  <c r="H82" i="12"/>
  <c r="G82" i="12"/>
  <c r="F82" i="12"/>
  <c r="A82" i="12"/>
  <c r="V81" i="12"/>
  <c r="U81" i="12"/>
  <c r="T81" i="12"/>
  <c r="S81" i="12"/>
  <c r="R81" i="12"/>
  <c r="Q81" i="12"/>
  <c r="P81" i="12"/>
  <c r="O81" i="12"/>
  <c r="N81" i="12"/>
  <c r="A81" i="12"/>
  <c r="V80" i="12"/>
  <c r="U80" i="12"/>
  <c r="T80" i="12"/>
  <c r="S80" i="12"/>
  <c r="R80" i="12"/>
  <c r="Q80" i="12"/>
  <c r="P80" i="12"/>
  <c r="O80" i="12"/>
  <c r="N80" i="12"/>
  <c r="A80" i="12"/>
  <c r="V79" i="12"/>
  <c r="U79" i="12"/>
  <c r="T79" i="12"/>
  <c r="S79" i="12"/>
  <c r="R79" i="12"/>
  <c r="Q79" i="12"/>
  <c r="P79" i="12"/>
  <c r="O79" i="12"/>
  <c r="N79" i="12"/>
  <c r="A79" i="12"/>
  <c r="V78" i="12"/>
  <c r="U78" i="12"/>
  <c r="T78" i="12"/>
  <c r="S78" i="12"/>
  <c r="R78" i="12"/>
  <c r="Q78" i="12"/>
  <c r="P78" i="12"/>
  <c r="O78" i="12"/>
  <c r="N78" i="12"/>
  <c r="A78" i="12"/>
  <c r="V77" i="12"/>
  <c r="U77" i="12"/>
  <c r="T77" i="12"/>
  <c r="S77" i="12"/>
  <c r="R77" i="12"/>
  <c r="Q77" i="12"/>
  <c r="P77" i="12"/>
  <c r="O77" i="12"/>
  <c r="N77" i="12"/>
  <c r="A77" i="12"/>
  <c r="V76" i="12"/>
  <c r="U76" i="12"/>
  <c r="T76" i="12"/>
  <c r="S76" i="12"/>
  <c r="R76" i="12"/>
  <c r="Q76" i="12"/>
  <c r="P76" i="12"/>
  <c r="O76" i="12"/>
  <c r="N76" i="12"/>
  <c r="A76" i="12"/>
  <c r="V75" i="12"/>
  <c r="U75" i="12"/>
  <c r="T75" i="12"/>
  <c r="S75" i="12"/>
  <c r="R75" i="12"/>
  <c r="Q75" i="12"/>
  <c r="P75" i="12"/>
  <c r="O75" i="12"/>
  <c r="N75" i="12"/>
  <c r="A75" i="12"/>
  <c r="V74" i="12"/>
  <c r="U74" i="12"/>
  <c r="T74" i="12"/>
  <c r="S74" i="12"/>
  <c r="R74" i="12"/>
  <c r="Q74" i="12"/>
  <c r="P74" i="12"/>
  <c r="O74" i="12"/>
  <c r="N74" i="12"/>
  <c r="A74" i="12"/>
  <c r="V73" i="12"/>
  <c r="U73" i="12"/>
  <c r="T73" i="12"/>
  <c r="S73" i="12"/>
  <c r="R73" i="12"/>
  <c r="Q73" i="12"/>
  <c r="P73" i="12"/>
  <c r="O73" i="12"/>
  <c r="N73" i="12"/>
  <c r="A73" i="12"/>
  <c r="V72" i="12"/>
  <c r="U72" i="12"/>
  <c r="T72" i="12"/>
  <c r="S72" i="12"/>
  <c r="R72" i="12"/>
  <c r="Q72" i="12"/>
  <c r="P72" i="12"/>
  <c r="O72" i="12"/>
  <c r="N72" i="12"/>
  <c r="A72" i="12"/>
  <c r="V71" i="12"/>
  <c r="U71" i="12"/>
  <c r="T71" i="12"/>
  <c r="S71" i="12"/>
  <c r="R71" i="12"/>
  <c r="Q71" i="12"/>
  <c r="P71" i="12"/>
  <c r="O71" i="12"/>
  <c r="N71" i="12"/>
  <c r="L71" i="12"/>
  <c r="K71" i="12"/>
  <c r="J71" i="12"/>
  <c r="I71" i="12"/>
  <c r="H71" i="12"/>
  <c r="G71" i="12"/>
  <c r="F71" i="12"/>
  <c r="E71" i="12"/>
  <c r="D71" i="12"/>
  <c r="C71" i="12"/>
  <c r="A71" i="12"/>
  <c r="V70" i="12"/>
  <c r="U70" i="12"/>
  <c r="T70" i="12"/>
  <c r="S70" i="12"/>
  <c r="R70" i="12"/>
  <c r="Q70" i="12"/>
  <c r="P70" i="12"/>
  <c r="O70" i="12"/>
  <c r="N70" i="12"/>
  <c r="A70" i="12"/>
  <c r="L69" i="12"/>
  <c r="K69" i="12"/>
  <c r="J69" i="12"/>
  <c r="I69" i="12"/>
  <c r="H69" i="12"/>
  <c r="G69" i="12"/>
  <c r="F69" i="12"/>
  <c r="E69" i="12"/>
  <c r="D69" i="12"/>
  <c r="C69" i="12"/>
  <c r="A69" i="12"/>
  <c r="V68" i="12"/>
  <c r="U68" i="12"/>
  <c r="T68" i="12"/>
  <c r="S68" i="12"/>
  <c r="R68" i="12"/>
  <c r="Q68" i="12"/>
  <c r="P68" i="12"/>
  <c r="O68" i="12"/>
  <c r="N68" i="12"/>
  <c r="C68" i="12"/>
  <c r="A68" i="12"/>
  <c r="V67" i="12"/>
  <c r="U67" i="12"/>
  <c r="T67" i="12"/>
  <c r="S67" i="12"/>
  <c r="R67" i="12"/>
  <c r="Q67" i="12"/>
  <c r="P67" i="12"/>
  <c r="O67" i="12"/>
  <c r="N67" i="12"/>
  <c r="A67" i="12"/>
  <c r="V66" i="12"/>
  <c r="U66" i="12"/>
  <c r="T66" i="12"/>
  <c r="S66" i="12"/>
  <c r="R66" i="12"/>
  <c r="Q66" i="12"/>
  <c r="P66" i="12"/>
  <c r="O66" i="12"/>
  <c r="N66" i="12"/>
  <c r="A66" i="12"/>
  <c r="C65" i="12"/>
  <c r="A65" i="12"/>
  <c r="V64" i="12"/>
  <c r="U64" i="12"/>
  <c r="T64" i="12"/>
  <c r="S64" i="12"/>
  <c r="R64" i="12"/>
  <c r="Q64" i="12"/>
  <c r="P64" i="12"/>
  <c r="O64" i="12"/>
  <c r="N64" i="12"/>
  <c r="C64" i="12"/>
  <c r="A64" i="12"/>
  <c r="V63" i="12"/>
  <c r="U63" i="12"/>
  <c r="T63" i="12"/>
  <c r="S63" i="12"/>
  <c r="R63" i="12"/>
  <c r="Q63" i="12"/>
  <c r="P63" i="12"/>
  <c r="O63" i="12"/>
  <c r="N63" i="12"/>
  <c r="A63" i="12"/>
  <c r="V62" i="12"/>
  <c r="U62" i="12"/>
  <c r="T62" i="12"/>
  <c r="S62" i="12"/>
  <c r="R62" i="12"/>
  <c r="Q62" i="12"/>
  <c r="P62" i="12"/>
  <c r="O62" i="12"/>
  <c r="N62" i="12"/>
  <c r="A62" i="12"/>
  <c r="V61" i="12"/>
  <c r="U61" i="12"/>
  <c r="T61" i="12"/>
  <c r="S61" i="12"/>
  <c r="R61" i="12"/>
  <c r="Q61" i="12"/>
  <c r="P61" i="12"/>
  <c r="O61" i="12"/>
  <c r="N61" i="12"/>
  <c r="A61" i="12"/>
  <c r="V60" i="12"/>
  <c r="U60" i="12"/>
  <c r="T60" i="12"/>
  <c r="S60" i="12"/>
  <c r="R60" i="12"/>
  <c r="Q60" i="12"/>
  <c r="P60" i="12"/>
  <c r="O60" i="12"/>
  <c r="N60" i="12"/>
  <c r="A60" i="12"/>
  <c r="V59" i="12"/>
  <c r="U59" i="12"/>
  <c r="T59" i="12"/>
  <c r="S59" i="12"/>
  <c r="R59" i="12"/>
  <c r="Q59" i="12"/>
  <c r="P59" i="12"/>
  <c r="O59" i="12"/>
  <c r="N59" i="12"/>
  <c r="A59" i="12"/>
  <c r="V58" i="12"/>
  <c r="U58" i="12"/>
  <c r="T58" i="12"/>
  <c r="S58" i="12"/>
  <c r="R58" i="12"/>
  <c r="Q58" i="12"/>
  <c r="P58" i="12"/>
  <c r="O58" i="12"/>
  <c r="N58" i="12"/>
  <c r="C58" i="12"/>
  <c r="A58" i="12"/>
  <c r="V57" i="12"/>
  <c r="U57" i="12"/>
  <c r="T57" i="12"/>
  <c r="S57" i="12"/>
  <c r="R57" i="12"/>
  <c r="Q57" i="12"/>
  <c r="P57" i="12"/>
  <c r="O57" i="12"/>
  <c r="N57" i="12"/>
  <c r="C57" i="12"/>
  <c r="A57" i="12"/>
  <c r="V56" i="12"/>
  <c r="U56" i="12"/>
  <c r="T56" i="12"/>
  <c r="S56" i="12"/>
  <c r="R56" i="12"/>
  <c r="Q56" i="12"/>
  <c r="P56" i="12"/>
  <c r="O56" i="12"/>
  <c r="N56" i="12"/>
  <c r="A56" i="12"/>
  <c r="V55" i="12"/>
  <c r="U55" i="12"/>
  <c r="T55" i="12"/>
  <c r="S55" i="12"/>
  <c r="R55" i="12"/>
  <c r="Q55" i="12"/>
  <c r="P55" i="12"/>
  <c r="O55" i="12"/>
  <c r="N55" i="12"/>
  <c r="A55" i="12"/>
  <c r="V54" i="12"/>
  <c r="U54" i="12"/>
  <c r="T54" i="12"/>
  <c r="S54" i="12"/>
  <c r="R54" i="12"/>
  <c r="Q54" i="12"/>
  <c r="P54" i="12"/>
  <c r="O54" i="12"/>
  <c r="N54" i="12"/>
  <c r="A54" i="12"/>
  <c r="V53" i="12"/>
  <c r="U53" i="12"/>
  <c r="T53" i="12"/>
  <c r="S53" i="12"/>
  <c r="R53" i="12"/>
  <c r="Q53" i="12"/>
  <c r="P53" i="12"/>
  <c r="O53" i="12"/>
  <c r="N53" i="12"/>
  <c r="L53" i="12"/>
  <c r="K53" i="12"/>
  <c r="J53" i="12"/>
  <c r="I53" i="12"/>
  <c r="H53" i="12"/>
  <c r="G53" i="12"/>
  <c r="F53" i="12"/>
  <c r="E53" i="12"/>
  <c r="D53" i="12"/>
  <c r="C53" i="12"/>
  <c r="A53" i="12"/>
  <c r="V52" i="12"/>
  <c r="U52" i="12"/>
  <c r="T52" i="12"/>
  <c r="S52" i="12"/>
  <c r="R52" i="12"/>
  <c r="Q52" i="12"/>
  <c r="P52" i="12"/>
  <c r="O52" i="12"/>
  <c r="N52" i="12"/>
  <c r="L52" i="12"/>
  <c r="K52" i="12"/>
  <c r="J52" i="12"/>
  <c r="I52" i="12"/>
  <c r="H52" i="12"/>
  <c r="G52" i="12"/>
  <c r="F52" i="12"/>
  <c r="E52" i="12"/>
  <c r="D52" i="12"/>
  <c r="C52" i="12"/>
  <c r="A52" i="12"/>
  <c r="V51" i="12"/>
  <c r="U51" i="12"/>
  <c r="T51" i="12"/>
  <c r="S51" i="12"/>
  <c r="R51" i="12"/>
  <c r="Q51" i="12"/>
  <c r="P51" i="12"/>
  <c r="O51" i="12"/>
  <c r="N51" i="12"/>
  <c r="A51" i="12"/>
  <c r="V50" i="12"/>
  <c r="U50" i="12"/>
  <c r="T50" i="12"/>
  <c r="S50" i="12"/>
  <c r="R50" i="12"/>
  <c r="Q50" i="12"/>
  <c r="P50" i="12"/>
  <c r="O50" i="12"/>
  <c r="N50" i="12"/>
  <c r="A50" i="12"/>
  <c r="V49" i="12"/>
  <c r="U49" i="12"/>
  <c r="T49" i="12"/>
  <c r="S49" i="12"/>
  <c r="R49" i="12"/>
  <c r="Q49" i="12"/>
  <c r="P49" i="12"/>
  <c r="O49" i="12"/>
  <c r="N49" i="12"/>
  <c r="A49" i="12"/>
  <c r="V48" i="12"/>
  <c r="U48" i="12"/>
  <c r="T48" i="12"/>
  <c r="S48" i="12"/>
  <c r="R48" i="12"/>
  <c r="Q48" i="12"/>
  <c r="P48" i="12"/>
  <c r="O48" i="12"/>
  <c r="N48" i="12"/>
  <c r="A48" i="12"/>
  <c r="V47" i="12"/>
  <c r="U47" i="12"/>
  <c r="T47" i="12"/>
  <c r="S47" i="12"/>
  <c r="R47" i="12"/>
  <c r="Q47" i="12"/>
  <c r="P47" i="12"/>
  <c r="O47" i="12"/>
  <c r="N47" i="12"/>
  <c r="A47" i="12"/>
  <c r="V46" i="12"/>
  <c r="U46" i="12"/>
  <c r="T46" i="12"/>
  <c r="S46" i="12"/>
  <c r="R46" i="12"/>
  <c r="Q46" i="12"/>
  <c r="P46" i="12"/>
  <c r="O46" i="12"/>
  <c r="N46" i="12"/>
  <c r="A46" i="12"/>
  <c r="V45" i="12"/>
  <c r="U45" i="12"/>
  <c r="T45" i="12"/>
  <c r="S45" i="12"/>
  <c r="R45" i="12"/>
  <c r="Q45" i="12"/>
  <c r="P45" i="12"/>
  <c r="O45" i="12"/>
  <c r="N45" i="12"/>
  <c r="A45" i="12"/>
  <c r="V44" i="12"/>
  <c r="U44" i="12"/>
  <c r="T44" i="12"/>
  <c r="S44" i="12"/>
  <c r="R44" i="12"/>
  <c r="Q44" i="12"/>
  <c r="P44" i="12"/>
  <c r="O44" i="12"/>
  <c r="N44" i="12"/>
  <c r="A44" i="12"/>
  <c r="V43" i="12"/>
  <c r="U43" i="12"/>
  <c r="T43" i="12"/>
  <c r="S43" i="12"/>
  <c r="R43" i="12"/>
  <c r="Q43" i="12"/>
  <c r="P43" i="12"/>
  <c r="O43" i="12"/>
  <c r="N43" i="12"/>
  <c r="L43" i="12"/>
  <c r="K43" i="12"/>
  <c r="J43" i="12"/>
  <c r="I43" i="12"/>
  <c r="H43" i="12"/>
  <c r="G43" i="12"/>
  <c r="F43" i="12"/>
  <c r="E43" i="12"/>
  <c r="D43" i="12"/>
  <c r="C43" i="12"/>
  <c r="A43" i="12"/>
  <c r="V42" i="12"/>
  <c r="U42" i="12"/>
  <c r="T42" i="12"/>
  <c r="S42" i="12"/>
  <c r="R42" i="12"/>
  <c r="Q42" i="12"/>
  <c r="P42" i="12"/>
  <c r="O42" i="12"/>
  <c r="N42" i="12"/>
  <c r="L42" i="12"/>
  <c r="K42" i="12"/>
  <c r="J42" i="12"/>
  <c r="I42" i="12"/>
  <c r="H42" i="12"/>
  <c r="G42" i="12"/>
  <c r="F42" i="12"/>
  <c r="E42" i="12"/>
  <c r="D42" i="12"/>
  <c r="C42" i="12"/>
  <c r="A42" i="12"/>
  <c r="V41" i="12"/>
  <c r="U41" i="12"/>
  <c r="T41" i="12"/>
  <c r="S41" i="12"/>
  <c r="R41" i="12"/>
  <c r="Q41" i="12"/>
  <c r="P41" i="12"/>
  <c r="O41" i="12"/>
  <c r="N41" i="12"/>
  <c r="L41" i="12"/>
  <c r="K41" i="12"/>
  <c r="J41" i="12"/>
  <c r="I41" i="12"/>
  <c r="H41" i="12"/>
  <c r="G41" i="12"/>
  <c r="F41" i="12"/>
  <c r="E41" i="12"/>
  <c r="D41" i="12"/>
  <c r="C41" i="12"/>
  <c r="A41" i="12"/>
  <c r="V40" i="12"/>
  <c r="U40" i="12"/>
  <c r="T40" i="12"/>
  <c r="S40" i="12"/>
  <c r="R40" i="12"/>
  <c r="Q40" i="12"/>
  <c r="P40" i="12"/>
  <c r="O40" i="12"/>
  <c r="N40" i="12"/>
  <c r="A40" i="12"/>
  <c r="V39" i="12"/>
  <c r="U39" i="12"/>
  <c r="T39" i="12"/>
  <c r="S39" i="12"/>
  <c r="R39" i="12"/>
  <c r="Q39" i="12"/>
  <c r="P39" i="12"/>
  <c r="O39" i="12"/>
  <c r="N39" i="12"/>
  <c r="L39" i="12"/>
  <c r="K39" i="12"/>
  <c r="J39" i="12"/>
  <c r="I39" i="12"/>
  <c r="H39" i="12"/>
  <c r="G39" i="12"/>
  <c r="F39" i="12"/>
  <c r="E39" i="12"/>
  <c r="D39" i="12"/>
  <c r="C39" i="12"/>
  <c r="A39" i="12"/>
  <c r="V38" i="12"/>
  <c r="U38" i="12"/>
  <c r="T38" i="12"/>
  <c r="S38" i="12"/>
  <c r="R38" i="12"/>
  <c r="Q38" i="12"/>
  <c r="P38" i="12"/>
  <c r="O38" i="12"/>
  <c r="N38" i="12"/>
  <c r="A38" i="12"/>
  <c r="V37" i="12"/>
  <c r="U37" i="12"/>
  <c r="T37" i="12"/>
  <c r="S37" i="12"/>
  <c r="R37" i="12"/>
  <c r="Q37" i="12"/>
  <c r="P37" i="12"/>
  <c r="O37" i="12"/>
  <c r="N37" i="12"/>
  <c r="L37" i="12"/>
  <c r="K37" i="12"/>
  <c r="J37" i="12"/>
  <c r="I37" i="12"/>
  <c r="H37" i="12"/>
  <c r="G37" i="12"/>
  <c r="F37" i="12"/>
  <c r="E37" i="12"/>
  <c r="D37" i="12"/>
  <c r="C37" i="12"/>
  <c r="A37" i="12"/>
  <c r="V36" i="12"/>
  <c r="U36" i="12"/>
  <c r="T36" i="12"/>
  <c r="S36" i="12"/>
  <c r="R36" i="12"/>
  <c r="Q36" i="12"/>
  <c r="P36" i="12"/>
  <c r="O36" i="12"/>
  <c r="N36" i="12"/>
  <c r="C36" i="12"/>
  <c r="A36" i="12"/>
  <c r="V35" i="12"/>
  <c r="U35" i="12"/>
  <c r="T35" i="12"/>
  <c r="S35" i="12"/>
  <c r="R35" i="12"/>
  <c r="Q35" i="12"/>
  <c r="P35" i="12"/>
  <c r="O35" i="12"/>
  <c r="N35" i="12"/>
  <c r="A35" i="12"/>
  <c r="V34" i="12"/>
  <c r="U34" i="12"/>
  <c r="T34" i="12"/>
  <c r="S34" i="12"/>
  <c r="R34" i="12"/>
  <c r="Q34" i="12"/>
  <c r="P34" i="12"/>
  <c r="O34" i="12"/>
  <c r="N34" i="12"/>
  <c r="L34" i="12"/>
  <c r="K34" i="12"/>
  <c r="J34" i="12"/>
  <c r="I34" i="12"/>
  <c r="H34" i="12"/>
  <c r="G34" i="12"/>
  <c r="F34" i="12"/>
  <c r="E34" i="12"/>
  <c r="D34" i="12"/>
  <c r="C34" i="12"/>
  <c r="A34" i="12"/>
  <c r="V33" i="12"/>
  <c r="U33" i="12"/>
  <c r="T33" i="12"/>
  <c r="S33" i="12"/>
  <c r="R33" i="12"/>
  <c r="Q33" i="12"/>
  <c r="P33" i="12"/>
  <c r="O33" i="12"/>
  <c r="N33" i="12"/>
  <c r="L33" i="12"/>
  <c r="K33" i="12"/>
  <c r="J33" i="12"/>
  <c r="I33" i="12"/>
  <c r="H33" i="12"/>
  <c r="G33" i="12"/>
  <c r="F33" i="12"/>
  <c r="E33" i="12"/>
  <c r="D33" i="12"/>
  <c r="T32" i="12"/>
  <c r="S32" i="12"/>
  <c r="V31" i="12"/>
  <c r="U31" i="12"/>
  <c r="T31" i="12"/>
  <c r="S31" i="12"/>
  <c r="R31" i="12"/>
  <c r="Q31" i="12"/>
  <c r="P31" i="12"/>
  <c r="O31" i="12"/>
  <c r="N31" i="12"/>
  <c r="M31" i="12"/>
  <c r="J20" i="12"/>
  <c r="I20" i="12"/>
  <c r="H20" i="12"/>
  <c r="G20" i="12"/>
  <c r="J19" i="12"/>
  <c r="I19" i="12"/>
  <c r="H19" i="12"/>
  <c r="G19" i="12"/>
  <c r="J18" i="12"/>
  <c r="I18" i="12"/>
  <c r="H18" i="12"/>
  <c r="G18" i="12"/>
  <c r="J17" i="12"/>
  <c r="I17" i="12"/>
  <c r="H17" i="12"/>
  <c r="G17" i="12"/>
  <c r="J16" i="12"/>
  <c r="I16" i="12"/>
  <c r="H16" i="12"/>
  <c r="G16" i="12"/>
  <c r="J15" i="12"/>
  <c r="I15" i="12"/>
  <c r="H15" i="12"/>
  <c r="G15" i="12"/>
  <c r="J14" i="12"/>
  <c r="I14" i="12"/>
  <c r="H14" i="12"/>
  <c r="G14" i="12"/>
  <c r="J13" i="12"/>
  <c r="I13" i="12"/>
  <c r="H13" i="12"/>
  <c r="G13" i="12"/>
  <c r="J12" i="12"/>
  <c r="I12" i="12"/>
  <c r="H12" i="12"/>
  <c r="G12" i="12"/>
  <c r="J11" i="12"/>
  <c r="H11" i="12"/>
  <c r="G11" i="12"/>
  <c r="E7" i="12"/>
  <c r="B7" i="12"/>
  <c r="I11" i="12" s="1"/>
  <c r="C33" i="12" s="1"/>
  <c r="J133" i="25"/>
  <c r="I133" i="25"/>
  <c r="H133" i="25"/>
  <c r="G133" i="25"/>
  <c r="K132" i="25"/>
  <c r="J132" i="25"/>
  <c r="H132" i="25"/>
  <c r="G132" i="25"/>
  <c r="F132" i="25"/>
  <c r="E132" i="25"/>
  <c r="K131" i="25"/>
  <c r="J131" i="25"/>
  <c r="H131" i="25"/>
  <c r="G131" i="25"/>
  <c r="K130" i="25"/>
  <c r="J130" i="25"/>
  <c r="H130" i="25"/>
  <c r="G130" i="25"/>
  <c r="J127" i="25"/>
  <c r="I127" i="25"/>
  <c r="H127" i="25"/>
  <c r="G127" i="25"/>
  <c r="F127" i="25"/>
  <c r="K126" i="25"/>
  <c r="J126" i="25"/>
  <c r="H126" i="25"/>
  <c r="G126" i="25"/>
  <c r="F126" i="25"/>
  <c r="E126" i="25"/>
  <c r="K125" i="25"/>
  <c r="J125" i="25"/>
  <c r="H125" i="25"/>
  <c r="G125" i="25"/>
  <c r="F125" i="25"/>
  <c r="K124" i="25"/>
  <c r="J124" i="25"/>
  <c r="H124" i="25"/>
  <c r="G124" i="25"/>
  <c r="F124" i="25"/>
  <c r="V103" i="25"/>
  <c r="U103" i="25"/>
  <c r="T103" i="25"/>
  <c r="S103" i="25"/>
  <c r="R103" i="25"/>
  <c r="Q103" i="25"/>
  <c r="P103" i="25"/>
  <c r="O103" i="25"/>
  <c r="A103" i="25"/>
  <c r="V102" i="25"/>
  <c r="U102" i="25"/>
  <c r="T102" i="25"/>
  <c r="S102" i="25"/>
  <c r="R102" i="25"/>
  <c r="Q102" i="25"/>
  <c r="P102" i="25"/>
  <c r="O102" i="25"/>
  <c r="A102" i="25"/>
  <c r="V101" i="25"/>
  <c r="U101" i="25"/>
  <c r="T101" i="25"/>
  <c r="S101" i="25"/>
  <c r="R101" i="25"/>
  <c r="Q101" i="25"/>
  <c r="P101" i="25"/>
  <c r="O101" i="25"/>
  <c r="A101" i="25"/>
  <c r="V100" i="25"/>
  <c r="U100" i="25"/>
  <c r="T100" i="25"/>
  <c r="S100" i="25"/>
  <c r="R100" i="25"/>
  <c r="Q100" i="25"/>
  <c r="P100" i="25"/>
  <c r="O100" i="25"/>
  <c r="A100" i="25"/>
  <c r="V99" i="25"/>
  <c r="U99" i="25"/>
  <c r="T99" i="25"/>
  <c r="S99" i="25"/>
  <c r="R99" i="25"/>
  <c r="Q99" i="25"/>
  <c r="P99" i="25"/>
  <c r="O99" i="25"/>
  <c r="A99" i="25"/>
  <c r="V98" i="25"/>
  <c r="U98" i="25"/>
  <c r="T98" i="25"/>
  <c r="S98" i="25"/>
  <c r="R98" i="25"/>
  <c r="Q98" i="25"/>
  <c r="P98" i="25"/>
  <c r="O98" i="25"/>
  <c r="A98" i="25"/>
  <c r="V97" i="25"/>
  <c r="U97" i="25"/>
  <c r="T97" i="25"/>
  <c r="S97" i="25"/>
  <c r="R97" i="25"/>
  <c r="Q97" i="25"/>
  <c r="P97" i="25"/>
  <c r="O97" i="25"/>
  <c r="A97" i="25"/>
  <c r="V96" i="25"/>
  <c r="U96" i="25"/>
  <c r="T96" i="25"/>
  <c r="S96" i="25"/>
  <c r="R96" i="25"/>
  <c r="Q96" i="25"/>
  <c r="P96" i="25"/>
  <c r="O96" i="25"/>
  <c r="A96" i="25"/>
  <c r="V95" i="25"/>
  <c r="U95" i="25"/>
  <c r="T95" i="25"/>
  <c r="S95" i="25"/>
  <c r="R95" i="25"/>
  <c r="Q95" i="25"/>
  <c r="P95" i="25"/>
  <c r="O95" i="25"/>
  <c r="A95" i="25"/>
  <c r="V94" i="25"/>
  <c r="U94" i="25"/>
  <c r="T94" i="25"/>
  <c r="S94" i="25"/>
  <c r="R94" i="25"/>
  <c r="Q94" i="25"/>
  <c r="P94" i="25"/>
  <c r="O94" i="25"/>
  <c r="A94" i="25"/>
  <c r="V93" i="25"/>
  <c r="U93" i="25"/>
  <c r="T93" i="25"/>
  <c r="S93" i="25"/>
  <c r="R93" i="25"/>
  <c r="Q93" i="25"/>
  <c r="P93" i="25"/>
  <c r="O93" i="25"/>
  <c r="A93" i="25"/>
  <c r="V92" i="25"/>
  <c r="U92" i="25"/>
  <c r="T92" i="25"/>
  <c r="S92" i="25"/>
  <c r="R92" i="25"/>
  <c r="Q92" i="25"/>
  <c r="P92" i="25"/>
  <c r="O92" i="25"/>
  <c r="A92" i="25"/>
  <c r="V91" i="25"/>
  <c r="U91" i="25"/>
  <c r="T91" i="25"/>
  <c r="S91" i="25"/>
  <c r="R91" i="25"/>
  <c r="Q91" i="25"/>
  <c r="P91" i="25"/>
  <c r="O91" i="25"/>
  <c r="A91" i="25"/>
  <c r="V90" i="25"/>
  <c r="U90" i="25"/>
  <c r="T90" i="25"/>
  <c r="S90" i="25"/>
  <c r="R90" i="25"/>
  <c r="Q90" i="25"/>
  <c r="P90" i="25"/>
  <c r="O90" i="25"/>
  <c r="A90" i="25"/>
  <c r="V89" i="25"/>
  <c r="U89" i="25"/>
  <c r="T89" i="25"/>
  <c r="S89" i="25"/>
  <c r="R89" i="25"/>
  <c r="Q89" i="25"/>
  <c r="P89" i="25"/>
  <c r="O89" i="25"/>
  <c r="A89" i="25"/>
  <c r="V88" i="25"/>
  <c r="U88" i="25"/>
  <c r="T88" i="25"/>
  <c r="S88" i="25"/>
  <c r="R88" i="25"/>
  <c r="Q88" i="25"/>
  <c r="P88" i="25"/>
  <c r="O88" i="25"/>
  <c r="A88" i="25"/>
  <c r="V87" i="25"/>
  <c r="U87" i="25"/>
  <c r="T87" i="25"/>
  <c r="S87" i="25"/>
  <c r="R87" i="25"/>
  <c r="Q87" i="25"/>
  <c r="P87" i="25"/>
  <c r="O87" i="25"/>
  <c r="A87" i="25"/>
  <c r="V86" i="25"/>
  <c r="U86" i="25"/>
  <c r="T86" i="25"/>
  <c r="S86" i="25"/>
  <c r="R86" i="25"/>
  <c r="Q86" i="25"/>
  <c r="P86" i="25"/>
  <c r="O86" i="25"/>
  <c r="A86" i="25"/>
  <c r="V85" i="25"/>
  <c r="U85" i="25"/>
  <c r="T85" i="25"/>
  <c r="S85" i="25"/>
  <c r="R85" i="25"/>
  <c r="Q85" i="25"/>
  <c r="P85" i="25"/>
  <c r="O85" i="25"/>
  <c r="A85" i="25"/>
  <c r="V84" i="25"/>
  <c r="U84" i="25"/>
  <c r="T84" i="25"/>
  <c r="S84" i="25"/>
  <c r="R84" i="25"/>
  <c r="Q84" i="25"/>
  <c r="P84" i="25"/>
  <c r="O84" i="25"/>
  <c r="A84" i="25"/>
  <c r="V83" i="25"/>
  <c r="U83" i="25"/>
  <c r="T83" i="25"/>
  <c r="S83" i="25"/>
  <c r="R83" i="25"/>
  <c r="Q83" i="25"/>
  <c r="P83" i="25"/>
  <c r="O83" i="25"/>
  <c r="A83" i="25"/>
  <c r="V82" i="25"/>
  <c r="U82" i="25"/>
  <c r="T82" i="25"/>
  <c r="S82" i="25"/>
  <c r="R82" i="25"/>
  <c r="Q82" i="25"/>
  <c r="P82" i="25"/>
  <c r="O82" i="25"/>
  <c r="L82" i="25"/>
  <c r="K82" i="25"/>
  <c r="J82" i="25"/>
  <c r="I82" i="25"/>
  <c r="H82" i="25"/>
  <c r="G82" i="25"/>
  <c r="F82" i="25"/>
  <c r="A82" i="25"/>
  <c r="V81" i="25"/>
  <c r="U81" i="25"/>
  <c r="T81" i="25"/>
  <c r="S81" i="25"/>
  <c r="R81" i="25"/>
  <c r="Q81" i="25"/>
  <c r="P81" i="25"/>
  <c r="O81" i="25"/>
  <c r="A81" i="25"/>
  <c r="V80" i="25"/>
  <c r="U80" i="25"/>
  <c r="T80" i="25"/>
  <c r="S80" i="25"/>
  <c r="R80" i="25"/>
  <c r="Q80" i="25"/>
  <c r="P80" i="25"/>
  <c r="O80" i="25"/>
  <c r="A80" i="25"/>
  <c r="V79" i="25"/>
  <c r="U79" i="25"/>
  <c r="T79" i="25"/>
  <c r="S79" i="25"/>
  <c r="R79" i="25"/>
  <c r="Q79" i="25"/>
  <c r="P79" i="25"/>
  <c r="O79" i="25"/>
  <c r="D79" i="25"/>
  <c r="C79" i="25"/>
  <c r="A79" i="25"/>
  <c r="V78" i="25"/>
  <c r="U78" i="25"/>
  <c r="T78" i="25"/>
  <c r="S78" i="25"/>
  <c r="R78" i="25"/>
  <c r="Q78" i="25"/>
  <c r="P78" i="25"/>
  <c r="O78" i="25"/>
  <c r="D78" i="25"/>
  <c r="C78" i="25"/>
  <c r="A78" i="25"/>
  <c r="V77" i="25"/>
  <c r="U77" i="25"/>
  <c r="T77" i="25"/>
  <c r="S77" i="25"/>
  <c r="R77" i="25"/>
  <c r="Q77" i="25"/>
  <c r="P77" i="25"/>
  <c r="O77" i="25"/>
  <c r="D77" i="25"/>
  <c r="C77" i="25"/>
  <c r="A77" i="25"/>
  <c r="V76" i="25"/>
  <c r="U76" i="25"/>
  <c r="T76" i="25"/>
  <c r="S76" i="25"/>
  <c r="R76" i="25"/>
  <c r="Q76" i="25"/>
  <c r="P76" i="25"/>
  <c r="O76" i="25"/>
  <c r="D76" i="25"/>
  <c r="C76" i="25"/>
  <c r="A76" i="25"/>
  <c r="V75" i="25"/>
  <c r="U75" i="25"/>
  <c r="T75" i="25"/>
  <c r="S75" i="25"/>
  <c r="R75" i="25"/>
  <c r="Q75" i="25"/>
  <c r="P75" i="25"/>
  <c r="O75" i="25"/>
  <c r="A75" i="25"/>
  <c r="V74" i="25"/>
  <c r="U74" i="25"/>
  <c r="T74" i="25"/>
  <c r="S74" i="25"/>
  <c r="R74" i="25"/>
  <c r="Q74" i="25"/>
  <c r="P74" i="25"/>
  <c r="O74" i="25"/>
  <c r="A74" i="25"/>
  <c r="V73" i="25"/>
  <c r="U73" i="25"/>
  <c r="T73" i="25"/>
  <c r="S73" i="25"/>
  <c r="R73" i="25"/>
  <c r="Q73" i="25"/>
  <c r="P73" i="25"/>
  <c r="O73" i="25"/>
  <c r="A73" i="25"/>
  <c r="V72" i="25"/>
  <c r="U72" i="25"/>
  <c r="T72" i="25"/>
  <c r="S72" i="25"/>
  <c r="R72" i="25"/>
  <c r="Q72" i="25"/>
  <c r="P72" i="25"/>
  <c r="O72" i="25"/>
  <c r="A72" i="25"/>
  <c r="V71" i="25"/>
  <c r="U71" i="25"/>
  <c r="T71" i="25"/>
  <c r="S71" i="25"/>
  <c r="R71" i="25"/>
  <c r="Q71" i="25"/>
  <c r="P71" i="25"/>
  <c r="O71" i="25"/>
  <c r="L71" i="25"/>
  <c r="K71" i="25"/>
  <c r="J71" i="25"/>
  <c r="I71" i="25"/>
  <c r="H71" i="25"/>
  <c r="G71" i="25"/>
  <c r="F71" i="25"/>
  <c r="E71" i="25"/>
  <c r="D71" i="25"/>
  <c r="C71" i="25"/>
  <c r="A71" i="25"/>
  <c r="V70" i="25"/>
  <c r="U70" i="25"/>
  <c r="T70" i="25"/>
  <c r="S70" i="25"/>
  <c r="R70" i="25"/>
  <c r="Q70" i="25"/>
  <c r="P70" i="25"/>
  <c r="O70" i="25"/>
  <c r="A70" i="25"/>
  <c r="L69" i="25"/>
  <c r="K69" i="25"/>
  <c r="J69" i="25"/>
  <c r="I69" i="25"/>
  <c r="H69" i="25"/>
  <c r="G69" i="25"/>
  <c r="F69" i="25"/>
  <c r="E69" i="25"/>
  <c r="D69" i="25"/>
  <c r="C69" i="25"/>
  <c r="A69" i="25"/>
  <c r="V68" i="25"/>
  <c r="U68" i="25"/>
  <c r="T68" i="25"/>
  <c r="S68" i="25"/>
  <c r="R68" i="25"/>
  <c r="Q68" i="25"/>
  <c r="P68" i="25"/>
  <c r="O68" i="25"/>
  <c r="D68" i="25"/>
  <c r="C68" i="25"/>
  <c r="A68" i="25"/>
  <c r="V67" i="25"/>
  <c r="U67" i="25"/>
  <c r="T67" i="25"/>
  <c r="S67" i="25"/>
  <c r="R67" i="25"/>
  <c r="Q67" i="25"/>
  <c r="P67" i="25"/>
  <c r="O67" i="25"/>
  <c r="A67" i="25"/>
  <c r="V66" i="25"/>
  <c r="U66" i="25"/>
  <c r="T66" i="25"/>
  <c r="S66" i="25"/>
  <c r="R66" i="25"/>
  <c r="Q66" i="25"/>
  <c r="P66" i="25"/>
  <c r="O66" i="25"/>
  <c r="A66" i="25"/>
  <c r="D65" i="25"/>
  <c r="C65" i="25"/>
  <c r="A65" i="25"/>
  <c r="V64" i="25"/>
  <c r="U64" i="25"/>
  <c r="T64" i="25"/>
  <c r="S64" i="25"/>
  <c r="R64" i="25"/>
  <c r="Q64" i="25"/>
  <c r="P64" i="25"/>
  <c r="O64" i="25"/>
  <c r="D64" i="25"/>
  <c r="C64" i="25"/>
  <c r="A64" i="25"/>
  <c r="V63" i="25"/>
  <c r="U63" i="25"/>
  <c r="T63" i="25"/>
  <c r="S63" i="25"/>
  <c r="R63" i="25"/>
  <c r="Q63" i="25"/>
  <c r="P63" i="25"/>
  <c r="O63" i="25"/>
  <c r="A63" i="25"/>
  <c r="V62" i="25"/>
  <c r="U62" i="25"/>
  <c r="T62" i="25"/>
  <c r="S62" i="25"/>
  <c r="R62" i="25"/>
  <c r="Q62" i="25"/>
  <c r="P62" i="25"/>
  <c r="O62" i="25"/>
  <c r="A62" i="25"/>
  <c r="V61" i="25"/>
  <c r="U61" i="25"/>
  <c r="T61" i="25"/>
  <c r="S61" i="25"/>
  <c r="R61" i="25"/>
  <c r="Q61" i="25"/>
  <c r="P61" i="25"/>
  <c r="O61" i="25"/>
  <c r="A61" i="25"/>
  <c r="V60" i="25"/>
  <c r="U60" i="25"/>
  <c r="T60" i="25"/>
  <c r="S60" i="25"/>
  <c r="R60" i="25"/>
  <c r="Q60" i="25"/>
  <c r="P60" i="25"/>
  <c r="O60" i="25"/>
  <c r="A60" i="25"/>
  <c r="V59" i="25"/>
  <c r="U59" i="25"/>
  <c r="T59" i="25"/>
  <c r="S59" i="25"/>
  <c r="R59" i="25"/>
  <c r="Q59" i="25"/>
  <c r="P59" i="25"/>
  <c r="O59" i="25"/>
  <c r="A59" i="25"/>
  <c r="V58" i="25"/>
  <c r="U58" i="25"/>
  <c r="T58" i="25"/>
  <c r="S58" i="25"/>
  <c r="R58" i="25"/>
  <c r="Q58" i="25"/>
  <c r="P58" i="25"/>
  <c r="O58" i="25"/>
  <c r="C58" i="25"/>
  <c r="D58" i="25" s="1"/>
  <c r="A58" i="25"/>
  <c r="V57" i="25"/>
  <c r="U57" i="25"/>
  <c r="T57" i="25"/>
  <c r="S57" i="25"/>
  <c r="R57" i="25"/>
  <c r="Q57" i="25"/>
  <c r="P57" i="25"/>
  <c r="O57" i="25"/>
  <c r="D57" i="25"/>
  <c r="C57" i="25"/>
  <c r="A57" i="25"/>
  <c r="V56" i="25"/>
  <c r="U56" i="25"/>
  <c r="T56" i="25"/>
  <c r="S56" i="25"/>
  <c r="R56" i="25"/>
  <c r="Q56" i="25"/>
  <c r="P56" i="25"/>
  <c r="O56" i="25"/>
  <c r="A56" i="25"/>
  <c r="V55" i="25"/>
  <c r="U55" i="25"/>
  <c r="T55" i="25"/>
  <c r="S55" i="25"/>
  <c r="R55" i="25"/>
  <c r="Q55" i="25"/>
  <c r="P55" i="25"/>
  <c r="O55" i="25"/>
  <c r="A55" i="25"/>
  <c r="V54" i="25"/>
  <c r="U54" i="25"/>
  <c r="T54" i="25"/>
  <c r="S54" i="25"/>
  <c r="R54" i="25"/>
  <c r="Q54" i="25"/>
  <c r="P54" i="25"/>
  <c r="O54" i="25"/>
  <c r="D54" i="25"/>
  <c r="C54" i="25"/>
  <c r="A54" i="25"/>
  <c r="V53" i="25"/>
  <c r="U53" i="25"/>
  <c r="T53" i="25"/>
  <c r="S53" i="25"/>
  <c r="R53" i="25"/>
  <c r="Q53" i="25"/>
  <c r="P53" i="25"/>
  <c r="O53" i="25"/>
  <c r="L53" i="25"/>
  <c r="K53" i="25"/>
  <c r="J53" i="25"/>
  <c r="I53" i="25"/>
  <c r="H53" i="25"/>
  <c r="G53" i="25"/>
  <c r="F53" i="25"/>
  <c r="E53" i="25"/>
  <c r="D53" i="25"/>
  <c r="C53" i="25"/>
  <c r="A53" i="25"/>
  <c r="V52" i="25"/>
  <c r="U52" i="25"/>
  <c r="T52" i="25"/>
  <c r="S52" i="25"/>
  <c r="R52" i="25"/>
  <c r="Q52" i="25"/>
  <c r="P52" i="25"/>
  <c r="O52" i="25"/>
  <c r="L52" i="25"/>
  <c r="K52" i="25"/>
  <c r="J52" i="25"/>
  <c r="I52" i="25"/>
  <c r="H52" i="25"/>
  <c r="G52" i="25"/>
  <c r="F52" i="25"/>
  <c r="E52" i="25"/>
  <c r="D52" i="25"/>
  <c r="C52" i="25"/>
  <c r="A52" i="25"/>
  <c r="V51" i="25"/>
  <c r="U51" i="25"/>
  <c r="T51" i="25"/>
  <c r="S51" i="25"/>
  <c r="R51" i="25"/>
  <c r="Q51" i="25"/>
  <c r="P51" i="25"/>
  <c r="O51" i="25"/>
  <c r="A51" i="25"/>
  <c r="V50" i="25"/>
  <c r="U50" i="25"/>
  <c r="T50" i="25"/>
  <c r="S50" i="25"/>
  <c r="R50" i="25"/>
  <c r="Q50" i="25"/>
  <c r="P50" i="25"/>
  <c r="O50" i="25"/>
  <c r="A50" i="25"/>
  <c r="V49" i="25"/>
  <c r="U49" i="25"/>
  <c r="T49" i="25"/>
  <c r="S49" i="25"/>
  <c r="R49" i="25"/>
  <c r="Q49" i="25"/>
  <c r="P49" i="25"/>
  <c r="O49" i="25"/>
  <c r="A49" i="25"/>
  <c r="V48" i="25"/>
  <c r="U48" i="25"/>
  <c r="T48" i="25"/>
  <c r="S48" i="25"/>
  <c r="R48" i="25"/>
  <c r="Q48" i="25"/>
  <c r="P48" i="25"/>
  <c r="O48" i="25"/>
  <c r="A48" i="25"/>
  <c r="V47" i="25"/>
  <c r="U47" i="25"/>
  <c r="T47" i="25"/>
  <c r="S47" i="25"/>
  <c r="R47" i="25"/>
  <c r="Q47" i="25"/>
  <c r="P47" i="25"/>
  <c r="O47" i="25"/>
  <c r="A47" i="25"/>
  <c r="V46" i="25"/>
  <c r="U46" i="25"/>
  <c r="T46" i="25"/>
  <c r="S46" i="25"/>
  <c r="R46" i="25"/>
  <c r="Q46" i="25"/>
  <c r="P46" i="25"/>
  <c r="O46" i="25"/>
  <c r="A46" i="25"/>
  <c r="V45" i="25"/>
  <c r="U45" i="25"/>
  <c r="T45" i="25"/>
  <c r="S45" i="25"/>
  <c r="R45" i="25"/>
  <c r="Q45" i="25"/>
  <c r="P45" i="25"/>
  <c r="O45" i="25"/>
  <c r="A45" i="25"/>
  <c r="V44" i="25"/>
  <c r="U44" i="25"/>
  <c r="T44" i="25"/>
  <c r="S44" i="25"/>
  <c r="R44" i="25"/>
  <c r="Q44" i="25"/>
  <c r="P44" i="25"/>
  <c r="O44" i="25"/>
  <c r="A44" i="25"/>
  <c r="V43" i="25"/>
  <c r="U43" i="25"/>
  <c r="T43" i="25"/>
  <c r="S43" i="25"/>
  <c r="R43" i="25"/>
  <c r="Q43" i="25"/>
  <c r="P43" i="25"/>
  <c r="O43" i="25"/>
  <c r="L43" i="25"/>
  <c r="K43" i="25"/>
  <c r="J43" i="25"/>
  <c r="I43" i="25"/>
  <c r="H43" i="25"/>
  <c r="G43" i="25"/>
  <c r="F43" i="25"/>
  <c r="E43" i="25"/>
  <c r="D43" i="25"/>
  <c r="C43" i="25"/>
  <c r="A43" i="25"/>
  <c r="V42" i="25"/>
  <c r="U42" i="25"/>
  <c r="T42" i="25"/>
  <c r="S42" i="25"/>
  <c r="R42" i="25"/>
  <c r="Q42" i="25"/>
  <c r="P42" i="25"/>
  <c r="O42" i="25"/>
  <c r="L42" i="25"/>
  <c r="K42" i="25"/>
  <c r="J42" i="25"/>
  <c r="I42" i="25"/>
  <c r="H42" i="25"/>
  <c r="G42" i="25"/>
  <c r="F42" i="25"/>
  <c r="E42" i="25"/>
  <c r="D42" i="25"/>
  <c r="C42" i="25"/>
  <c r="A42" i="25"/>
  <c r="V41" i="25"/>
  <c r="U41" i="25"/>
  <c r="T41" i="25"/>
  <c r="S41" i="25"/>
  <c r="R41" i="25"/>
  <c r="Q41" i="25"/>
  <c r="P41" i="25"/>
  <c r="O41" i="25"/>
  <c r="L41" i="25"/>
  <c r="K41" i="25"/>
  <c r="J41" i="25"/>
  <c r="I41" i="25"/>
  <c r="H41" i="25"/>
  <c r="G41" i="25"/>
  <c r="F41" i="25"/>
  <c r="E41" i="25"/>
  <c r="D41" i="25"/>
  <c r="C41" i="25"/>
  <c r="A41" i="25"/>
  <c r="V40" i="25"/>
  <c r="U40" i="25"/>
  <c r="T40" i="25"/>
  <c r="S40" i="25"/>
  <c r="R40" i="25"/>
  <c r="Q40" i="25"/>
  <c r="P40" i="25"/>
  <c r="O40" i="25"/>
  <c r="A40" i="25"/>
  <c r="V39" i="25"/>
  <c r="U39" i="25"/>
  <c r="T39" i="25"/>
  <c r="S39" i="25"/>
  <c r="R39" i="25"/>
  <c r="Q39" i="25"/>
  <c r="P39" i="25"/>
  <c r="O39" i="25"/>
  <c r="L39" i="25"/>
  <c r="K39" i="25"/>
  <c r="J39" i="25"/>
  <c r="I39" i="25"/>
  <c r="H39" i="25"/>
  <c r="G39" i="25"/>
  <c r="F39" i="25"/>
  <c r="E39" i="25"/>
  <c r="D39" i="25"/>
  <c r="C39" i="25"/>
  <c r="A39" i="25"/>
  <c r="V38" i="25"/>
  <c r="U38" i="25"/>
  <c r="T38" i="25"/>
  <c r="S38" i="25"/>
  <c r="R38" i="25"/>
  <c r="Q38" i="25"/>
  <c r="P38" i="25"/>
  <c r="O38" i="25"/>
  <c r="A38" i="25"/>
  <c r="V37" i="25"/>
  <c r="U37" i="25"/>
  <c r="T37" i="25"/>
  <c r="S37" i="25"/>
  <c r="R37" i="25"/>
  <c r="Q37" i="25"/>
  <c r="P37" i="25"/>
  <c r="O37" i="25"/>
  <c r="L37" i="25"/>
  <c r="K37" i="25"/>
  <c r="J37" i="25"/>
  <c r="I37" i="25"/>
  <c r="H37" i="25"/>
  <c r="G37" i="25"/>
  <c r="F37" i="25"/>
  <c r="E37" i="25"/>
  <c r="D37" i="25"/>
  <c r="C37" i="25"/>
  <c r="A37" i="25"/>
  <c r="V36" i="25"/>
  <c r="U36" i="25"/>
  <c r="T36" i="25"/>
  <c r="S36" i="25"/>
  <c r="R36" i="25"/>
  <c r="Q36" i="25"/>
  <c r="P36" i="25"/>
  <c r="O36" i="25"/>
  <c r="C36" i="25"/>
  <c r="A36" i="25"/>
  <c r="V35" i="25"/>
  <c r="U35" i="25"/>
  <c r="T35" i="25"/>
  <c r="S35" i="25"/>
  <c r="R35" i="25"/>
  <c r="Q35" i="25"/>
  <c r="P35" i="25"/>
  <c r="O35" i="25"/>
  <c r="A35" i="25"/>
  <c r="V34" i="25"/>
  <c r="U34" i="25"/>
  <c r="T34" i="25"/>
  <c r="S34" i="25"/>
  <c r="R34" i="25"/>
  <c r="Q34" i="25"/>
  <c r="P34" i="25"/>
  <c r="O34" i="25"/>
  <c r="L34" i="25"/>
  <c r="K34" i="25"/>
  <c r="J34" i="25"/>
  <c r="I34" i="25"/>
  <c r="H34" i="25"/>
  <c r="G34" i="25"/>
  <c r="F34" i="25"/>
  <c r="E34" i="25"/>
  <c r="D34" i="25"/>
  <c r="C34" i="25"/>
  <c r="A34" i="25"/>
  <c r="V33" i="25"/>
  <c r="U33" i="25"/>
  <c r="T33" i="25"/>
  <c r="S33" i="25"/>
  <c r="R33" i="25"/>
  <c r="Q33" i="25"/>
  <c r="P33" i="25"/>
  <c r="O33" i="25"/>
  <c r="L33" i="25"/>
  <c r="K33" i="25"/>
  <c r="J33" i="25"/>
  <c r="I33" i="25"/>
  <c r="H33" i="25"/>
  <c r="G33" i="25"/>
  <c r="F33" i="25"/>
  <c r="E33" i="25"/>
  <c r="T32" i="25"/>
  <c r="S32" i="25"/>
  <c r="V31" i="25"/>
  <c r="U31" i="25"/>
  <c r="T31" i="25"/>
  <c r="S31" i="25"/>
  <c r="R31" i="25"/>
  <c r="Q31" i="25"/>
  <c r="P31" i="25"/>
  <c r="O31" i="25"/>
  <c r="N31" i="25"/>
  <c r="M31" i="25"/>
  <c r="J20" i="25"/>
  <c r="I20" i="25"/>
  <c r="H20" i="25"/>
  <c r="G20" i="25"/>
  <c r="J19" i="25"/>
  <c r="I19" i="25"/>
  <c r="H19" i="25"/>
  <c r="G19" i="25"/>
  <c r="J18" i="25"/>
  <c r="I18" i="25"/>
  <c r="H18" i="25"/>
  <c r="G18" i="25"/>
  <c r="J17" i="25"/>
  <c r="I17" i="25"/>
  <c r="H17" i="25"/>
  <c r="G17" i="25"/>
  <c r="J16" i="25"/>
  <c r="I16" i="25"/>
  <c r="H16" i="25"/>
  <c r="G16" i="25"/>
  <c r="J15" i="25"/>
  <c r="I15" i="25"/>
  <c r="H15" i="25"/>
  <c r="G15" i="25"/>
  <c r="J14" i="25"/>
  <c r="I14" i="25"/>
  <c r="H14" i="25"/>
  <c r="G14" i="25"/>
  <c r="J13" i="25"/>
  <c r="I13" i="25"/>
  <c r="H13" i="25"/>
  <c r="G13" i="25"/>
  <c r="J12" i="25"/>
  <c r="H12" i="25"/>
  <c r="G12" i="25"/>
  <c r="J11" i="25"/>
  <c r="H11" i="25"/>
  <c r="G11" i="25"/>
  <c r="E7" i="25"/>
  <c r="B7" i="25"/>
  <c r="J154" i="18"/>
  <c r="I154" i="18"/>
  <c r="H154" i="18"/>
  <c r="G154" i="18"/>
  <c r="K153" i="18"/>
  <c r="J153" i="18"/>
  <c r="I153" i="18"/>
  <c r="H153" i="18"/>
  <c r="G153" i="18"/>
  <c r="K152" i="18"/>
  <c r="J152" i="18"/>
  <c r="I152" i="18"/>
  <c r="H152" i="18"/>
  <c r="G152" i="18"/>
  <c r="K151" i="18"/>
  <c r="J151" i="18"/>
  <c r="I151" i="18"/>
  <c r="H151" i="18"/>
  <c r="G151" i="18"/>
  <c r="K150" i="18"/>
  <c r="J150" i="18"/>
  <c r="I150" i="18"/>
  <c r="H150" i="18"/>
  <c r="G150" i="18"/>
  <c r="K149" i="18"/>
  <c r="J149" i="18"/>
  <c r="I149" i="18"/>
  <c r="H149" i="18"/>
  <c r="G149" i="18"/>
  <c r="F149" i="18"/>
  <c r="K148" i="18"/>
  <c r="J148" i="18"/>
  <c r="I148" i="18"/>
  <c r="H148" i="18"/>
  <c r="G148" i="18"/>
  <c r="F148" i="18"/>
  <c r="K147" i="18"/>
  <c r="J147" i="18"/>
  <c r="I147" i="18"/>
  <c r="H147" i="18"/>
  <c r="G147" i="18"/>
  <c r="F147" i="18"/>
  <c r="K146" i="18"/>
  <c r="J146" i="18"/>
  <c r="I146" i="18"/>
  <c r="H146" i="18"/>
  <c r="G146" i="18"/>
  <c r="F146" i="18"/>
  <c r="K145" i="18"/>
  <c r="J145" i="18"/>
  <c r="I145" i="18"/>
  <c r="H145" i="18"/>
  <c r="G145" i="18"/>
  <c r="F145" i="18"/>
  <c r="K144" i="18"/>
  <c r="J144" i="18"/>
  <c r="I144" i="18"/>
  <c r="H144" i="18"/>
  <c r="G144" i="18"/>
  <c r="F144" i="18"/>
  <c r="K143" i="18"/>
  <c r="J143" i="18"/>
  <c r="I143" i="18"/>
  <c r="H143" i="18"/>
  <c r="G143" i="18"/>
  <c r="F143" i="18"/>
  <c r="K142" i="18"/>
  <c r="J142" i="18"/>
  <c r="I142" i="18"/>
  <c r="H142" i="18"/>
  <c r="G142" i="18"/>
  <c r="F142" i="18"/>
  <c r="J138" i="18"/>
  <c r="I138" i="18"/>
  <c r="H138" i="18"/>
  <c r="G138" i="18"/>
  <c r="K137" i="18"/>
  <c r="J137" i="18"/>
  <c r="I137" i="18"/>
  <c r="H137" i="18"/>
  <c r="G137" i="18"/>
  <c r="K136" i="18"/>
  <c r="J136" i="18"/>
  <c r="I136" i="18"/>
  <c r="H136" i="18"/>
  <c r="G136" i="18"/>
  <c r="K135" i="18"/>
  <c r="J135" i="18"/>
  <c r="I135" i="18"/>
  <c r="H135" i="18"/>
  <c r="G135" i="18"/>
  <c r="K134" i="18"/>
  <c r="J134" i="18"/>
  <c r="I134" i="18"/>
  <c r="H134" i="18"/>
  <c r="G134" i="18"/>
  <c r="K133" i="18"/>
  <c r="J133" i="18"/>
  <c r="I133" i="18"/>
  <c r="H133" i="18"/>
  <c r="G133" i="18"/>
  <c r="F133" i="18"/>
  <c r="K132" i="18"/>
  <c r="J132" i="18"/>
  <c r="I132" i="18"/>
  <c r="H132" i="18"/>
  <c r="G132" i="18"/>
  <c r="F132" i="18"/>
  <c r="K131" i="18"/>
  <c r="J131" i="18"/>
  <c r="I131" i="18"/>
  <c r="H131" i="18"/>
  <c r="G131" i="18"/>
  <c r="F131" i="18"/>
  <c r="K130" i="18"/>
  <c r="J130" i="18"/>
  <c r="I130" i="18"/>
  <c r="H130" i="18"/>
  <c r="G130" i="18"/>
  <c r="F130" i="18"/>
  <c r="K129" i="18"/>
  <c r="J129" i="18"/>
  <c r="I129" i="18"/>
  <c r="H129" i="18"/>
  <c r="G129" i="18"/>
  <c r="F129" i="18"/>
  <c r="K128" i="18"/>
  <c r="J128" i="18"/>
  <c r="I128" i="18"/>
  <c r="H128" i="18"/>
  <c r="G128" i="18"/>
  <c r="F128" i="18"/>
  <c r="K127" i="18"/>
  <c r="J127" i="18"/>
  <c r="I127" i="18"/>
  <c r="H127" i="18"/>
  <c r="G127" i="18"/>
  <c r="F127" i="18"/>
  <c r="K126" i="18"/>
  <c r="J126" i="18"/>
  <c r="I126" i="18"/>
  <c r="H126" i="18"/>
  <c r="G126" i="18"/>
  <c r="F126" i="18"/>
  <c r="V103" i="18"/>
  <c r="U103" i="18"/>
  <c r="T103" i="18"/>
  <c r="S103" i="18"/>
  <c r="R103" i="18"/>
  <c r="Q103" i="18"/>
  <c r="P103" i="18"/>
  <c r="O103" i="18"/>
  <c r="A103" i="18"/>
  <c r="V102" i="18"/>
  <c r="U102" i="18"/>
  <c r="T102" i="18"/>
  <c r="S102" i="18"/>
  <c r="R102" i="18"/>
  <c r="Q102" i="18"/>
  <c r="P102" i="18"/>
  <c r="O102" i="18"/>
  <c r="A102" i="18"/>
  <c r="V101" i="18"/>
  <c r="U101" i="18"/>
  <c r="T101" i="18"/>
  <c r="S101" i="18"/>
  <c r="R101" i="18"/>
  <c r="Q101" i="18"/>
  <c r="P101" i="18"/>
  <c r="O101" i="18"/>
  <c r="A101" i="18"/>
  <c r="V100" i="18"/>
  <c r="U100" i="18"/>
  <c r="T100" i="18"/>
  <c r="S100" i="18"/>
  <c r="R100" i="18"/>
  <c r="Q100" i="18"/>
  <c r="P100" i="18"/>
  <c r="O100" i="18"/>
  <c r="A100" i="18"/>
  <c r="V99" i="18"/>
  <c r="U99" i="18"/>
  <c r="T99" i="18"/>
  <c r="S99" i="18"/>
  <c r="R99" i="18"/>
  <c r="Q99" i="18"/>
  <c r="P99" i="18"/>
  <c r="O99" i="18"/>
  <c r="A99" i="18"/>
  <c r="V98" i="18"/>
  <c r="U98" i="18"/>
  <c r="T98" i="18"/>
  <c r="S98" i="18"/>
  <c r="R98" i="18"/>
  <c r="Q98" i="18"/>
  <c r="P98" i="18"/>
  <c r="O98" i="18"/>
  <c r="A98" i="18"/>
  <c r="V97" i="18"/>
  <c r="U97" i="18"/>
  <c r="T97" i="18"/>
  <c r="S97" i="18"/>
  <c r="R97" i="18"/>
  <c r="Q97" i="18"/>
  <c r="P97" i="18"/>
  <c r="O97" i="18"/>
  <c r="A97" i="18"/>
  <c r="V96" i="18"/>
  <c r="U96" i="18"/>
  <c r="T96" i="18"/>
  <c r="S96" i="18"/>
  <c r="R96" i="18"/>
  <c r="Q96" i="18"/>
  <c r="P96" i="18"/>
  <c r="O96" i="18"/>
  <c r="A96" i="18"/>
  <c r="V95" i="18"/>
  <c r="U95" i="18"/>
  <c r="T95" i="18"/>
  <c r="S95" i="18"/>
  <c r="R95" i="18"/>
  <c r="Q95" i="18"/>
  <c r="P95" i="18"/>
  <c r="O95" i="18"/>
  <c r="A95" i="18"/>
  <c r="V94" i="18"/>
  <c r="U94" i="18"/>
  <c r="T94" i="18"/>
  <c r="S94" i="18"/>
  <c r="R94" i="18"/>
  <c r="Q94" i="18"/>
  <c r="P94" i="18"/>
  <c r="O94" i="18"/>
  <c r="A94" i="18"/>
  <c r="V93" i="18"/>
  <c r="U93" i="18"/>
  <c r="T93" i="18"/>
  <c r="S93" i="18"/>
  <c r="R93" i="18"/>
  <c r="Q93" i="18"/>
  <c r="P93" i="18"/>
  <c r="O93" i="18"/>
  <c r="A93" i="18"/>
  <c r="V92" i="18"/>
  <c r="U92" i="18"/>
  <c r="T92" i="18"/>
  <c r="S92" i="18"/>
  <c r="R92" i="18"/>
  <c r="Q92" i="18"/>
  <c r="P92" i="18"/>
  <c r="O92" i="18"/>
  <c r="A92" i="18"/>
  <c r="V91" i="18"/>
  <c r="U91" i="18"/>
  <c r="T91" i="18"/>
  <c r="S91" i="18"/>
  <c r="R91" i="18"/>
  <c r="Q91" i="18"/>
  <c r="P91" i="18"/>
  <c r="O91" i="18"/>
  <c r="A91" i="18"/>
  <c r="V90" i="18"/>
  <c r="U90" i="18"/>
  <c r="T90" i="18"/>
  <c r="S90" i="18"/>
  <c r="R90" i="18"/>
  <c r="Q90" i="18"/>
  <c r="P90" i="18"/>
  <c r="O90" i="18"/>
  <c r="A90" i="18"/>
  <c r="V89" i="18"/>
  <c r="U89" i="18"/>
  <c r="T89" i="18"/>
  <c r="S89" i="18"/>
  <c r="R89" i="18"/>
  <c r="Q89" i="18"/>
  <c r="P89" i="18"/>
  <c r="O89" i="18"/>
  <c r="A89" i="18"/>
  <c r="V88" i="18"/>
  <c r="U88" i="18"/>
  <c r="T88" i="18"/>
  <c r="S88" i="18"/>
  <c r="R88" i="18"/>
  <c r="Q88" i="18"/>
  <c r="P88" i="18"/>
  <c r="O88" i="18"/>
  <c r="A88" i="18"/>
  <c r="V87" i="18"/>
  <c r="U87" i="18"/>
  <c r="T87" i="18"/>
  <c r="S87" i="18"/>
  <c r="R87" i="18"/>
  <c r="Q87" i="18"/>
  <c r="P87" i="18"/>
  <c r="O87" i="18"/>
  <c r="A87" i="18"/>
  <c r="V86" i="18"/>
  <c r="U86" i="18"/>
  <c r="T86" i="18"/>
  <c r="S86" i="18"/>
  <c r="R86" i="18"/>
  <c r="Q86" i="18"/>
  <c r="P86" i="18"/>
  <c r="O86" i="18"/>
  <c r="A86" i="18"/>
  <c r="V85" i="18"/>
  <c r="U85" i="18"/>
  <c r="T85" i="18"/>
  <c r="S85" i="18"/>
  <c r="R85" i="18"/>
  <c r="Q85" i="18"/>
  <c r="P85" i="18"/>
  <c r="O85" i="18"/>
  <c r="A85" i="18"/>
  <c r="V84" i="18"/>
  <c r="U84" i="18"/>
  <c r="T84" i="18"/>
  <c r="S84" i="18"/>
  <c r="R84" i="18"/>
  <c r="Q84" i="18"/>
  <c r="P84" i="18"/>
  <c r="O84" i="18"/>
  <c r="A84" i="18"/>
  <c r="V83" i="18"/>
  <c r="U83" i="18"/>
  <c r="T83" i="18"/>
  <c r="S83" i="18"/>
  <c r="R83" i="18"/>
  <c r="Q83" i="18"/>
  <c r="P83" i="18"/>
  <c r="O83" i="18"/>
  <c r="A83" i="18"/>
  <c r="V82" i="18"/>
  <c r="U82" i="18"/>
  <c r="T82" i="18"/>
  <c r="S82" i="18"/>
  <c r="R82" i="18"/>
  <c r="Q82" i="18"/>
  <c r="P82" i="18"/>
  <c r="O82" i="18"/>
  <c r="L82" i="18"/>
  <c r="K82" i="18"/>
  <c r="J82" i="18"/>
  <c r="I82" i="18"/>
  <c r="H82" i="18"/>
  <c r="G82" i="18"/>
  <c r="F82" i="18"/>
  <c r="A82" i="18"/>
  <c r="V81" i="18"/>
  <c r="U81" i="18"/>
  <c r="T81" i="18"/>
  <c r="S81" i="18"/>
  <c r="R81" i="18"/>
  <c r="Q81" i="18"/>
  <c r="P81" i="18"/>
  <c r="O81" i="18"/>
  <c r="A81" i="18"/>
  <c r="V80" i="18"/>
  <c r="U80" i="18"/>
  <c r="T80" i="18"/>
  <c r="S80" i="18"/>
  <c r="R80" i="18"/>
  <c r="Q80" i="18"/>
  <c r="P80" i="18"/>
  <c r="O80" i="18"/>
  <c r="A80" i="18"/>
  <c r="V79" i="18"/>
  <c r="U79" i="18"/>
  <c r="T79" i="18"/>
  <c r="S79" i="18"/>
  <c r="R79" i="18"/>
  <c r="Q79" i="18"/>
  <c r="P79" i="18"/>
  <c r="O79" i="18"/>
  <c r="D79" i="18"/>
  <c r="A79" i="18"/>
  <c r="V78" i="18"/>
  <c r="U78" i="18"/>
  <c r="T78" i="18"/>
  <c r="S78" i="18"/>
  <c r="R78" i="18"/>
  <c r="Q78" i="18"/>
  <c r="P78" i="18"/>
  <c r="O78" i="18"/>
  <c r="D78" i="18"/>
  <c r="A78" i="18"/>
  <c r="V77" i="18"/>
  <c r="U77" i="18"/>
  <c r="T77" i="18"/>
  <c r="S77" i="18"/>
  <c r="R77" i="18"/>
  <c r="Q77" i="18"/>
  <c r="P77" i="18"/>
  <c r="O77" i="18"/>
  <c r="D77" i="18"/>
  <c r="A77" i="18"/>
  <c r="V76" i="18"/>
  <c r="U76" i="18"/>
  <c r="T76" i="18"/>
  <c r="S76" i="18"/>
  <c r="R76" i="18"/>
  <c r="Q76" i="18"/>
  <c r="P76" i="18"/>
  <c r="O76" i="18"/>
  <c r="D76" i="18"/>
  <c r="A76" i="18"/>
  <c r="V75" i="18"/>
  <c r="U75" i="18"/>
  <c r="T75" i="18"/>
  <c r="S75" i="18"/>
  <c r="R75" i="18"/>
  <c r="Q75" i="18"/>
  <c r="P75" i="18"/>
  <c r="O75" i="18"/>
  <c r="A75" i="18"/>
  <c r="V74" i="18"/>
  <c r="U74" i="18"/>
  <c r="T74" i="18"/>
  <c r="S74" i="18"/>
  <c r="R74" i="18"/>
  <c r="Q74" i="18"/>
  <c r="P74" i="18"/>
  <c r="O74" i="18"/>
  <c r="A74" i="18"/>
  <c r="V73" i="18"/>
  <c r="U73" i="18"/>
  <c r="T73" i="18"/>
  <c r="S73" i="18"/>
  <c r="R73" i="18"/>
  <c r="Q73" i="18"/>
  <c r="P73" i="18"/>
  <c r="O73" i="18"/>
  <c r="A73" i="18"/>
  <c r="V72" i="18"/>
  <c r="U72" i="18"/>
  <c r="T72" i="18"/>
  <c r="S72" i="18"/>
  <c r="R72" i="18"/>
  <c r="Q72" i="18"/>
  <c r="P72" i="18"/>
  <c r="O72" i="18"/>
  <c r="A72" i="18"/>
  <c r="V71" i="18"/>
  <c r="U71" i="18"/>
  <c r="T71" i="18"/>
  <c r="S71" i="18"/>
  <c r="R71" i="18"/>
  <c r="Q71" i="18"/>
  <c r="P71" i="18"/>
  <c r="O71" i="18"/>
  <c r="L71" i="18"/>
  <c r="K71" i="18"/>
  <c r="J71" i="18"/>
  <c r="I71" i="18"/>
  <c r="H71" i="18"/>
  <c r="G71" i="18"/>
  <c r="F71" i="18"/>
  <c r="E71" i="18"/>
  <c r="D71" i="18"/>
  <c r="C71" i="18"/>
  <c r="A71" i="18"/>
  <c r="V70" i="18"/>
  <c r="U70" i="18"/>
  <c r="T70" i="18"/>
  <c r="S70" i="18"/>
  <c r="R70" i="18"/>
  <c r="Q70" i="18"/>
  <c r="P70" i="18"/>
  <c r="O70" i="18"/>
  <c r="A70" i="18"/>
  <c r="L69" i="18"/>
  <c r="K69" i="18"/>
  <c r="J69" i="18"/>
  <c r="I69" i="18"/>
  <c r="H69" i="18"/>
  <c r="C69" i="18"/>
  <c r="A69" i="18"/>
  <c r="V68" i="18"/>
  <c r="U68" i="18"/>
  <c r="T68" i="18"/>
  <c r="S68" i="18"/>
  <c r="R68" i="18"/>
  <c r="Q68" i="18"/>
  <c r="P68" i="18"/>
  <c r="O68" i="18"/>
  <c r="C68" i="18"/>
  <c r="A68" i="18"/>
  <c r="V67" i="18"/>
  <c r="U67" i="18"/>
  <c r="T67" i="18"/>
  <c r="S67" i="18"/>
  <c r="R67" i="18"/>
  <c r="Q67" i="18"/>
  <c r="P67" i="18"/>
  <c r="O67" i="18"/>
  <c r="A67" i="18"/>
  <c r="V66" i="18"/>
  <c r="U66" i="18"/>
  <c r="T66" i="18"/>
  <c r="S66" i="18"/>
  <c r="R66" i="18"/>
  <c r="Q66" i="18"/>
  <c r="P66" i="18"/>
  <c r="O66" i="18"/>
  <c r="A66" i="18"/>
  <c r="D65" i="18"/>
  <c r="C65" i="18"/>
  <c r="A65" i="18"/>
  <c r="V64" i="18"/>
  <c r="U64" i="18"/>
  <c r="T64" i="18"/>
  <c r="S64" i="18"/>
  <c r="R64" i="18"/>
  <c r="Q64" i="18"/>
  <c r="P64" i="18"/>
  <c r="O64" i="18"/>
  <c r="D64" i="18"/>
  <c r="C64" i="18"/>
  <c r="A64" i="18"/>
  <c r="V63" i="18"/>
  <c r="U63" i="18"/>
  <c r="T63" i="18"/>
  <c r="S63" i="18"/>
  <c r="R63" i="18"/>
  <c r="Q63" i="18"/>
  <c r="P63" i="18"/>
  <c r="O63" i="18"/>
  <c r="A63" i="18"/>
  <c r="V62" i="18"/>
  <c r="U62" i="18"/>
  <c r="T62" i="18"/>
  <c r="S62" i="18"/>
  <c r="R62" i="18"/>
  <c r="Q62" i="18"/>
  <c r="P62" i="18"/>
  <c r="O62" i="18"/>
  <c r="A62" i="18"/>
  <c r="V61" i="18"/>
  <c r="U61" i="18"/>
  <c r="T61" i="18"/>
  <c r="S61" i="18"/>
  <c r="R61" i="18"/>
  <c r="Q61" i="18"/>
  <c r="P61" i="18"/>
  <c r="O61" i="18"/>
  <c r="A61" i="18"/>
  <c r="V60" i="18"/>
  <c r="U60" i="18"/>
  <c r="T60" i="18"/>
  <c r="S60" i="18"/>
  <c r="R60" i="18"/>
  <c r="Q60" i="18"/>
  <c r="P60" i="18"/>
  <c r="O60" i="18"/>
  <c r="A60" i="18"/>
  <c r="V59" i="18"/>
  <c r="U59" i="18"/>
  <c r="T59" i="18"/>
  <c r="S59" i="18"/>
  <c r="R59" i="18"/>
  <c r="Q59" i="18"/>
  <c r="P59" i="18"/>
  <c r="O59" i="18"/>
  <c r="A59" i="18"/>
  <c r="V58" i="18"/>
  <c r="U58" i="18"/>
  <c r="T58" i="18"/>
  <c r="S58" i="18"/>
  <c r="R58" i="18"/>
  <c r="Q58" i="18"/>
  <c r="P58" i="18"/>
  <c r="O58" i="18"/>
  <c r="C58" i="18"/>
  <c r="A58" i="18"/>
  <c r="V57" i="18"/>
  <c r="U57" i="18"/>
  <c r="T57" i="18"/>
  <c r="S57" i="18"/>
  <c r="R57" i="18"/>
  <c r="Q57" i="18"/>
  <c r="P57" i="18"/>
  <c r="O57" i="18"/>
  <c r="C57" i="18"/>
  <c r="A57" i="18"/>
  <c r="V56" i="18"/>
  <c r="U56" i="18"/>
  <c r="T56" i="18"/>
  <c r="S56" i="18"/>
  <c r="R56" i="18"/>
  <c r="Q56" i="18"/>
  <c r="P56" i="18"/>
  <c r="O56" i="18"/>
  <c r="A56" i="18"/>
  <c r="V55" i="18"/>
  <c r="U55" i="18"/>
  <c r="T55" i="18"/>
  <c r="S55" i="18"/>
  <c r="R55" i="18"/>
  <c r="Q55" i="18"/>
  <c r="P55" i="18"/>
  <c r="O55" i="18"/>
  <c r="A55" i="18"/>
  <c r="V54" i="18"/>
  <c r="U54" i="18"/>
  <c r="T54" i="18"/>
  <c r="S54" i="18"/>
  <c r="R54" i="18"/>
  <c r="Q54" i="18"/>
  <c r="P54" i="18"/>
  <c r="O54" i="18"/>
  <c r="D54" i="18"/>
  <c r="C54" i="18"/>
  <c r="A54" i="18"/>
  <c r="V53" i="18"/>
  <c r="U53" i="18"/>
  <c r="T53" i="18"/>
  <c r="S53" i="18"/>
  <c r="R53" i="18"/>
  <c r="Q53" i="18"/>
  <c r="P53" i="18"/>
  <c r="O53" i="18"/>
  <c r="L53" i="18"/>
  <c r="K53" i="18"/>
  <c r="J53" i="18"/>
  <c r="I53" i="18"/>
  <c r="H53" i="18"/>
  <c r="G53" i="18"/>
  <c r="F53" i="18"/>
  <c r="E53" i="18"/>
  <c r="D53" i="18"/>
  <c r="C53" i="18"/>
  <c r="A53" i="18"/>
  <c r="V52" i="18"/>
  <c r="U52" i="18"/>
  <c r="T52" i="18"/>
  <c r="S52" i="18"/>
  <c r="R52" i="18"/>
  <c r="Q52" i="18"/>
  <c r="P52" i="18"/>
  <c r="O52" i="18"/>
  <c r="L52" i="18"/>
  <c r="K52" i="18"/>
  <c r="J52" i="18"/>
  <c r="I52" i="18"/>
  <c r="H52" i="18"/>
  <c r="G52" i="18"/>
  <c r="F52" i="18"/>
  <c r="E52" i="18"/>
  <c r="D52" i="18"/>
  <c r="C52" i="18"/>
  <c r="A52" i="18"/>
  <c r="V51" i="18"/>
  <c r="U51" i="18"/>
  <c r="T51" i="18"/>
  <c r="S51" i="18"/>
  <c r="R51" i="18"/>
  <c r="Q51" i="18"/>
  <c r="P51" i="18"/>
  <c r="O51" i="18"/>
  <c r="A51" i="18"/>
  <c r="V50" i="18"/>
  <c r="U50" i="18"/>
  <c r="T50" i="18"/>
  <c r="S50" i="18"/>
  <c r="R50" i="18"/>
  <c r="Q50" i="18"/>
  <c r="P50" i="18"/>
  <c r="O50" i="18"/>
  <c r="A50" i="18"/>
  <c r="V49" i="18"/>
  <c r="U49" i="18"/>
  <c r="T49" i="18"/>
  <c r="S49" i="18"/>
  <c r="R49" i="18"/>
  <c r="Q49" i="18"/>
  <c r="P49" i="18"/>
  <c r="O49" i="18"/>
  <c r="A49" i="18"/>
  <c r="V48" i="18"/>
  <c r="U48" i="18"/>
  <c r="T48" i="18"/>
  <c r="S48" i="18"/>
  <c r="R48" i="18"/>
  <c r="Q48" i="18"/>
  <c r="P48" i="18"/>
  <c r="O48" i="18"/>
  <c r="A48" i="18"/>
  <c r="V47" i="18"/>
  <c r="U47" i="18"/>
  <c r="T47" i="18"/>
  <c r="S47" i="18"/>
  <c r="R47" i="18"/>
  <c r="Q47" i="18"/>
  <c r="P47" i="18"/>
  <c r="O47" i="18"/>
  <c r="A47" i="18"/>
  <c r="V46" i="18"/>
  <c r="U46" i="18"/>
  <c r="T46" i="18"/>
  <c r="S46" i="18"/>
  <c r="R46" i="18"/>
  <c r="Q46" i="18"/>
  <c r="P46" i="18"/>
  <c r="O46" i="18"/>
  <c r="A46" i="18"/>
  <c r="V45" i="18"/>
  <c r="U45" i="18"/>
  <c r="T45" i="18"/>
  <c r="S45" i="18"/>
  <c r="R45" i="18"/>
  <c r="Q45" i="18"/>
  <c r="P45" i="18"/>
  <c r="O45" i="18"/>
  <c r="A45" i="18"/>
  <c r="V44" i="18"/>
  <c r="U44" i="18"/>
  <c r="T44" i="18"/>
  <c r="S44" i="18"/>
  <c r="R44" i="18"/>
  <c r="Q44" i="18"/>
  <c r="P44" i="18"/>
  <c r="O44" i="18"/>
  <c r="A44" i="18"/>
  <c r="V43" i="18"/>
  <c r="U43" i="18"/>
  <c r="T43" i="18"/>
  <c r="S43" i="18"/>
  <c r="R43" i="18"/>
  <c r="Q43" i="18"/>
  <c r="P43" i="18"/>
  <c r="O43" i="18"/>
  <c r="L43" i="18"/>
  <c r="K43" i="18"/>
  <c r="J43" i="18"/>
  <c r="I43" i="18"/>
  <c r="H43" i="18"/>
  <c r="G43" i="18"/>
  <c r="F43" i="18"/>
  <c r="E43" i="18"/>
  <c r="D43" i="18"/>
  <c r="C43" i="18"/>
  <c r="A43" i="18"/>
  <c r="V42" i="18"/>
  <c r="U42" i="18"/>
  <c r="T42" i="18"/>
  <c r="S42" i="18"/>
  <c r="R42" i="18"/>
  <c r="Q42" i="18"/>
  <c r="P42" i="18"/>
  <c r="O42" i="18"/>
  <c r="L42" i="18"/>
  <c r="K42" i="18"/>
  <c r="J42" i="18"/>
  <c r="I42" i="18"/>
  <c r="H42" i="18"/>
  <c r="G42" i="18"/>
  <c r="F42" i="18"/>
  <c r="E42" i="18"/>
  <c r="D42" i="18"/>
  <c r="C42" i="18"/>
  <c r="A42" i="18"/>
  <c r="V41" i="18"/>
  <c r="U41" i="18"/>
  <c r="T41" i="18"/>
  <c r="S41" i="18"/>
  <c r="R41" i="18"/>
  <c r="Q41" i="18"/>
  <c r="P41" i="18"/>
  <c r="O41" i="18"/>
  <c r="L41" i="18"/>
  <c r="K41" i="18"/>
  <c r="J41" i="18"/>
  <c r="I41" i="18"/>
  <c r="H41" i="18"/>
  <c r="G41" i="18"/>
  <c r="F41" i="18"/>
  <c r="E41" i="18"/>
  <c r="D41" i="18"/>
  <c r="C41" i="18"/>
  <c r="A41" i="18"/>
  <c r="V40" i="18"/>
  <c r="U40" i="18"/>
  <c r="T40" i="18"/>
  <c r="S40" i="18"/>
  <c r="R40" i="18"/>
  <c r="Q40" i="18"/>
  <c r="P40" i="18"/>
  <c r="O40" i="18"/>
  <c r="A40" i="18"/>
  <c r="V39" i="18"/>
  <c r="U39" i="18"/>
  <c r="T39" i="18"/>
  <c r="S39" i="18"/>
  <c r="R39" i="18"/>
  <c r="Q39" i="18"/>
  <c r="P39" i="18"/>
  <c r="O39" i="18"/>
  <c r="L39" i="18"/>
  <c r="K39" i="18"/>
  <c r="J39" i="18"/>
  <c r="I39" i="18"/>
  <c r="H39" i="18"/>
  <c r="G39" i="18"/>
  <c r="F39" i="18"/>
  <c r="E39" i="18"/>
  <c r="D39" i="18"/>
  <c r="C39" i="18"/>
  <c r="A39" i="18"/>
  <c r="V38" i="18"/>
  <c r="U38" i="18"/>
  <c r="T38" i="18"/>
  <c r="S38" i="18"/>
  <c r="R38" i="18"/>
  <c r="Q38" i="18"/>
  <c r="P38" i="18"/>
  <c r="O38" i="18"/>
  <c r="A38" i="18"/>
  <c r="V37" i="18"/>
  <c r="U37" i="18"/>
  <c r="T37" i="18"/>
  <c r="S37" i="18"/>
  <c r="R37" i="18"/>
  <c r="Q37" i="18"/>
  <c r="P37" i="18"/>
  <c r="O37" i="18"/>
  <c r="L37" i="18"/>
  <c r="K37" i="18"/>
  <c r="J37" i="18"/>
  <c r="I37" i="18"/>
  <c r="H37" i="18"/>
  <c r="G37" i="18"/>
  <c r="F37" i="18"/>
  <c r="E37" i="18"/>
  <c r="D37" i="18"/>
  <c r="C37" i="18"/>
  <c r="A37" i="18"/>
  <c r="V36" i="18"/>
  <c r="U36" i="18"/>
  <c r="T36" i="18"/>
  <c r="S36" i="18"/>
  <c r="R36" i="18"/>
  <c r="Q36" i="18"/>
  <c r="P36" i="18"/>
  <c r="O36" i="18"/>
  <c r="D36" i="18"/>
  <c r="C36" i="18"/>
  <c r="A36" i="18"/>
  <c r="V35" i="18"/>
  <c r="U35" i="18"/>
  <c r="T35" i="18"/>
  <c r="S35" i="18"/>
  <c r="R35" i="18"/>
  <c r="Q35" i="18"/>
  <c r="P35" i="18"/>
  <c r="O35" i="18"/>
  <c r="A35" i="18"/>
  <c r="V34" i="18"/>
  <c r="U34" i="18"/>
  <c r="T34" i="18"/>
  <c r="S34" i="18"/>
  <c r="R34" i="18"/>
  <c r="Q34" i="18"/>
  <c r="P34" i="18"/>
  <c r="O34" i="18"/>
  <c r="L34" i="18"/>
  <c r="K34" i="18"/>
  <c r="J34" i="18"/>
  <c r="I34" i="18"/>
  <c r="H34" i="18"/>
  <c r="G34" i="18"/>
  <c r="F34" i="18"/>
  <c r="E34" i="18"/>
  <c r="D34" i="18"/>
  <c r="C34" i="18"/>
  <c r="A34" i="18"/>
  <c r="V33" i="18"/>
  <c r="U33" i="18"/>
  <c r="T33" i="18"/>
  <c r="S33" i="18"/>
  <c r="R33" i="18"/>
  <c r="Q33" i="18"/>
  <c r="P33" i="18"/>
  <c r="O33" i="18"/>
  <c r="L33" i="18"/>
  <c r="K33" i="18"/>
  <c r="J33" i="18"/>
  <c r="I33" i="18"/>
  <c r="H33" i="18"/>
  <c r="G33" i="18"/>
  <c r="F33" i="18"/>
  <c r="E33" i="18"/>
  <c r="T32" i="18"/>
  <c r="S32" i="18"/>
  <c r="V31" i="18"/>
  <c r="U31" i="18"/>
  <c r="T31" i="18"/>
  <c r="S31" i="18"/>
  <c r="R31" i="18"/>
  <c r="Q31" i="18"/>
  <c r="P31" i="18"/>
  <c r="O31" i="18"/>
  <c r="N31" i="18"/>
  <c r="M31" i="18"/>
  <c r="J20" i="18"/>
  <c r="I20" i="18"/>
  <c r="H20" i="18"/>
  <c r="G20" i="18"/>
  <c r="J19" i="18"/>
  <c r="I19" i="18"/>
  <c r="H19" i="18"/>
  <c r="G19" i="18"/>
  <c r="J18" i="18"/>
  <c r="I18" i="18"/>
  <c r="H18" i="18"/>
  <c r="G18" i="18"/>
  <c r="J17" i="18"/>
  <c r="I17" i="18"/>
  <c r="H17" i="18"/>
  <c r="G17" i="18"/>
  <c r="J16" i="18"/>
  <c r="I16" i="18"/>
  <c r="H16" i="18"/>
  <c r="G16" i="18"/>
  <c r="J15" i="18"/>
  <c r="I15" i="18"/>
  <c r="H15" i="18"/>
  <c r="G15" i="18"/>
  <c r="J14" i="18"/>
  <c r="I14" i="18"/>
  <c r="H14" i="18"/>
  <c r="G14" i="18"/>
  <c r="J13" i="18"/>
  <c r="I13" i="18"/>
  <c r="H13" i="18"/>
  <c r="G13" i="18"/>
  <c r="J12" i="18"/>
  <c r="H12" i="18"/>
  <c r="G12" i="18"/>
  <c r="J11" i="18"/>
  <c r="H11" i="18"/>
  <c r="G11" i="18"/>
  <c r="E7" i="18"/>
  <c r="B7" i="18"/>
  <c r="V103" i="98"/>
  <c r="U103" i="98"/>
  <c r="T103" i="98"/>
  <c r="S103" i="98"/>
  <c r="R103" i="98"/>
  <c r="Q103" i="98"/>
  <c r="P103" i="98"/>
  <c r="O103" i="98"/>
  <c r="N103" i="98"/>
  <c r="A103" i="98"/>
  <c r="V102" i="98"/>
  <c r="U102" i="98"/>
  <c r="T102" i="98"/>
  <c r="S102" i="98"/>
  <c r="R102" i="98"/>
  <c r="Q102" i="98"/>
  <c r="P102" i="98"/>
  <c r="O102" i="98"/>
  <c r="N102" i="98"/>
  <c r="A102" i="98"/>
  <c r="V101" i="98"/>
  <c r="U101" i="98"/>
  <c r="T101" i="98"/>
  <c r="S101" i="98"/>
  <c r="R101" i="98"/>
  <c r="Q101" i="98"/>
  <c r="P101" i="98"/>
  <c r="O101" i="98"/>
  <c r="N101" i="98"/>
  <c r="A101" i="98"/>
  <c r="V100" i="98"/>
  <c r="U100" i="98"/>
  <c r="T100" i="98"/>
  <c r="S100" i="98"/>
  <c r="R100" i="98"/>
  <c r="Q100" i="98"/>
  <c r="P100" i="98"/>
  <c r="O100" i="98"/>
  <c r="N100" i="98"/>
  <c r="A100" i="98"/>
  <c r="V99" i="98"/>
  <c r="U99" i="98"/>
  <c r="T99" i="98"/>
  <c r="S99" i="98"/>
  <c r="R99" i="98"/>
  <c r="Q99" i="98"/>
  <c r="P99" i="98"/>
  <c r="O99" i="98"/>
  <c r="N99" i="98"/>
  <c r="A99" i="98"/>
  <c r="V98" i="98"/>
  <c r="U98" i="98"/>
  <c r="T98" i="98"/>
  <c r="S98" i="98"/>
  <c r="R98" i="98"/>
  <c r="Q98" i="98"/>
  <c r="P98" i="98"/>
  <c r="O98" i="98"/>
  <c r="N98" i="98"/>
  <c r="A98" i="98"/>
  <c r="V97" i="98"/>
  <c r="U97" i="98"/>
  <c r="T97" i="98"/>
  <c r="S97" i="98"/>
  <c r="R97" i="98"/>
  <c r="Q97" i="98"/>
  <c r="P97" i="98"/>
  <c r="O97" i="98"/>
  <c r="N97" i="98"/>
  <c r="A97" i="98"/>
  <c r="V96" i="98"/>
  <c r="U96" i="98"/>
  <c r="T96" i="98"/>
  <c r="S96" i="98"/>
  <c r="R96" i="98"/>
  <c r="Q96" i="98"/>
  <c r="P96" i="98"/>
  <c r="O96" i="98"/>
  <c r="N96" i="98"/>
  <c r="A96" i="98"/>
  <c r="V95" i="98"/>
  <c r="U95" i="98"/>
  <c r="T95" i="98"/>
  <c r="S95" i="98"/>
  <c r="R95" i="98"/>
  <c r="Q95" i="98"/>
  <c r="P95" i="98"/>
  <c r="O95" i="98"/>
  <c r="N95" i="98"/>
  <c r="A95" i="98"/>
  <c r="V94" i="98"/>
  <c r="U94" i="98"/>
  <c r="T94" i="98"/>
  <c r="S94" i="98"/>
  <c r="R94" i="98"/>
  <c r="Q94" i="98"/>
  <c r="P94" i="98"/>
  <c r="O94" i="98"/>
  <c r="N94" i="98"/>
  <c r="A94" i="98"/>
  <c r="V93" i="98"/>
  <c r="U93" i="98"/>
  <c r="T93" i="98"/>
  <c r="S93" i="98"/>
  <c r="R93" i="98"/>
  <c r="Q93" i="98"/>
  <c r="P93" i="98"/>
  <c r="O93" i="98"/>
  <c r="N93" i="98"/>
  <c r="A93" i="98"/>
  <c r="V92" i="98"/>
  <c r="U92" i="98"/>
  <c r="T92" i="98"/>
  <c r="S92" i="98"/>
  <c r="R92" i="98"/>
  <c r="Q92" i="98"/>
  <c r="P92" i="98"/>
  <c r="O92" i="98"/>
  <c r="N92" i="98"/>
  <c r="A92" i="98"/>
  <c r="V91" i="98"/>
  <c r="U91" i="98"/>
  <c r="T91" i="98"/>
  <c r="S91" i="98"/>
  <c r="R91" i="98"/>
  <c r="Q91" i="98"/>
  <c r="P91" i="98"/>
  <c r="O91" i="98"/>
  <c r="N91" i="98"/>
  <c r="A91" i="98"/>
  <c r="V90" i="98"/>
  <c r="U90" i="98"/>
  <c r="T90" i="98"/>
  <c r="S90" i="98"/>
  <c r="R90" i="98"/>
  <c r="Q90" i="98"/>
  <c r="P90" i="98"/>
  <c r="O90" i="98"/>
  <c r="N90" i="98"/>
  <c r="A90" i="98"/>
  <c r="V89" i="98"/>
  <c r="U89" i="98"/>
  <c r="T89" i="98"/>
  <c r="S89" i="98"/>
  <c r="R89" i="98"/>
  <c r="Q89" i="98"/>
  <c r="P89" i="98"/>
  <c r="O89" i="98"/>
  <c r="N89" i="98"/>
  <c r="A89" i="98"/>
  <c r="V88" i="98"/>
  <c r="U88" i="98"/>
  <c r="T88" i="98"/>
  <c r="S88" i="98"/>
  <c r="R88" i="98"/>
  <c r="Q88" i="98"/>
  <c r="P88" i="98"/>
  <c r="O88" i="98"/>
  <c r="N88" i="98"/>
  <c r="A88" i="98"/>
  <c r="V87" i="98"/>
  <c r="U87" i="98"/>
  <c r="T87" i="98"/>
  <c r="S87" i="98"/>
  <c r="R87" i="98"/>
  <c r="Q87" i="98"/>
  <c r="P87" i="98"/>
  <c r="O87" i="98"/>
  <c r="N87" i="98"/>
  <c r="A87" i="98"/>
  <c r="V86" i="98"/>
  <c r="U86" i="98"/>
  <c r="T86" i="98"/>
  <c r="S86" i="98"/>
  <c r="R86" i="98"/>
  <c r="Q86" i="98"/>
  <c r="P86" i="98"/>
  <c r="O86" i="98"/>
  <c r="N86" i="98"/>
  <c r="A86" i="98"/>
  <c r="V85" i="98"/>
  <c r="U85" i="98"/>
  <c r="T85" i="98"/>
  <c r="S85" i="98"/>
  <c r="R85" i="98"/>
  <c r="Q85" i="98"/>
  <c r="P85" i="98"/>
  <c r="O85" i="98"/>
  <c r="N85" i="98"/>
  <c r="A85" i="98"/>
  <c r="V84" i="98"/>
  <c r="U84" i="98"/>
  <c r="T84" i="98"/>
  <c r="S84" i="98"/>
  <c r="R84" i="98"/>
  <c r="Q84" i="98"/>
  <c r="P84" i="98"/>
  <c r="O84" i="98"/>
  <c r="N84" i="98"/>
  <c r="A84" i="98"/>
  <c r="V83" i="98"/>
  <c r="U83" i="98"/>
  <c r="T83" i="98"/>
  <c r="S83" i="98"/>
  <c r="R83" i="98"/>
  <c r="Q83" i="98"/>
  <c r="P83" i="98"/>
  <c r="O83" i="98"/>
  <c r="N83" i="98"/>
  <c r="A83" i="98"/>
  <c r="V82" i="98"/>
  <c r="U82" i="98"/>
  <c r="T82" i="98"/>
  <c r="S82" i="98"/>
  <c r="R82" i="98"/>
  <c r="Q82" i="98"/>
  <c r="P82" i="98"/>
  <c r="O82" i="98"/>
  <c r="N82" i="98"/>
  <c r="L82" i="98"/>
  <c r="K82" i="98"/>
  <c r="J82" i="98"/>
  <c r="I82" i="98"/>
  <c r="H82" i="98"/>
  <c r="G82" i="98"/>
  <c r="F82" i="98"/>
  <c r="A82" i="98"/>
  <c r="V81" i="98"/>
  <c r="U81" i="98"/>
  <c r="T81" i="98"/>
  <c r="S81" i="98"/>
  <c r="R81" i="98"/>
  <c r="Q81" i="98"/>
  <c r="P81" i="98"/>
  <c r="O81" i="98"/>
  <c r="N81" i="98"/>
  <c r="A81" i="98"/>
  <c r="V80" i="98"/>
  <c r="U80" i="98"/>
  <c r="T80" i="98"/>
  <c r="S80" i="98"/>
  <c r="R80" i="98"/>
  <c r="Q80" i="98"/>
  <c r="P80" i="98"/>
  <c r="O80" i="98"/>
  <c r="N80" i="98"/>
  <c r="A80" i="98"/>
  <c r="V79" i="98"/>
  <c r="U79" i="98"/>
  <c r="T79" i="98"/>
  <c r="S79" i="98"/>
  <c r="R79" i="98"/>
  <c r="Q79" i="98"/>
  <c r="P79" i="98"/>
  <c r="O79" i="98"/>
  <c r="N79" i="98"/>
  <c r="A79" i="98"/>
  <c r="V78" i="98"/>
  <c r="U78" i="98"/>
  <c r="T78" i="98"/>
  <c r="S78" i="98"/>
  <c r="R78" i="98"/>
  <c r="Q78" i="98"/>
  <c r="P78" i="98"/>
  <c r="O78" i="98"/>
  <c r="N78" i="98"/>
  <c r="A78" i="98"/>
  <c r="V77" i="98"/>
  <c r="U77" i="98"/>
  <c r="T77" i="98"/>
  <c r="S77" i="98"/>
  <c r="R77" i="98"/>
  <c r="Q77" i="98"/>
  <c r="P77" i="98"/>
  <c r="O77" i="98"/>
  <c r="N77" i="98"/>
  <c r="A77" i="98"/>
  <c r="V76" i="98"/>
  <c r="U76" i="98"/>
  <c r="T76" i="98"/>
  <c r="S76" i="98"/>
  <c r="R76" i="98"/>
  <c r="Q76" i="98"/>
  <c r="P76" i="98"/>
  <c r="O76" i="98"/>
  <c r="N76" i="98"/>
  <c r="A76" i="98"/>
  <c r="V75" i="98"/>
  <c r="U75" i="98"/>
  <c r="T75" i="98"/>
  <c r="S75" i="98"/>
  <c r="R75" i="98"/>
  <c r="Q75" i="98"/>
  <c r="P75" i="98"/>
  <c r="O75" i="98"/>
  <c r="N75" i="98"/>
  <c r="A75" i="98"/>
  <c r="V74" i="98"/>
  <c r="U74" i="98"/>
  <c r="T74" i="98"/>
  <c r="S74" i="98"/>
  <c r="R74" i="98"/>
  <c r="Q74" i="98"/>
  <c r="P74" i="98"/>
  <c r="O74" i="98"/>
  <c r="N74" i="98"/>
  <c r="A74" i="98"/>
  <c r="V73" i="98"/>
  <c r="U73" i="98"/>
  <c r="T73" i="98"/>
  <c r="S73" i="98"/>
  <c r="R73" i="98"/>
  <c r="Q73" i="98"/>
  <c r="P73" i="98"/>
  <c r="O73" i="98"/>
  <c r="N73" i="98"/>
  <c r="A73" i="98"/>
  <c r="V72" i="98"/>
  <c r="U72" i="98"/>
  <c r="T72" i="98"/>
  <c r="S72" i="98"/>
  <c r="R72" i="98"/>
  <c r="Q72" i="98"/>
  <c r="P72" i="98"/>
  <c r="O72" i="98"/>
  <c r="N72" i="98"/>
  <c r="A72" i="98"/>
  <c r="V71" i="98"/>
  <c r="U71" i="98"/>
  <c r="T71" i="98"/>
  <c r="S71" i="98"/>
  <c r="R71" i="98"/>
  <c r="Q71" i="98"/>
  <c r="P71" i="98"/>
  <c r="O71" i="98"/>
  <c r="N71" i="98"/>
  <c r="L71" i="98"/>
  <c r="K71" i="98"/>
  <c r="J71" i="98"/>
  <c r="I71" i="98"/>
  <c r="H71" i="98"/>
  <c r="G71" i="98"/>
  <c r="F71" i="98"/>
  <c r="E71" i="98"/>
  <c r="D71" i="98"/>
  <c r="C71" i="98"/>
  <c r="A71" i="98"/>
  <c r="V70" i="98"/>
  <c r="U70" i="98"/>
  <c r="T70" i="98"/>
  <c r="S70" i="98"/>
  <c r="R70" i="98"/>
  <c r="Q70" i="98"/>
  <c r="P70" i="98"/>
  <c r="O70" i="98"/>
  <c r="N70" i="98"/>
  <c r="A70" i="98"/>
  <c r="L69" i="98"/>
  <c r="K69" i="98"/>
  <c r="J69" i="98"/>
  <c r="I69" i="98"/>
  <c r="H69" i="98"/>
  <c r="C69" i="98"/>
  <c r="A69" i="98"/>
  <c r="V68" i="98"/>
  <c r="U68" i="98"/>
  <c r="T68" i="98"/>
  <c r="S68" i="98"/>
  <c r="R68" i="98"/>
  <c r="Q68" i="98"/>
  <c r="P68" i="98"/>
  <c r="O68" i="98"/>
  <c r="N68" i="98"/>
  <c r="C68" i="98"/>
  <c r="A68" i="98"/>
  <c r="V67" i="98"/>
  <c r="U67" i="98"/>
  <c r="T67" i="98"/>
  <c r="S67" i="98"/>
  <c r="R67" i="98"/>
  <c r="Q67" i="98"/>
  <c r="P67" i="98"/>
  <c r="O67" i="98"/>
  <c r="N67" i="98"/>
  <c r="A67" i="98"/>
  <c r="V66" i="98"/>
  <c r="U66" i="98"/>
  <c r="T66" i="98"/>
  <c r="S66" i="98"/>
  <c r="R66" i="98"/>
  <c r="Q66" i="98"/>
  <c r="P66" i="98"/>
  <c r="O66" i="98"/>
  <c r="N66" i="98"/>
  <c r="A66" i="98"/>
  <c r="C65" i="98"/>
  <c r="A65" i="98"/>
  <c r="V64" i="98"/>
  <c r="U64" i="98"/>
  <c r="T64" i="98"/>
  <c r="S64" i="98"/>
  <c r="R64" i="98"/>
  <c r="Q64" i="98"/>
  <c r="P64" i="98"/>
  <c r="O64" i="98"/>
  <c r="N64" i="98"/>
  <c r="C64" i="98"/>
  <c r="A64" i="98"/>
  <c r="V63" i="98"/>
  <c r="U63" i="98"/>
  <c r="T63" i="98"/>
  <c r="S63" i="98"/>
  <c r="R63" i="98"/>
  <c r="Q63" i="98"/>
  <c r="P63" i="98"/>
  <c r="O63" i="98"/>
  <c r="N63" i="98"/>
  <c r="A63" i="98"/>
  <c r="V62" i="98"/>
  <c r="U62" i="98"/>
  <c r="T62" i="98"/>
  <c r="S62" i="98"/>
  <c r="R62" i="98"/>
  <c r="Q62" i="98"/>
  <c r="P62" i="98"/>
  <c r="O62" i="98"/>
  <c r="N62" i="98"/>
  <c r="A62" i="98"/>
  <c r="V61" i="98"/>
  <c r="U61" i="98"/>
  <c r="T61" i="98"/>
  <c r="S61" i="98"/>
  <c r="R61" i="98"/>
  <c r="Q61" i="98"/>
  <c r="P61" i="98"/>
  <c r="O61" i="98"/>
  <c r="N61" i="98"/>
  <c r="A61" i="98"/>
  <c r="V60" i="98"/>
  <c r="U60" i="98"/>
  <c r="T60" i="98"/>
  <c r="S60" i="98"/>
  <c r="R60" i="98"/>
  <c r="Q60" i="98"/>
  <c r="P60" i="98"/>
  <c r="O60" i="98"/>
  <c r="N60" i="98"/>
  <c r="A60" i="98"/>
  <c r="V59" i="98"/>
  <c r="U59" i="98"/>
  <c r="T59" i="98"/>
  <c r="S59" i="98"/>
  <c r="R59" i="98"/>
  <c r="Q59" i="98"/>
  <c r="P59" i="98"/>
  <c r="O59" i="98"/>
  <c r="N59" i="98"/>
  <c r="A59" i="98"/>
  <c r="V58" i="98"/>
  <c r="U58" i="98"/>
  <c r="T58" i="98"/>
  <c r="S58" i="98"/>
  <c r="R58" i="98"/>
  <c r="Q58" i="98"/>
  <c r="P58" i="98"/>
  <c r="O58" i="98"/>
  <c r="N58" i="98"/>
  <c r="C58" i="98"/>
  <c r="A58" i="98"/>
  <c r="V57" i="98"/>
  <c r="U57" i="98"/>
  <c r="T57" i="98"/>
  <c r="S57" i="98"/>
  <c r="R57" i="98"/>
  <c r="Q57" i="98"/>
  <c r="P57" i="98"/>
  <c r="O57" i="98"/>
  <c r="N57" i="98"/>
  <c r="C57" i="98"/>
  <c r="A57" i="98"/>
  <c r="V56" i="98"/>
  <c r="U56" i="98"/>
  <c r="T56" i="98"/>
  <c r="S56" i="98"/>
  <c r="R56" i="98"/>
  <c r="Q56" i="98"/>
  <c r="P56" i="98"/>
  <c r="O56" i="98"/>
  <c r="N56" i="98"/>
  <c r="A56" i="98"/>
  <c r="V55" i="98"/>
  <c r="U55" i="98"/>
  <c r="T55" i="98"/>
  <c r="S55" i="98"/>
  <c r="R55" i="98"/>
  <c r="Q55" i="98"/>
  <c r="P55" i="98"/>
  <c r="O55" i="98"/>
  <c r="N55" i="98"/>
  <c r="A55" i="98"/>
  <c r="V54" i="98"/>
  <c r="U54" i="98"/>
  <c r="T54" i="98"/>
  <c r="S54" i="98"/>
  <c r="R54" i="98"/>
  <c r="Q54" i="98"/>
  <c r="P54" i="98"/>
  <c r="O54" i="98"/>
  <c r="N54" i="98"/>
  <c r="C54" i="98"/>
  <c r="A54" i="98"/>
  <c r="V53" i="98"/>
  <c r="U53" i="98"/>
  <c r="T53" i="98"/>
  <c r="S53" i="98"/>
  <c r="R53" i="98"/>
  <c r="Q53" i="98"/>
  <c r="P53" i="98"/>
  <c r="O53" i="98"/>
  <c r="N53" i="98"/>
  <c r="L53" i="98"/>
  <c r="K53" i="98"/>
  <c r="J53" i="98"/>
  <c r="I53" i="98"/>
  <c r="H53" i="98"/>
  <c r="G53" i="98"/>
  <c r="F53" i="98"/>
  <c r="E53" i="98"/>
  <c r="D53" i="98"/>
  <c r="C53" i="98"/>
  <c r="A53" i="98"/>
  <c r="V52" i="98"/>
  <c r="U52" i="98"/>
  <c r="T52" i="98"/>
  <c r="S52" i="98"/>
  <c r="R52" i="98"/>
  <c r="Q52" i="98"/>
  <c r="P52" i="98"/>
  <c r="O52" i="98"/>
  <c r="N52" i="98"/>
  <c r="L52" i="98"/>
  <c r="K52" i="98"/>
  <c r="J52" i="98"/>
  <c r="I52" i="98"/>
  <c r="H52" i="98"/>
  <c r="G52" i="98"/>
  <c r="F52" i="98"/>
  <c r="E52" i="98"/>
  <c r="D52" i="98"/>
  <c r="C52" i="98"/>
  <c r="A52" i="98"/>
  <c r="V51" i="98"/>
  <c r="U51" i="98"/>
  <c r="T51" i="98"/>
  <c r="S51" i="98"/>
  <c r="R51" i="98"/>
  <c r="Q51" i="98"/>
  <c r="P51" i="98"/>
  <c r="O51" i="98"/>
  <c r="N51" i="98"/>
  <c r="A51" i="98"/>
  <c r="V50" i="98"/>
  <c r="U50" i="98"/>
  <c r="T50" i="98"/>
  <c r="S50" i="98"/>
  <c r="R50" i="98"/>
  <c r="Q50" i="98"/>
  <c r="P50" i="98"/>
  <c r="O50" i="98"/>
  <c r="N50" i="98"/>
  <c r="A50" i="98"/>
  <c r="V49" i="98"/>
  <c r="U49" i="98"/>
  <c r="T49" i="98"/>
  <c r="S49" i="98"/>
  <c r="R49" i="98"/>
  <c r="Q49" i="98"/>
  <c r="P49" i="98"/>
  <c r="O49" i="98"/>
  <c r="N49" i="98"/>
  <c r="A49" i="98"/>
  <c r="V48" i="98"/>
  <c r="U48" i="98"/>
  <c r="T48" i="98"/>
  <c r="S48" i="98"/>
  <c r="R48" i="98"/>
  <c r="Q48" i="98"/>
  <c r="P48" i="98"/>
  <c r="O48" i="98"/>
  <c r="N48" i="98"/>
  <c r="A48" i="98"/>
  <c r="V47" i="98"/>
  <c r="U47" i="98"/>
  <c r="T47" i="98"/>
  <c r="S47" i="98"/>
  <c r="R47" i="98"/>
  <c r="Q47" i="98"/>
  <c r="P47" i="98"/>
  <c r="O47" i="98"/>
  <c r="N47" i="98"/>
  <c r="A47" i="98"/>
  <c r="V46" i="98"/>
  <c r="U46" i="98"/>
  <c r="T46" i="98"/>
  <c r="S46" i="98"/>
  <c r="R46" i="98"/>
  <c r="Q46" i="98"/>
  <c r="P46" i="98"/>
  <c r="O46" i="98"/>
  <c r="N46" i="98"/>
  <c r="A46" i="98"/>
  <c r="V45" i="98"/>
  <c r="U45" i="98"/>
  <c r="T45" i="98"/>
  <c r="S45" i="98"/>
  <c r="R45" i="98"/>
  <c r="Q45" i="98"/>
  <c r="P45" i="98"/>
  <c r="O45" i="98"/>
  <c r="N45" i="98"/>
  <c r="A45" i="98"/>
  <c r="V44" i="98"/>
  <c r="U44" i="98"/>
  <c r="T44" i="98"/>
  <c r="S44" i="98"/>
  <c r="R44" i="98"/>
  <c r="Q44" i="98"/>
  <c r="P44" i="98"/>
  <c r="O44" i="98"/>
  <c r="N44" i="98"/>
  <c r="A44" i="98"/>
  <c r="V43" i="98"/>
  <c r="U43" i="98"/>
  <c r="T43" i="98"/>
  <c r="S43" i="98"/>
  <c r="R43" i="98"/>
  <c r="Q43" i="98"/>
  <c r="P43" i="98"/>
  <c r="O43" i="98"/>
  <c r="N43" i="98"/>
  <c r="L43" i="98"/>
  <c r="K43" i="98"/>
  <c r="J43" i="98"/>
  <c r="I43" i="98"/>
  <c r="H43" i="98"/>
  <c r="G43" i="98"/>
  <c r="F43" i="98"/>
  <c r="E43" i="98"/>
  <c r="D43" i="98"/>
  <c r="C43" i="98"/>
  <c r="A43" i="98"/>
  <c r="V42" i="98"/>
  <c r="U42" i="98"/>
  <c r="T42" i="98"/>
  <c r="S42" i="98"/>
  <c r="R42" i="98"/>
  <c r="Q42" i="98"/>
  <c r="P42" i="98"/>
  <c r="O42" i="98"/>
  <c r="N42" i="98"/>
  <c r="L42" i="98"/>
  <c r="K42" i="98"/>
  <c r="J42" i="98"/>
  <c r="I42" i="98"/>
  <c r="H42" i="98"/>
  <c r="G42" i="98"/>
  <c r="F42" i="98"/>
  <c r="E42" i="98"/>
  <c r="D42" i="98"/>
  <c r="C42" i="98"/>
  <c r="A42" i="98"/>
  <c r="V41" i="98"/>
  <c r="U41" i="98"/>
  <c r="T41" i="98"/>
  <c r="S41" i="98"/>
  <c r="R41" i="98"/>
  <c r="Q41" i="98"/>
  <c r="P41" i="98"/>
  <c r="O41" i="98"/>
  <c r="N41" i="98"/>
  <c r="L41" i="98"/>
  <c r="K41" i="98"/>
  <c r="J41" i="98"/>
  <c r="I41" i="98"/>
  <c r="H41" i="98"/>
  <c r="G41" i="98"/>
  <c r="F41" i="98"/>
  <c r="E41" i="98"/>
  <c r="D41" i="98"/>
  <c r="C41" i="98"/>
  <c r="A41" i="98"/>
  <c r="V40" i="98"/>
  <c r="U40" i="98"/>
  <c r="T40" i="98"/>
  <c r="S40" i="98"/>
  <c r="R40" i="98"/>
  <c r="Q40" i="98"/>
  <c r="P40" i="98"/>
  <c r="O40" i="98"/>
  <c r="N40" i="98"/>
  <c r="A40" i="98"/>
  <c r="V39" i="98"/>
  <c r="U39" i="98"/>
  <c r="T39" i="98"/>
  <c r="S39" i="98"/>
  <c r="R39" i="98"/>
  <c r="Q39" i="98"/>
  <c r="P39" i="98"/>
  <c r="O39" i="98"/>
  <c r="N39" i="98"/>
  <c r="L39" i="98"/>
  <c r="K39" i="98"/>
  <c r="J39" i="98"/>
  <c r="I39" i="98"/>
  <c r="H39" i="98"/>
  <c r="G39" i="98"/>
  <c r="F39" i="98"/>
  <c r="E39" i="98"/>
  <c r="D39" i="98"/>
  <c r="C39" i="98"/>
  <c r="A39" i="98"/>
  <c r="V38" i="98"/>
  <c r="U38" i="98"/>
  <c r="T38" i="98"/>
  <c r="S38" i="98"/>
  <c r="R38" i="98"/>
  <c r="Q38" i="98"/>
  <c r="P38" i="98"/>
  <c r="O38" i="98"/>
  <c r="N38" i="98"/>
  <c r="A38" i="98"/>
  <c r="V37" i="98"/>
  <c r="U37" i="98"/>
  <c r="T37" i="98"/>
  <c r="S37" i="98"/>
  <c r="R37" i="98"/>
  <c r="Q37" i="98"/>
  <c r="P37" i="98"/>
  <c r="O37" i="98"/>
  <c r="N37" i="98"/>
  <c r="L37" i="98"/>
  <c r="K37" i="98"/>
  <c r="J37" i="98"/>
  <c r="I37" i="98"/>
  <c r="H37" i="98"/>
  <c r="G37" i="98"/>
  <c r="F37" i="98"/>
  <c r="E37" i="98"/>
  <c r="D37" i="98"/>
  <c r="C37" i="98"/>
  <c r="A37" i="98"/>
  <c r="V36" i="98"/>
  <c r="U36" i="98"/>
  <c r="T36" i="98"/>
  <c r="S36" i="98"/>
  <c r="R36" i="98"/>
  <c r="Q36" i="98"/>
  <c r="P36" i="98"/>
  <c r="O36" i="98"/>
  <c r="N36" i="98"/>
  <c r="F36" i="98"/>
  <c r="E36" i="98"/>
  <c r="D36" i="98"/>
  <c r="C36" i="98"/>
  <c r="A36" i="98"/>
  <c r="V35" i="98"/>
  <c r="U35" i="98"/>
  <c r="T35" i="98"/>
  <c r="S35" i="98"/>
  <c r="R35" i="98"/>
  <c r="Q35" i="98"/>
  <c r="P35" i="98"/>
  <c r="O35" i="98"/>
  <c r="N35" i="98"/>
  <c r="F35" i="98"/>
  <c r="E35" i="98"/>
  <c r="D35" i="98"/>
  <c r="A35" i="98"/>
  <c r="V34" i="98"/>
  <c r="U34" i="98"/>
  <c r="T34" i="98"/>
  <c r="S34" i="98"/>
  <c r="R34" i="98"/>
  <c r="Q34" i="98"/>
  <c r="P34" i="98"/>
  <c r="O34" i="98"/>
  <c r="N34" i="98"/>
  <c r="L34" i="98"/>
  <c r="K34" i="98"/>
  <c r="J34" i="98"/>
  <c r="I34" i="98"/>
  <c r="H34" i="98"/>
  <c r="G34" i="98"/>
  <c r="F34" i="98"/>
  <c r="E34" i="98"/>
  <c r="D34" i="98"/>
  <c r="C34" i="98"/>
  <c r="A34" i="98"/>
  <c r="V33" i="98"/>
  <c r="U33" i="98"/>
  <c r="T33" i="98"/>
  <c r="S33" i="98"/>
  <c r="R33" i="98"/>
  <c r="Q33" i="98"/>
  <c r="P33" i="98"/>
  <c r="O33" i="98"/>
  <c r="N33" i="98"/>
  <c r="L33" i="98"/>
  <c r="K33" i="98"/>
  <c r="J33" i="98"/>
  <c r="I33" i="98"/>
  <c r="H33" i="98"/>
  <c r="G33" i="98"/>
  <c r="F33" i="98"/>
  <c r="E33" i="98"/>
  <c r="D33" i="98"/>
  <c r="T32" i="98"/>
  <c r="S32" i="98"/>
  <c r="V31" i="98"/>
  <c r="U31" i="98"/>
  <c r="T31" i="98"/>
  <c r="S31" i="98"/>
  <c r="R31" i="98"/>
  <c r="Q31" i="98"/>
  <c r="P31" i="98"/>
  <c r="O31" i="98"/>
  <c r="N31" i="98"/>
  <c r="M31" i="98"/>
  <c r="J20" i="98"/>
  <c r="I20" i="98"/>
  <c r="H20" i="98"/>
  <c r="G20" i="98"/>
  <c r="J19" i="98"/>
  <c r="I19" i="98"/>
  <c r="H19" i="98"/>
  <c r="G19" i="98"/>
  <c r="J18" i="98"/>
  <c r="I18" i="98"/>
  <c r="H18" i="98"/>
  <c r="G18" i="98"/>
  <c r="J17" i="98"/>
  <c r="I17" i="98"/>
  <c r="H17" i="98"/>
  <c r="G17" i="98"/>
  <c r="J16" i="98"/>
  <c r="I16" i="98"/>
  <c r="H16" i="98"/>
  <c r="G16" i="98"/>
  <c r="J15" i="98"/>
  <c r="I15" i="98"/>
  <c r="H15" i="98"/>
  <c r="G15" i="98"/>
  <c r="J14" i="98"/>
  <c r="I14" i="98"/>
  <c r="H14" i="98"/>
  <c r="G14" i="98"/>
  <c r="J13" i="98"/>
  <c r="I13" i="98"/>
  <c r="H13" i="98"/>
  <c r="G13" i="98"/>
  <c r="J12" i="98"/>
  <c r="I12" i="98"/>
  <c r="H12" i="98"/>
  <c r="G12" i="98"/>
  <c r="J11" i="98"/>
  <c r="H11" i="98"/>
  <c r="G11" i="98"/>
  <c r="E7" i="98"/>
  <c r="B7" i="98"/>
  <c r="I11" i="98" s="1"/>
  <c r="C33" i="98" s="1"/>
  <c r="J138" i="17"/>
  <c r="I138" i="17"/>
  <c r="H138" i="17"/>
  <c r="G138" i="17"/>
  <c r="F138" i="17"/>
  <c r="K137" i="17"/>
  <c r="J137" i="17"/>
  <c r="H137" i="17"/>
  <c r="F137" i="17"/>
  <c r="E137" i="17"/>
  <c r="D137" i="17"/>
  <c r="C137" i="17"/>
  <c r="K136" i="17"/>
  <c r="J136" i="17"/>
  <c r="H136" i="17"/>
  <c r="F136" i="17"/>
  <c r="E136" i="17"/>
  <c r="D136" i="17"/>
  <c r="C136" i="17"/>
  <c r="K135" i="17"/>
  <c r="J135" i="17"/>
  <c r="H135" i="17"/>
  <c r="F135" i="17"/>
  <c r="E135" i="17"/>
  <c r="D135" i="17"/>
  <c r="C135" i="17"/>
  <c r="J131" i="17"/>
  <c r="I131" i="17"/>
  <c r="H131" i="17"/>
  <c r="G131" i="17"/>
  <c r="F131" i="17"/>
  <c r="K130" i="17"/>
  <c r="J130" i="17"/>
  <c r="H130" i="17"/>
  <c r="G130" i="17"/>
  <c r="F130" i="17"/>
  <c r="E130" i="17"/>
  <c r="D130" i="17"/>
  <c r="C130" i="17"/>
  <c r="K129" i="17"/>
  <c r="J129" i="17"/>
  <c r="H129" i="17"/>
  <c r="G129" i="17"/>
  <c r="F129" i="17"/>
  <c r="E129" i="17"/>
  <c r="D129" i="17"/>
  <c r="C129" i="17"/>
  <c r="K128" i="17"/>
  <c r="J128" i="17"/>
  <c r="H128" i="17"/>
  <c r="G128" i="17"/>
  <c r="F128" i="17"/>
  <c r="E128" i="17"/>
  <c r="D128" i="17"/>
  <c r="C128" i="17"/>
  <c r="V103" i="17"/>
  <c r="U103" i="17"/>
  <c r="T103" i="17"/>
  <c r="S103" i="17"/>
  <c r="R103" i="17"/>
  <c r="Q103" i="17"/>
  <c r="A103" i="17"/>
  <c r="V102" i="17"/>
  <c r="U102" i="17"/>
  <c r="T102" i="17"/>
  <c r="S102" i="17"/>
  <c r="R102" i="17"/>
  <c r="Q102" i="17"/>
  <c r="A102" i="17"/>
  <c r="V101" i="17"/>
  <c r="U101" i="17"/>
  <c r="T101" i="17"/>
  <c r="S101" i="17"/>
  <c r="R101" i="17"/>
  <c r="Q101" i="17"/>
  <c r="A101" i="17"/>
  <c r="V100" i="17"/>
  <c r="U100" i="17"/>
  <c r="T100" i="17"/>
  <c r="S100" i="17"/>
  <c r="R100" i="17"/>
  <c r="Q100" i="17"/>
  <c r="A100" i="17"/>
  <c r="V99" i="17"/>
  <c r="U99" i="17"/>
  <c r="T99" i="17"/>
  <c r="S99" i="17"/>
  <c r="R99" i="17"/>
  <c r="Q99" i="17"/>
  <c r="A99" i="17"/>
  <c r="V98" i="17"/>
  <c r="U98" i="17"/>
  <c r="T98" i="17"/>
  <c r="S98" i="17"/>
  <c r="R98" i="17"/>
  <c r="Q98" i="17"/>
  <c r="A98" i="17"/>
  <c r="V97" i="17"/>
  <c r="U97" i="17"/>
  <c r="T97" i="17"/>
  <c r="S97" i="17"/>
  <c r="R97" i="17"/>
  <c r="Q97" i="17"/>
  <c r="A97" i="17"/>
  <c r="V96" i="17"/>
  <c r="U96" i="17"/>
  <c r="T96" i="17"/>
  <c r="S96" i="17"/>
  <c r="R96" i="17"/>
  <c r="Q96" i="17"/>
  <c r="A96" i="17"/>
  <c r="V95" i="17"/>
  <c r="U95" i="17"/>
  <c r="T95" i="17"/>
  <c r="S95" i="17"/>
  <c r="R95" i="17"/>
  <c r="Q95" i="17"/>
  <c r="A95" i="17"/>
  <c r="V94" i="17"/>
  <c r="U94" i="17"/>
  <c r="T94" i="17"/>
  <c r="S94" i="17"/>
  <c r="R94" i="17"/>
  <c r="Q94" i="17"/>
  <c r="A94" i="17"/>
  <c r="V93" i="17"/>
  <c r="U93" i="17"/>
  <c r="T93" i="17"/>
  <c r="S93" i="17"/>
  <c r="R93" i="17"/>
  <c r="Q93" i="17"/>
  <c r="A93" i="17"/>
  <c r="V92" i="17"/>
  <c r="U92" i="17"/>
  <c r="T92" i="17"/>
  <c r="S92" i="17"/>
  <c r="R92" i="17"/>
  <c r="Q92" i="17"/>
  <c r="A92" i="17"/>
  <c r="V91" i="17"/>
  <c r="U91" i="17"/>
  <c r="T91" i="17"/>
  <c r="S91" i="17"/>
  <c r="R91" i="17"/>
  <c r="Q91" i="17"/>
  <c r="A91" i="17"/>
  <c r="V90" i="17"/>
  <c r="U90" i="17"/>
  <c r="T90" i="17"/>
  <c r="S90" i="17"/>
  <c r="R90" i="17"/>
  <c r="Q90" i="17"/>
  <c r="A90" i="17"/>
  <c r="V89" i="17"/>
  <c r="U89" i="17"/>
  <c r="T89" i="17"/>
  <c r="S89" i="17"/>
  <c r="R89" i="17"/>
  <c r="Q89" i="17"/>
  <c r="A89" i="17"/>
  <c r="V88" i="17"/>
  <c r="U88" i="17"/>
  <c r="T88" i="17"/>
  <c r="S88" i="17"/>
  <c r="R88" i="17"/>
  <c r="Q88" i="17"/>
  <c r="A88" i="17"/>
  <c r="V87" i="17"/>
  <c r="U87" i="17"/>
  <c r="T87" i="17"/>
  <c r="S87" i="17"/>
  <c r="R87" i="17"/>
  <c r="Q87" i="17"/>
  <c r="A87" i="17"/>
  <c r="V86" i="17"/>
  <c r="U86" i="17"/>
  <c r="T86" i="17"/>
  <c r="S86" i="17"/>
  <c r="R86" i="17"/>
  <c r="Q86" i="17"/>
  <c r="A86" i="17"/>
  <c r="V85" i="17"/>
  <c r="U85" i="17"/>
  <c r="T85" i="17"/>
  <c r="S85" i="17"/>
  <c r="R85" i="17"/>
  <c r="Q85" i="17"/>
  <c r="A85" i="17"/>
  <c r="V84" i="17"/>
  <c r="U84" i="17"/>
  <c r="T84" i="17"/>
  <c r="S84" i="17"/>
  <c r="R84" i="17"/>
  <c r="Q84" i="17"/>
  <c r="A84" i="17"/>
  <c r="V83" i="17"/>
  <c r="U83" i="17"/>
  <c r="T83" i="17"/>
  <c r="S83" i="17"/>
  <c r="R83" i="17"/>
  <c r="Q83" i="17"/>
  <c r="A83" i="17"/>
  <c r="V82" i="17"/>
  <c r="U82" i="17"/>
  <c r="T82" i="17"/>
  <c r="S82" i="17"/>
  <c r="R82" i="17"/>
  <c r="Q82" i="17"/>
  <c r="L82" i="17"/>
  <c r="K82" i="17"/>
  <c r="J82" i="17"/>
  <c r="I82" i="17"/>
  <c r="H82" i="17"/>
  <c r="G82" i="17"/>
  <c r="F82" i="17"/>
  <c r="A82" i="17"/>
  <c r="V81" i="17"/>
  <c r="U81" i="17"/>
  <c r="T81" i="17"/>
  <c r="S81" i="17"/>
  <c r="R81" i="17"/>
  <c r="Q81" i="17"/>
  <c r="A81" i="17"/>
  <c r="V80" i="17"/>
  <c r="U80" i="17"/>
  <c r="T80" i="17"/>
  <c r="S80" i="17"/>
  <c r="R80" i="17"/>
  <c r="Q80" i="17"/>
  <c r="A80" i="17"/>
  <c r="V79" i="17"/>
  <c r="U79" i="17"/>
  <c r="T79" i="17"/>
  <c r="S79" i="17"/>
  <c r="R79" i="17"/>
  <c r="Q79" i="17"/>
  <c r="A79" i="17"/>
  <c r="V78" i="17"/>
  <c r="U78" i="17"/>
  <c r="T78" i="17"/>
  <c r="S78" i="17"/>
  <c r="R78" i="17"/>
  <c r="Q78" i="17"/>
  <c r="A78" i="17"/>
  <c r="V77" i="17"/>
  <c r="U77" i="17"/>
  <c r="T77" i="17"/>
  <c r="S77" i="17"/>
  <c r="R77" i="17"/>
  <c r="Q77" i="17"/>
  <c r="A77" i="17"/>
  <c r="V76" i="17"/>
  <c r="U76" i="17"/>
  <c r="T76" i="17"/>
  <c r="S76" i="17"/>
  <c r="R76" i="17"/>
  <c r="Q76" i="17"/>
  <c r="A76" i="17"/>
  <c r="V75" i="17"/>
  <c r="U75" i="17"/>
  <c r="T75" i="17"/>
  <c r="S75" i="17"/>
  <c r="R75" i="17"/>
  <c r="Q75" i="17"/>
  <c r="A75" i="17"/>
  <c r="V74" i="17"/>
  <c r="U74" i="17"/>
  <c r="T74" i="17"/>
  <c r="S74" i="17"/>
  <c r="R74" i="17"/>
  <c r="Q74" i="17"/>
  <c r="A74" i="17"/>
  <c r="V73" i="17"/>
  <c r="U73" i="17"/>
  <c r="T73" i="17"/>
  <c r="S73" i="17"/>
  <c r="R73" i="17"/>
  <c r="Q73" i="17"/>
  <c r="A73" i="17"/>
  <c r="V72" i="17"/>
  <c r="U72" i="17"/>
  <c r="T72" i="17"/>
  <c r="S72" i="17"/>
  <c r="R72" i="17"/>
  <c r="Q72" i="17"/>
  <c r="A72" i="17"/>
  <c r="V71" i="17"/>
  <c r="U71" i="17"/>
  <c r="T71" i="17"/>
  <c r="S71" i="17"/>
  <c r="R71" i="17"/>
  <c r="Q71" i="17"/>
  <c r="L71" i="17"/>
  <c r="K71" i="17"/>
  <c r="J71" i="17"/>
  <c r="I71" i="17"/>
  <c r="H71" i="17"/>
  <c r="G71" i="17"/>
  <c r="F71" i="17"/>
  <c r="E71" i="17"/>
  <c r="D71" i="17"/>
  <c r="C71" i="17"/>
  <c r="A71" i="17"/>
  <c r="V70" i="17"/>
  <c r="U70" i="17"/>
  <c r="T70" i="17"/>
  <c r="S70" i="17"/>
  <c r="R70" i="17"/>
  <c r="Q70" i="17"/>
  <c r="A70" i="17"/>
  <c r="L69" i="17"/>
  <c r="K69" i="17"/>
  <c r="J69" i="17"/>
  <c r="I69" i="17"/>
  <c r="H69" i="17"/>
  <c r="F69" i="17"/>
  <c r="E69" i="17"/>
  <c r="D69" i="17"/>
  <c r="C69" i="17"/>
  <c r="A69" i="17"/>
  <c r="V68" i="17"/>
  <c r="U68" i="17"/>
  <c r="T68" i="17"/>
  <c r="S68" i="17"/>
  <c r="R68" i="17"/>
  <c r="Q68" i="17"/>
  <c r="F68" i="17"/>
  <c r="E68" i="17"/>
  <c r="D68" i="17"/>
  <c r="C68" i="17"/>
  <c r="A68" i="17"/>
  <c r="V67" i="17"/>
  <c r="U67" i="17"/>
  <c r="T67" i="17"/>
  <c r="S67" i="17"/>
  <c r="R67" i="17"/>
  <c r="Q67" i="17"/>
  <c r="A67" i="17"/>
  <c r="V66" i="17"/>
  <c r="U66" i="17"/>
  <c r="T66" i="17"/>
  <c r="S66" i="17"/>
  <c r="R66" i="17"/>
  <c r="Q66" i="17"/>
  <c r="A66" i="17"/>
  <c r="F65" i="17"/>
  <c r="E65" i="17"/>
  <c r="D65" i="17"/>
  <c r="C65" i="17"/>
  <c r="A65" i="17"/>
  <c r="V64" i="17"/>
  <c r="U64" i="17"/>
  <c r="T64" i="17"/>
  <c r="S64" i="17"/>
  <c r="R64" i="17"/>
  <c r="Q64" i="17"/>
  <c r="F64" i="17"/>
  <c r="E64" i="17"/>
  <c r="D64" i="17"/>
  <c r="C64" i="17"/>
  <c r="A64" i="17"/>
  <c r="V63" i="17"/>
  <c r="U63" i="17"/>
  <c r="T63" i="17"/>
  <c r="S63" i="17"/>
  <c r="R63" i="17"/>
  <c r="Q63" i="17"/>
  <c r="A63" i="17"/>
  <c r="V62" i="17"/>
  <c r="U62" i="17"/>
  <c r="T62" i="17"/>
  <c r="S62" i="17"/>
  <c r="R62" i="17"/>
  <c r="Q62" i="17"/>
  <c r="A62" i="17"/>
  <c r="V61" i="17"/>
  <c r="U61" i="17"/>
  <c r="T61" i="17"/>
  <c r="S61" i="17"/>
  <c r="R61" i="17"/>
  <c r="Q61" i="17"/>
  <c r="A61" i="17"/>
  <c r="V60" i="17"/>
  <c r="U60" i="17"/>
  <c r="T60" i="17"/>
  <c r="S60" i="17"/>
  <c r="R60" i="17"/>
  <c r="Q60" i="17"/>
  <c r="A60" i="17"/>
  <c r="V59" i="17"/>
  <c r="U59" i="17"/>
  <c r="T59" i="17"/>
  <c r="S59" i="17"/>
  <c r="R59" i="17"/>
  <c r="Q59" i="17"/>
  <c r="A59" i="17"/>
  <c r="V58" i="17"/>
  <c r="U58" i="17"/>
  <c r="T58" i="17"/>
  <c r="S58" i="17"/>
  <c r="R58" i="17"/>
  <c r="Q58" i="17"/>
  <c r="C58" i="17"/>
  <c r="A58" i="17"/>
  <c r="V57" i="17"/>
  <c r="U57" i="17"/>
  <c r="T57" i="17"/>
  <c r="S57" i="17"/>
  <c r="R57" i="17"/>
  <c r="Q57" i="17"/>
  <c r="C57" i="17"/>
  <c r="A57" i="17"/>
  <c r="V56" i="17"/>
  <c r="U56" i="17"/>
  <c r="T56" i="17"/>
  <c r="S56" i="17"/>
  <c r="R56" i="17"/>
  <c r="Q56" i="17"/>
  <c r="A56" i="17"/>
  <c r="V55" i="17"/>
  <c r="U55" i="17"/>
  <c r="T55" i="17"/>
  <c r="S55" i="17"/>
  <c r="R55" i="17"/>
  <c r="Q55" i="17"/>
  <c r="A55" i="17"/>
  <c r="V54" i="17"/>
  <c r="U54" i="17"/>
  <c r="T54" i="17"/>
  <c r="S54" i="17"/>
  <c r="R54" i="17"/>
  <c r="Q54" i="17"/>
  <c r="F54" i="17"/>
  <c r="E54" i="17"/>
  <c r="D54" i="17"/>
  <c r="C54" i="17"/>
  <c r="A54" i="17"/>
  <c r="V53" i="17"/>
  <c r="U53" i="17"/>
  <c r="T53" i="17"/>
  <c r="S53" i="17"/>
  <c r="R53" i="17"/>
  <c r="Q53" i="17"/>
  <c r="L53" i="17"/>
  <c r="K53" i="17"/>
  <c r="J53" i="17"/>
  <c r="I53" i="17"/>
  <c r="H53" i="17"/>
  <c r="G53" i="17"/>
  <c r="F53" i="17"/>
  <c r="E53" i="17"/>
  <c r="D53" i="17"/>
  <c r="C53" i="17"/>
  <c r="A53" i="17"/>
  <c r="V52" i="17"/>
  <c r="U52" i="17"/>
  <c r="T52" i="17"/>
  <c r="S52" i="17"/>
  <c r="R52" i="17"/>
  <c r="Q52" i="17"/>
  <c r="L52" i="17"/>
  <c r="K52" i="17"/>
  <c r="J52" i="17"/>
  <c r="I52" i="17"/>
  <c r="H52" i="17"/>
  <c r="G52" i="17"/>
  <c r="F52" i="17"/>
  <c r="E52" i="17"/>
  <c r="D52" i="17"/>
  <c r="C52" i="17"/>
  <c r="A52" i="17"/>
  <c r="V51" i="17"/>
  <c r="U51" i="17"/>
  <c r="T51" i="17"/>
  <c r="S51" i="17"/>
  <c r="R51" i="17"/>
  <c r="Q51" i="17"/>
  <c r="A51" i="17"/>
  <c r="V50" i="17"/>
  <c r="U50" i="17"/>
  <c r="T50" i="17"/>
  <c r="S50" i="17"/>
  <c r="R50" i="17"/>
  <c r="Q50" i="17"/>
  <c r="A50" i="17"/>
  <c r="V49" i="17"/>
  <c r="U49" i="17"/>
  <c r="T49" i="17"/>
  <c r="S49" i="17"/>
  <c r="R49" i="17"/>
  <c r="Q49" i="17"/>
  <c r="A49" i="17"/>
  <c r="V48" i="17"/>
  <c r="U48" i="17"/>
  <c r="T48" i="17"/>
  <c r="S48" i="17"/>
  <c r="R48" i="17"/>
  <c r="Q48" i="17"/>
  <c r="A48" i="17"/>
  <c r="V47" i="17"/>
  <c r="U47" i="17"/>
  <c r="T47" i="17"/>
  <c r="S47" i="17"/>
  <c r="R47" i="17"/>
  <c r="Q47" i="17"/>
  <c r="A47" i="17"/>
  <c r="V46" i="17"/>
  <c r="U46" i="17"/>
  <c r="T46" i="17"/>
  <c r="S46" i="17"/>
  <c r="R46" i="17"/>
  <c r="Q46" i="17"/>
  <c r="A46" i="17"/>
  <c r="V45" i="17"/>
  <c r="U45" i="17"/>
  <c r="T45" i="17"/>
  <c r="S45" i="17"/>
  <c r="R45" i="17"/>
  <c r="Q45" i="17"/>
  <c r="A45" i="17"/>
  <c r="V44" i="17"/>
  <c r="U44" i="17"/>
  <c r="T44" i="17"/>
  <c r="S44" i="17"/>
  <c r="R44" i="17"/>
  <c r="Q44" i="17"/>
  <c r="A44" i="17"/>
  <c r="V43" i="17"/>
  <c r="U43" i="17"/>
  <c r="T43" i="17"/>
  <c r="S43" i="17"/>
  <c r="R43" i="17"/>
  <c r="Q43" i="17"/>
  <c r="L43" i="17"/>
  <c r="K43" i="17"/>
  <c r="J43" i="17"/>
  <c r="I43" i="17"/>
  <c r="H43" i="17"/>
  <c r="G43" i="17"/>
  <c r="F43" i="17"/>
  <c r="E43" i="17"/>
  <c r="D43" i="17"/>
  <c r="C43" i="17"/>
  <c r="A43" i="17"/>
  <c r="V42" i="17"/>
  <c r="U42" i="17"/>
  <c r="T42" i="17"/>
  <c r="S42" i="17"/>
  <c r="R42" i="17"/>
  <c r="Q42" i="17"/>
  <c r="L42" i="17"/>
  <c r="K42" i="17"/>
  <c r="J42" i="17"/>
  <c r="I42" i="17"/>
  <c r="H42" i="17"/>
  <c r="G42" i="17"/>
  <c r="F42" i="17"/>
  <c r="E42" i="17"/>
  <c r="D42" i="17"/>
  <c r="C42" i="17"/>
  <c r="A42" i="17"/>
  <c r="V41" i="17"/>
  <c r="U41" i="17"/>
  <c r="T41" i="17"/>
  <c r="S41" i="17"/>
  <c r="R41" i="17"/>
  <c r="Q41" i="17"/>
  <c r="L41" i="17"/>
  <c r="K41" i="17"/>
  <c r="J41" i="17"/>
  <c r="I41" i="17"/>
  <c r="H41" i="17"/>
  <c r="G41" i="17"/>
  <c r="F41" i="17"/>
  <c r="E41" i="17"/>
  <c r="D41" i="17"/>
  <c r="C41" i="17"/>
  <c r="A41" i="17"/>
  <c r="V40" i="17"/>
  <c r="U40" i="17"/>
  <c r="T40" i="17"/>
  <c r="S40" i="17"/>
  <c r="R40" i="17"/>
  <c r="Q40" i="17"/>
  <c r="A40" i="17"/>
  <c r="V39" i="17"/>
  <c r="U39" i="17"/>
  <c r="T39" i="17"/>
  <c r="S39" i="17"/>
  <c r="R39" i="17"/>
  <c r="Q39" i="17"/>
  <c r="L39" i="17"/>
  <c r="K39" i="17"/>
  <c r="J39" i="17"/>
  <c r="I39" i="17"/>
  <c r="H39" i="17"/>
  <c r="G39" i="17"/>
  <c r="F39" i="17"/>
  <c r="E39" i="17"/>
  <c r="D39" i="17"/>
  <c r="C39" i="17"/>
  <c r="A39" i="17"/>
  <c r="V38" i="17"/>
  <c r="U38" i="17"/>
  <c r="T38" i="17"/>
  <c r="S38" i="17"/>
  <c r="R38" i="17"/>
  <c r="Q38" i="17"/>
  <c r="A38" i="17"/>
  <c r="V37" i="17"/>
  <c r="U37" i="17"/>
  <c r="T37" i="17"/>
  <c r="S37" i="17"/>
  <c r="R37" i="17"/>
  <c r="Q37" i="17"/>
  <c r="L37" i="17"/>
  <c r="K37" i="17"/>
  <c r="J37" i="17"/>
  <c r="I37" i="17"/>
  <c r="H37" i="17"/>
  <c r="G37" i="17"/>
  <c r="F37" i="17"/>
  <c r="E37" i="17"/>
  <c r="D37" i="17"/>
  <c r="C37" i="17"/>
  <c r="A37" i="17"/>
  <c r="V36" i="17"/>
  <c r="U36" i="17"/>
  <c r="T36" i="17"/>
  <c r="S36" i="17"/>
  <c r="R36" i="17"/>
  <c r="Q36" i="17"/>
  <c r="F36" i="17"/>
  <c r="E36" i="17"/>
  <c r="D36" i="17"/>
  <c r="C36" i="17"/>
  <c r="A36" i="17"/>
  <c r="V35" i="17"/>
  <c r="U35" i="17"/>
  <c r="T35" i="17"/>
  <c r="S35" i="17"/>
  <c r="R35" i="17"/>
  <c r="Q35" i="17"/>
  <c r="A35" i="17"/>
  <c r="V34" i="17"/>
  <c r="U34" i="17"/>
  <c r="T34" i="17"/>
  <c r="S34" i="17"/>
  <c r="R34" i="17"/>
  <c r="Q34" i="17"/>
  <c r="L34" i="17"/>
  <c r="K34" i="17"/>
  <c r="J34" i="17"/>
  <c r="I34" i="17"/>
  <c r="H34" i="17"/>
  <c r="G34" i="17"/>
  <c r="F34" i="17"/>
  <c r="E34" i="17"/>
  <c r="D34" i="17"/>
  <c r="C34" i="17"/>
  <c r="A34" i="17"/>
  <c r="V33" i="17"/>
  <c r="U33" i="17"/>
  <c r="T33" i="17"/>
  <c r="S33" i="17"/>
  <c r="R33" i="17"/>
  <c r="Q33" i="17"/>
  <c r="L33" i="17"/>
  <c r="K33" i="17"/>
  <c r="J33" i="17"/>
  <c r="I33" i="17"/>
  <c r="H33" i="17"/>
  <c r="G33" i="17"/>
  <c r="T32" i="17"/>
  <c r="S32" i="17"/>
  <c r="V31" i="17"/>
  <c r="U31" i="17"/>
  <c r="T31" i="17"/>
  <c r="S31" i="17"/>
  <c r="R31" i="17"/>
  <c r="Q31" i="17"/>
  <c r="P31" i="17"/>
  <c r="O31" i="17"/>
  <c r="N31" i="17"/>
  <c r="M31" i="17"/>
  <c r="J20" i="17"/>
  <c r="I20" i="17"/>
  <c r="H20" i="17"/>
  <c r="G20" i="17"/>
  <c r="J19" i="17"/>
  <c r="I19" i="17"/>
  <c r="H19" i="17"/>
  <c r="G19" i="17"/>
  <c r="J18" i="17"/>
  <c r="I18" i="17"/>
  <c r="H18" i="17"/>
  <c r="G18" i="17"/>
  <c r="J17" i="17"/>
  <c r="I17" i="17"/>
  <c r="H17" i="17"/>
  <c r="G17" i="17"/>
  <c r="J16" i="17"/>
  <c r="I16" i="17"/>
  <c r="H16" i="17"/>
  <c r="G16" i="17"/>
  <c r="J15" i="17"/>
  <c r="I15" i="17"/>
  <c r="H15" i="17"/>
  <c r="G15" i="17"/>
  <c r="J14" i="17"/>
  <c r="H14" i="17"/>
  <c r="G14" i="17"/>
  <c r="J13" i="17"/>
  <c r="H13" i="17"/>
  <c r="G13" i="17"/>
  <c r="J12" i="17"/>
  <c r="H12" i="17"/>
  <c r="G12" i="17"/>
  <c r="J11" i="17"/>
  <c r="H11" i="17"/>
  <c r="G11" i="17"/>
  <c r="E7" i="17"/>
  <c r="B7" i="17"/>
  <c r="N134" i="24"/>
  <c r="M134" i="24"/>
  <c r="L134" i="24"/>
  <c r="K134" i="24"/>
  <c r="J134" i="24"/>
  <c r="O133" i="24"/>
  <c r="N133" i="24"/>
  <c r="M133" i="24"/>
  <c r="L133" i="24"/>
  <c r="J133" i="24"/>
  <c r="I133" i="24"/>
  <c r="H133" i="24"/>
  <c r="O132" i="24"/>
  <c r="N132" i="24"/>
  <c r="M132" i="24"/>
  <c r="L132" i="24"/>
  <c r="J132" i="24"/>
  <c r="I132" i="24"/>
  <c r="H132" i="24"/>
  <c r="O131" i="24"/>
  <c r="N131" i="24"/>
  <c r="M131" i="24"/>
  <c r="L131" i="24"/>
  <c r="J131" i="24"/>
  <c r="I131" i="24"/>
  <c r="H131" i="24"/>
  <c r="O130" i="24"/>
  <c r="N130" i="24"/>
  <c r="M130" i="24"/>
  <c r="L130" i="24"/>
  <c r="J130" i="24"/>
  <c r="I130" i="24"/>
  <c r="H130" i="24"/>
  <c r="N127" i="24"/>
  <c r="M127" i="24"/>
  <c r="L127" i="24"/>
  <c r="K127" i="24"/>
  <c r="J127" i="24"/>
  <c r="O126" i="24"/>
  <c r="N126" i="24"/>
  <c r="M126" i="24"/>
  <c r="L126" i="24"/>
  <c r="K126" i="24"/>
  <c r="J126" i="24"/>
  <c r="I126" i="24"/>
  <c r="H126" i="24"/>
  <c r="O125" i="24"/>
  <c r="N125" i="24"/>
  <c r="M125" i="24"/>
  <c r="L125" i="24"/>
  <c r="K125" i="24"/>
  <c r="J125" i="24"/>
  <c r="I125" i="24"/>
  <c r="H125" i="24"/>
  <c r="O124" i="24"/>
  <c r="N124" i="24"/>
  <c r="M124" i="24"/>
  <c r="L124" i="24"/>
  <c r="K124" i="24"/>
  <c r="J124" i="24"/>
  <c r="I124" i="24"/>
  <c r="H124" i="24"/>
  <c r="O123" i="24"/>
  <c r="N123" i="24"/>
  <c r="M123" i="24"/>
  <c r="L123" i="24"/>
  <c r="K123" i="24"/>
  <c r="J123" i="24"/>
  <c r="I123" i="24"/>
  <c r="H123" i="24"/>
  <c r="C120" i="24"/>
  <c r="V103" i="24"/>
  <c r="U103" i="24"/>
  <c r="T103" i="24"/>
  <c r="S103" i="24"/>
  <c r="R103" i="24"/>
  <c r="Q103" i="24"/>
  <c r="P103" i="24"/>
  <c r="O103" i="24"/>
  <c r="A103" i="24"/>
  <c r="V102" i="24"/>
  <c r="U102" i="24"/>
  <c r="T102" i="24"/>
  <c r="S102" i="24"/>
  <c r="R102" i="24"/>
  <c r="Q102" i="24"/>
  <c r="P102" i="24"/>
  <c r="O102" i="24"/>
  <c r="A102" i="24"/>
  <c r="V101" i="24"/>
  <c r="U101" i="24"/>
  <c r="T101" i="24"/>
  <c r="S101" i="24"/>
  <c r="R101" i="24"/>
  <c r="Q101" i="24"/>
  <c r="P101" i="24"/>
  <c r="O101" i="24"/>
  <c r="A101" i="24"/>
  <c r="V100" i="24"/>
  <c r="U100" i="24"/>
  <c r="T100" i="24"/>
  <c r="S100" i="24"/>
  <c r="R100" i="24"/>
  <c r="Q100" i="24"/>
  <c r="P100" i="24"/>
  <c r="O100" i="24"/>
  <c r="A100" i="24"/>
  <c r="V99" i="24"/>
  <c r="U99" i="24"/>
  <c r="T99" i="24"/>
  <c r="S99" i="24"/>
  <c r="R99" i="24"/>
  <c r="Q99" i="24"/>
  <c r="P99" i="24"/>
  <c r="O99" i="24"/>
  <c r="A99" i="24"/>
  <c r="V98" i="24"/>
  <c r="U98" i="24"/>
  <c r="T98" i="24"/>
  <c r="S98" i="24"/>
  <c r="R98" i="24"/>
  <c r="Q98" i="24"/>
  <c r="P98" i="24"/>
  <c r="O98" i="24"/>
  <c r="A98" i="24"/>
  <c r="V97" i="24"/>
  <c r="U97" i="24"/>
  <c r="T97" i="24"/>
  <c r="S97" i="24"/>
  <c r="R97" i="24"/>
  <c r="Q97" i="24"/>
  <c r="P97" i="24"/>
  <c r="O97" i="24"/>
  <c r="A97" i="24"/>
  <c r="V96" i="24"/>
  <c r="U96" i="24"/>
  <c r="T96" i="24"/>
  <c r="S96" i="24"/>
  <c r="R96" i="24"/>
  <c r="Q96" i="24"/>
  <c r="P96" i="24"/>
  <c r="O96" i="24"/>
  <c r="A96" i="24"/>
  <c r="V95" i="24"/>
  <c r="U95" i="24"/>
  <c r="T95" i="24"/>
  <c r="S95" i="24"/>
  <c r="R95" i="24"/>
  <c r="Q95" i="24"/>
  <c r="P95" i="24"/>
  <c r="O95" i="24"/>
  <c r="A95" i="24"/>
  <c r="V94" i="24"/>
  <c r="U94" i="24"/>
  <c r="T94" i="24"/>
  <c r="S94" i="24"/>
  <c r="R94" i="24"/>
  <c r="Q94" i="24"/>
  <c r="P94" i="24"/>
  <c r="O94" i="24"/>
  <c r="A94" i="24"/>
  <c r="V93" i="24"/>
  <c r="U93" i="24"/>
  <c r="T93" i="24"/>
  <c r="S93" i="24"/>
  <c r="R93" i="24"/>
  <c r="Q93" i="24"/>
  <c r="P93" i="24"/>
  <c r="O93" i="24"/>
  <c r="A93" i="24"/>
  <c r="V92" i="24"/>
  <c r="U92" i="24"/>
  <c r="T92" i="24"/>
  <c r="S92" i="24"/>
  <c r="R92" i="24"/>
  <c r="Q92" i="24"/>
  <c r="P92" i="24"/>
  <c r="O92" i="24"/>
  <c r="A92" i="24"/>
  <c r="V91" i="24"/>
  <c r="U91" i="24"/>
  <c r="T91" i="24"/>
  <c r="S91" i="24"/>
  <c r="R91" i="24"/>
  <c r="Q91" i="24"/>
  <c r="P91" i="24"/>
  <c r="O91" i="24"/>
  <c r="A91" i="24"/>
  <c r="V90" i="24"/>
  <c r="U90" i="24"/>
  <c r="T90" i="24"/>
  <c r="S90" i="24"/>
  <c r="R90" i="24"/>
  <c r="Q90" i="24"/>
  <c r="P90" i="24"/>
  <c r="O90" i="24"/>
  <c r="A90" i="24"/>
  <c r="V89" i="24"/>
  <c r="U89" i="24"/>
  <c r="T89" i="24"/>
  <c r="S89" i="24"/>
  <c r="R89" i="24"/>
  <c r="Q89" i="24"/>
  <c r="P89" i="24"/>
  <c r="O89" i="24"/>
  <c r="A89" i="24"/>
  <c r="V88" i="24"/>
  <c r="U88" i="24"/>
  <c r="T88" i="24"/>
  <c r="S88" i="24"/>
  <c r="R88" i="24"/>
  <c r="Q88" i="24"/>
  <c r="P88" i="24"/>
  <c r="O88" i="24"/>
  <c r="A88" i="24"/>
  <c r="V87" i="24"/>
  <c r="U87" i="24"/>
  <c r="T87" i="24"/>
  <c r="S87" i="24"/>
  <c r="R87" i="24"/>
  <c r="Q87" i="24"/>
  <c r="P87" i="24"/>
  <c r="O87" i="24"/>
  <c r="A87" i="24"/>
  <c r="V86" i="24"/>
  <c r="U86" i="24"/>
  <c r="T86" i="24"/>
  <c r="S86" i="24"/>
  <c r="R86" i="24"/>
  <c r="Q86" i="24"/>
  <c r="P86" i="24"/>
  <c r="O86" i="24"/>
  <c r="A86" i="24"/>
  <c r="V85" i="24"/>
  <c r="U85" i="24"/>
  <c r="T85" i="24"/>
  <c r="S85" i="24"/>
  <c r="R85" i="24"/>
  <c r="Q85" i="24"/>
  <c r="P85" i="24"/>
  <c r="O85" i="24"/>
  <c r="A85" i="24"/>
  <c r="V84" i="24"/>
  <c r="U84" i="24"/>
  <c r="T84" i="24"/>
  <c r="S84" i="24"/>
  <c r="R84" i="24"/>
  <c r="Q84" i="24"/>
  <c r="P84" i="24"/>
  <c r="O84" i="24"/>
  <c r="A84" i="24"/>
  <c r="V83" i="24"/>
  <c r="U83" i="24"/>
  <c r="T83" i="24"/>
  <c r="S83" i="24"/>
  <c r="R83" i="24"/>
  <c r="Q83" i="24"/>
  <c r="P83" i="24"/>
  <c r="O83" i="24"/>
  <c r="A83" i="24"/>
  <c r="V82" i="24"/>
  <c r="U82" i="24"/>
  <c r="T82" i="24"/>
  <c r="S82" i="24"/>
  <c r="R82" i="24"/>
  <c r="Q82" i="24"/>
  <c r="P82" i="24"/>
  <c r="O82" i="24"/>
  <c r="L82" i="24"/>
  <c r="K82" i="24"/>
  <c r="J82" i="24"/>
  <c r="I82" i="24"/>
  <c r="H82" i="24"/>
  <c r="G82" i="24"/>
  <c r="F82" i="24"/>
  <c r="A82" i="24"/>
  <c r="V81" i="24"/>
  <c r="U81" i="24"/>
  <c r="T81" i="24"/>
  <c r="S81" i="24"/>
  <c r="R81" i="24"/>
  <c r="Q81" i="24"/>
  <c r="P81" i="24"/>
  <c r="O81" i="24"/>
  <c r="A81" i="24"/>
  <c r="V80" i="24"/>
  <c r="U80" i="24"/>
  <c r="T80" i="24"/>
  <c r="S80" i="24"/>
  <c r="R80" i="24"/>
  <c r="Q80" i="24"/>
  <c r="P80" i="24"/>
  <c r="O80" i="24"/>
  <c r="A80" i="24"/>
  <c r="V79" i="24"/>
  <c r="U79" i="24"/>
  <c r="T79" i="24"/>
  <c r="S79" i="24"/>
  <c r="R79" i="24"/>
  <c r="Q79" i="24"/>
  <c r="P79" i="24"/>
  <c r="O79" i="24"/>
  <c r="A79" i="24"/>
  <c r="V78" i="24"/>
  <c r="U78" i="24"/>
  <c r="T78" i="24"/>
  <c r="S78" i="24"/>
  <c r="R78" i="24"/>
  <c r="Q78" i="24"/>
  <c r="P78" i="24"/>
  <c r="O78" i="24"/>
  <c r="A78" i="24"/>
  <c r="V77" i="24"/>
  <c r="U77" i="24"/>
  <c r="T77" i="24"/>
  <c r="S77" i="24"/>
  <c r="R77" i="24"/>
  <c r="Q77" i="24"/>
  <c r="P77" i="24"/>
  <c r="O77" i="24"/>
  <c r="A77" i="24"/>
  <c r="V76" i="24"/>
  <c r="U76" i="24"/>
  <c r="T76" i="24"/>
  <c r="S76" i="24"/>
  <c r="R76" i="24"/>
  <c r="Q76" i="24"/>
  <c r="P76" i="24"/>
  <c r="O76" i="24"/>
  <c r="A76" i="24"/>
  <c r="V75" i="24"/>
  <c r="U75" i="24"/>
  <c r="T75" i="24"/>
  <c r="S75" i="24"/>
  <c r="R75" i="24"/>
  <c r="Q75" i="24"/>
  <c r="P75" i="24"/>
  <c r="O75" i="24"/>
  <c r="A75" i="24"/>
  <c r="V74" i="24"/>
  <c r="U74" i="24"/>
  <c r="T74" i="24"/>
  <c r="S74" i="24"/>
  <c r="R74" i="24"/>
  <c r="Q74" i="24"/>
  <c r="P74" i="24"/>
  <c r="O74" i="24"/>
  <c r="A74" i="24"/>
  <c r="V73" i="24"/>
  <c r="U73" i="24"/>
  <c r="T73" i="24"/>
  <c r="S73" i="24"/>
  <c r="R73" i="24"/>
  <c r="Q73" i="24"/>
  <c r="P73" i="24"/>
  <c r="O73" i="24"/>
  <c r="A73" i="24"/>
  <c r="V72" i="24"/>
  <c r="U72" i="24"/>
  <c r="T72" i="24"/>
  <c r="S72" i="24"/>
  <c r="R72" i="24"/>
  <c r="Q72" i="24"/>
  <c r="P72" i="24"/>
  <c r="O72" i="24"/>
  <c r="A72" i="24"/>
  <c r="V71" i="24"/>
  <c r="U71" i="24"/>
  <c r="T71" i="24"/>
  <c r="S71" i="24"/>
  <c r="R71" i="24"/>
  <c r="Q71" i="24"/>
  <c r="P71" i="24"/>
  <c r="O71" i="24"/>
  <c r="L71" i="24"/>
  <c r="K71" i="24"/>
  <c r="J71" i="24"/>
  <c r="I71" i="24"/>
  <c r="H71" i="24"/>
  <c r="G71" i="24"/>
  <c r="F71" i="24"/>
  <c r="E71" i="24"/>
  <c r="D71" i="24"/>
  <c r="C71" i="24"/>
  <c r="A71" i="24"/>
  <c r="V70" i="24"/>
  <c r="U70" i="24"/>
  <c r="T70" i="24"/>
  <c r="S70" i="24"/>
  <c r="R70" i="24"/>
  <c r="Q70" i="24"/>
  <c r="P70" i="24"/>
  <c r="O70" i="24"/>
  <c r="A70" i="24"/>
  <c r="L69" i="24"/>
  <c r="K69" i="24"/>
  <c r="J69" i="24"/>
  <c r="I69" i="24"/>
  <c r="H69" i="24"/>
  <c r="G69" i="24"/>
  <c r="F69" i="24"/>
  <c r="E69" i="24"/>
  <c r="D69" i="24"/>
  <c r="C69" i="24"/>
  <c r="A69" i="24"/>
  <c r="V68" i="24"/>
  <c r="U68" i="24"/>
  <c r="T68" i="24"/>
  <c r="S68" i="24"/>
  <c r="R68" i="24"/>
  <c r="Q68" i="24"/>
  <c r="P68" i="24"/>
  <c r="O68" i="24"/>
  <c r="D68" i="24"/>
  <c r="C68" i="24"/>
  <c r="A68" i="24"/>
  <c r="V67" i="24"/>
  <c r="U67" i="24"/>
  <c r="T67" i="24"/>
  <c r="S67" i="24"/>
  <c r="R67" i="24"/>
  <c r="Q67" i="24"/>
  <c r="P67" i="24"/>
  <c r="O67" i="24"/>
  <c r="A67" i="24"/>
  <c r="V66" i="24"/>
  <c r="U66" i="24"/>
  <c r="T66" i="24"/>
  <c r="S66" i="24"/>
  <c r="R66" i="24"/>
  <c r="Q66" i="24"/>
  <c r="P66" i="24"/>
  <c r="O66" i="24"/>
  <c r="A66" i="24"/>
  <c r="D65" i="24"/>
  <c r="C65" i="24"/>
  <c r="A65" i="24"/>
  <c r="V64" i="24"/>
  <c r="U64" i="24"/>
  <c r="T64" i="24"/>
  <c r="S64" i="24"/>
  <c r="R64" i="24"/>
  <c r="Q64" i="24"/>
  <c r="P64" i="24"/>
  <c r="O64" i="24"/>
  <c r="D64" i="24"/>
  <c r="C64" i="24"/>
  <c r="A64" i="24"/>
  <c r="V63" i="24"/>
  <c r="U63" i="24"/>
  <c r="T63" i="24"/>
  <c r="S63" i="24"/>
  <c r="R63" i="24"/>
  <c r="Q63" i="24"/>
  <c r="P63" i="24"/>
  <c r="O63" i="24"/>
  <c r="A63" i="24"/>
  <c r="V62" i="24"/>
  <c r="U62" i="24"/>
  <c r="T62" i="24"/>
  <c r="S62" i="24"/>
  <c r="R62" i="24"/>
  <c r="Q62" i="24"/>
  <c r="P62" i="24"/>
  <c r="O62" i="24"/>
  <c r="A62" i="24"/>
  <c r="V61" i="24"/>
  <c r="U61" i="24"/>
  <c r="T61" i="24"/>
  <c r="S61" i="24"/>
  <c r="R61" i="24"/>
  <c r="Q61" i="24"/>
  <c r="P61" i="24"/>
  <c r="O61" i="24"/>
  <c r="A61" i="24"/>
  <c r="V60" i="24"/>
  <c r="U60" i="24"/>
  <c r="T60" i="24"/>
  <c r="S60" i="24"/>
  <c r="R60" i="24"/>
  <c r="Q60" i="24"/>
  <c r="P60" i="24"/>
  <c r="O60" i="24"/>
  <c r="A60" i="24"/>
  <c r="V59" i="24"/>
  <c r="U59" i="24"/>
  <c r="T59" i="24"/>
  <c r="S59" i="24"/>
  <c r="R59" i="24"/>
  <c r="Q59" i="24"/>
  <c r="P59" i="24"/>
  <c r="O59" i="24"/>
  <c r="A59" i="24"/>
  <c r="V58" i="24"/>
  <c r="U58" i="24"/>
  <c r="T58" i="24"/>
  <c r="S58" i="24"/>
  <c r="R58" i="24"/>
  <c r="Q58" i="24"/>
  <c r="P58" i="24"/>
  <c r="O58" i="24"/>
  <c r="C58" i="24"/>
  <c r="D58" i="24" s="1"/>
  <c r="A58" i="24"/>
  <c r="V57" i="24"/>
  <c r="U57" i="24"/>
  <c r="T57" i="24"/>
  <c r="S57" i="24"/>
  <c r="R57" i="24"/>
  <c r="Q57" i="24"/>
  <c r="P57" i="24"/>
  <c r="O57" i="24"/>
  <c r="C57" i="24"/>
  <c r="D57" i="24" s="1"/>
  <c r="A57" i="24"/>
  <c r="V56" i="24"/>
  <c r="U56" i="24"/>
  <c r="T56" i="24"/>
  <c r="S56" i="24"/>
  <c r="R56" i="24"/>
  <c r="Q56" i="24"/>
  <c r="P56" i="24"/>
  <c r="O56" i="24"/>
  <c r="A56" i="24"/>
  <c r="V55" i="24"/>
  <c r="U55" i="24"/>
  <c r="T55" i="24"/>
  <c r="S55" i="24"/>
  <c r="R55" i="24"/>
  <c r="Q55" i="24"/>
  <c r="P55" i="24"/>
  <c r="O55" i="24"/>
  <c r="A55" i="24"/>
  <c r="V54" i="24"/>
  <c r="U54" i="24"/>
  <c r="T54" i="24"/>
  <c r="S54" i="24"/>
  <c r="R54" i="24"/>
  <c r="Q54" i="24"/>
  <c r="P54" i="24"/>
  <c r="O54" i="24"/>
  <c r="D54" i="24"/>
  <c r="C54" i="24"/>
  <c r="A54" i="24"/>
  <c r="V53" i="24"/>
  <c r="U53" i="24"/>
  <c r="T53" i="24"/>
  <c r="S53" i="24"/>
  <c r="R53" i="24"/>
  <c r="Q53" i="24"/>
  <c r="P53" i="24"/>
  <c r="O53" i="24"/>
  <c r="L53" i="24"/>
  <c r="K53" i="24"/>
  <c r="J53" i="24"/>
  <c r="I53" i="24"/>
  <c r="H53" i="24"/>
  <c r="G53" i="24"/>
  <c r="F53" i="24"/>
  <c r="E53" i="24"/>
  <c r="D53" i="24"/>
  <c r="C53" i="24"/>
  <c r="A53" i="24"/>
  <c r="V52" i="24"/>
  <c r="U52" i="24"/>
  <c r="T52" i="24"/>
  <c r="S52" i="24"/>
  <c r="R52" i="24"/>
  <c r="Q52" i="24"/>
  <c r="P52" i="24"/>
  <c r="O52" i="24"/>
  <c r="L52" i="24"/>
  <c r="K52" i="24"/>
  <c r="J52" i="24"/>
  <c r="I52" i="24"/>
  <c r="H52" i="24"/>
  <c r="G52" i="24"/>
  <c r="F52" i="24"/>
  <c r="E52" i="24"/>
  <c r="D52" i="24"/>
  <c r="C52" i="24"/>
  <c r="A52" i="24"/>
  <c r="V51" i="24"/>
  <c r="U51" i="24"/>
  <c r="T51" i="24"/>
  <c r="S51" i="24"/>
  <c r="R51" i="24"/>
  <c r="Q51" i="24"/>
  <c r="P51" i="24"/>
  <c r="O51" i="24"/>
  <c r="A51" i="24"/>
  <c r="V50" i="24"/>
  <c r="U50" i="24"/>
  <c r="T50" i="24"/>
  <c r="S50" i="24"/>
  <c r="R50" i="24"/>
  <c r="Q50" i="24"/>
  <c r="P50" i="24"/>
  <c r="O50" i="24"/>
  <c r="A50" i="24"/>
  <c r="V49" i="24"/>
  <c r="U49" i="24"/>
  <c r="T49" i="24"/>
  <c r="S49" i="24"/>
  <c r="R49" i="24"/>
  <c r="Q49" i="24"/>
  <c r="P49" i="24"/>
  <c r="O49" i="24"/>
  <c r="A49" i="24"/>
  <c r="V48" i="24"/>
  <c r="U48" i="24"/>
  <c r="T48" i="24"/>
  <c r="S48" i="24"/>
  <c r="R48" i="24"/>
  <c r="Q48" i="24"/>
  <c r="P48" i="24"/>
  <c r="O48" i="24"/>
  <c r="A48" i="24"/>
  <c r="V47" i="24"/>
  <c r="U47" i="24"/>
  <c r="T47" i="24"/>
  <c r="S47" i="24"/>
  <c r="R47" i="24"/>
  <c r="Q47" i="24"/>
  <c r="P47" i="24"/>
  <c r="O47" i="24"/>
  <c r="A47" i="24"/>
  <c r="V46" i="24"/>
  <c r="U46" i="24"/>
  <c r="T46" i="24"/>
  <c r="S46" i="24"/>
  <c r="R46" i="24"/>
  <c r="Q46" i="24"/>
  <c r="P46" i="24"/>
  <c r="O46" i="24"/>
  <c r="A46" i="24"/>
  <c r="V45" i="24"/>
  <c r="U45" i="24"/>
  <c r="T45" i="24"/>
  <c r="S45" i="24"/>
  <c r="R45" i="24"/>
  <c r="Q45" i="24"/>
  <c r="P45" i="24"/>
  <c r="O45" i="24"/>
  <c r="A45" i="24"/>
  <c r="V44" i="24"/>
  <c r="U44" i="24"/>
  <c r="T44" i="24"/>
  <c r="S44" i="24"/>
  <c r="R44" i="24"/>
  <c r="Q44" i="24"/>
  <c r="P44" i="24"/>
  <c r="O44" i="24"/>
  <c r="A44" i="24"/>
  <c r="V43" i="24"/>
  <c r="U43" i="24"/>
  <c r="T43" i="24"/>
  <c r="S43" i="24"/>
  <c r="R43" i="24"/>
  <c r="Q43" i="24"/>
  <c r="P43" i="24"/>
  <c r="O43" i="24"/>
  <c r="L43" i="24"/>
  <c r="K43" i="24"/>
  <c r="J43" i="24"/>
  <c r="I43" i="24"/>
  <c r="H43" i="24"/>
  <c r="G43" i="24"/>
  <c r="F43" i="24"/>
  <c r="E43" i="24"/>
  <c r="D43" i="24"/>
  <c r="C43" i="24"/>
  <c r="A43" i="24"/>
  <c r="V42" i="24"/>
  <c r="U42" i="24"/>
  <c r="T42" i="24"/>
  <c r="S42" i="24"/>
  <c r="R42" i="24"/>
  <c r="Q42" i="24"/>
  <c r="P42" i="24"/>
  <c r="O42" i="24"/>
  <c r="L42" i="24"/>
  <c r="K42" i="24"/>
  <c r="J42" i="24"/>
  <c r="I42" i="24"/>
  <c r="H42" i="24"/>
  <c r="G42" i="24"/>
  <c r="F42" i="24"/>
  <c r="E42" i="24"/>
  <c r="D42" i="24"/>
  <c r="C42" i="24"/>
  <c r="A42" i="24"/>
  <c r="V41" i="24"/>
  <c r="U41" i="24"/>
  <c r="T41" i="24"/>
  <c r="S41" i="24"/>
  <c r="R41" i="24"/>
  <c r="Q41" i="24"/>
  <c r="P41" i="24"/>
  <c r="O41" i="24"/>
  <c r="L41" i="24"/>
  <c r="K41" i="24"/>
  <c r="J41" i="24"/>
  <c r="I41" i="24"/>
  <c r="H41" i="24"/>
  <c r="G41" i="24"/>
  <c r="F41" i="24"/>
  <c r="E41" i="24"/>
  <c r="D41" i="24"/>
  <c r="C41" i="24"/>
  <c r="A41" i="24"/>
  <c r="V40" i="24"/>
  <c r="U40" i="24"/>
  <c r="T40" i="24"/>
  <c r="S40" i="24"/>
  <c r="R40" i="24"/>
  <c r="Q40" i="24"/>
  <c r="P40" i="24"/>
  <c r="O40" i="24"/>
  <c r="A40" i="24"/>
  <c r="V39" i="24"/>
  <c r="U39" i="24"/>
  <c r="T39" i="24"/>
  <c r="S39" i="24"/>
  <c r="R39" i="24"/>
  <c r="Q39" i="24"/>
  <c r="P39" i="24"/>
  <c r="O39" i="24"/>
  <c r="L39" i="24"/>
  <c r="K39" i="24"/>
  <c r="J39" i="24"/>
  <c r="I39" i="24"/>
  <c r="H39" i="24"/>
  <c r="G39" i="24"/>
  <c r="F39" i="24"/>
  <c r="E39" i="24"/>
  <c r="D39" i="24"/>
  <c r="C39" i="24"/>
  <c r="A39" i="24"/>
  <c r="V38" i="24"/>
  <c r="U38" i="24"/>
  <c r="T38" i="24"/>
  <c r="S38" i="24"/>
  <c r="R38" i="24"/>
  <c r="Q38" i="24"/>
  <c r="P38" i="24"/>
  <c r="O38" i="24"/>
  <c r="A38" i="24"/>
  <c r="V37" i="24"/>
  <c r="U37" i="24"/>
  <c r="T37" i="24"/>
  <c r="S37" i="24"/>
  <c r="R37" i="24"/>
  <c r="Q37" i="24"/>
  <c r="P37" i="24"/>
  <c r="O37" i="24"/>
  <c r="L37" i="24"/>
  <c r="K37" i="24"/>
  <c r="J37" i="24"/>
  <c r="I37" i="24"/>
  <c r="H37" i="24"/>
  <c r="G37" i="24"/>
  <c r="F37" i="24"/>
  <c r="E37" i="24"/>
  <c r="D37" i="24"/>
  <c r="C37" i="24"/>
  <c r="A37" i="24"/>
  <c r="V36" i="24"/>
  <c r="U36" i="24"/>
  <c r="T36" i="24"/>
  <c r="S36" i="24"/>
  <c r="R36" i="24"/>
  <c r="Q36" i="24"/>
  <c r="P36" i="24"/>
  <c r="O36" i="24"/>
  <c r="D36" i="24"/>
  <c r="C36" i="24"/>
  <c r="A36" i="24"/>
  <c r="V35" i="24"/>
  <c r="U35" i="24"/>
  <c r="T35" i="24"/>
  <c r="S35" i="24"/>
  <c r="R35" i="24"/>
  <c r="Q35" i="24"/>
  <c r="P35" i="24"/>
  <c r="O35" i="24"/>
  <c r="A35" i="24"/>
  <c r="V34" i="24"/>
  <c r="U34" i="24"/>
  <c r="T34" i="24"/>
  <c r="S34" i="24"/>
  <c r="R34" i="24"/>
  <c r="Q34" i="24"/>
  <c r="P34" i="24"/>
  <c r="O34" i="24"/>
  <c r="L34" i="24"/>
  <c r="K34" i="24"/>
  <c r="J34" i="24"/>
  <c r="I34" i="24"/>
  <c r="H34" i="24"/>
  <c r="G34" i="24"/>
  <c r="F34" i="24"/>
  <c r="E34" i="24"/>
  <c r="D34" i="24"/>
  <c r="C34" i="24"/>
  <c r="A34" i="24"/>
  <c r="V33" i="24"/>
  <c r="U33" i="24"/>
  <c r="T33" i="24"/>
  <c r="S33" i="24"/>
  <c r="R33" i="24"/>
  <c r="Q33" i="24"/>
  <c r="P33" i="24"/>
  <c r="O33" i="24"/>
  <c r="L33" i="24"/>
  <c r="K33" i="24"/>
  <c r="J33" i="24"/>
  <c r="I33" i="24"/>
  <c r="H33" i="24"/>
  <c r="G33" i="24"/>
  <c r="F33" i="24"/>
  <c r="E33" i="24"/>
  <c r="T32" i="24"/>
  <c r="S32" i="24"/>
  <c r="V31" i="24"/>
  <c r="U31" i="24"/>
  <c r="T31" i="24"/>
  <c r="S31" i="24"/>
  <c r="R31" i="24"/>
  <c r="Q31" i="24"/>
  <c r="P31" i="24"/>
  <c r="O31" i="24"/>
  <c r="N31" i="24"/>
  <c r="M31" i="24"/>
  <c r="J20" i="24"/>
  <c r="I20" i="24"/>
  <c r="H20" i="24"/>
  <c r="G20" i="24"/>
  <c r="J19" i="24"/>
  <c r="I19" i="24"/>
  <c r="H19" i="24"/>
  <c r="G19" i="24"/>
  <c r="J18" i="24"/>
  <c r="I18" i="24"/>
  <c r="H18" i="24"/>
  <c r="G18" i="24"/>
  <c r="J17" i="24"/>
  <c r="I17" i="24"/>
  <c r="H17" i="24"/>
  <c r="G17" i="24"/>
  <c r="J16" i="24"/>
  <c r="I16" i="24"/>
  <c r="H16" i="24"/>
  <c r="G16" i="24"/>
  <c r="J15" i="24"/>
  <c r="I15" i="24"/>
  <c r="H15" i="24"/>
  <c r="G15" i="24"/>
  <c r="J14" i="24"/>
  <c r="I14" i="24"/>
  <c r="H14" i="24"/>
  <c r="G14" i="24"/>
  <c r="J13" i="24"/>
  <c r="I13" i="24"/>
  <c r="H13" i="24"/>
  <c r="G13" i="24"/>
  <c r="J12" i="24"/>
  <c r="H12" i="24"/>
  <c r="G12" i="24"/>
  <c r="J11" i="24"/>
  <c r="H11" i="24"/>
  <c r="G11" i="24"/>
  <c r="E7" i="24"/>
  <c r="B7" i="24"/>
  <c r="J135" i="23"/>
  <c r="I135" i="23"/>
  <c r="H135" i="23"/>
  <c r="G135" i="23"/>
  <c r="K134" i="23"/>
  <c r="J134" i="23"/>
  <c r="H134" i="23"/>
  <c r="G134" i="23"/>
  <c r="F134" i="23"/>
  <c r="E134" i="23"/>
  <c r="K133" i="23"/>
  <c r="J133" i="23"/>
  <c r="H133" i="23"/>
  <c r="G133" i="23"/>
  <c r="K132" i="23"/>
  <c r="J132" i="23"/>
  <c r="H132" i="23"/>
  <c r="G132" i="23"/>
  <c r="J129" i="23"/>
  <c r="I129" i="23"/>
  <c r="H129" i="23"/>
  <c r="G129" i="23"/>
  <c r="F129" i="23"/>
  <c r="K128" i="23"/>
  <c r="J128" i="23"/>
  <c r="H128" i="23"/>
  <c r="G128" i="23"/>
  <c r="F128" i="23"/>
  <c r="E128" i="23"/>
  <c r="K127" i="23"/>
  <c r="J127" i="23"/>
  <c r="H127" i="23"/>
  <c r="G127" i="23"/>
  <c r="F127" i="23"/>
  <c r="K126" i="23"/>
  <c r="J126" i="23"/>
  <c r="H126" i="23"/>
  <c r="G126" i="23"/>
  <c r="F126" i="23"/>
  <c r="V103" i="23"/>
  <c r="U103" i="23"/>
  <c r="T103" i="23"/>
  <c r="S103" i="23"/>
  <c r="R103" i="23"/>
  <c r="Q103" i="23"/>
  <c r="P103" i="23"/>
  <c r="O103" i="23"/>
  <c r="C103" i="23"/>
  <c r="A103" i="23"/>
  <c r="V102" i="23"/>
  <c r="U102" i="23"/>
  <c r="T102" i="23"/>
  <c r="S102" i="23"/>
  <c r="R102" i="23"/>
  <c r="Q102" i="23"/>
  <c r="P102" i="23"/>
  <c r="O102" i="23"/>
  <c r="C102" i="23"/>
  <c r="A102" i="23"/>
  <c r="V101" i="23"/>
  <c r="U101" i="23"/>
  <c r="T101" i="23"/>
  <c r="S101" i="23"/>
  <c r="R101" i="23"/>
  <c r="Q101" i="23"/>
  <c r="P101" i="23"/>
  <c r="O101" i="23"/>
  <c r="A101" i="23"/>
  <c r="V100" i="23"/>
  <c r="U100" i="23"/>
  <c r="T100" i="23"/>
  <c r="S100" i="23"/>
  <c r="R100" i="23"/>
  <c r="Q100" i="23"/>
  <c r="P100" i="23"/>
  <c r="O100" i="23"/>
  <c r="A100" i="23"/>
  <c r="V99" i="23"/>
  <c r="U99" i="23"/>
  <c r="T99" i="23"/>
  <c r="S99" i="23"/>
  <c r="R99" i="23"/>
  <c r="Q99" i="23"/>
  <c r="P99" i="23"/>
  <c r="O99" i="23"/>
  <c r="A99" i="23"/>
  <c r="V98" i="23"/>
  <c r="U98" i="23"/>
  <c r="T98" i="23"/>
  <c r="S98" i="23"/>
  <c r="R98" i="23"/>
  <c r="Q98" i="23"/>
  <c r="P98" i="23"/>
  <c r="O98" i="23"/>
  <c r="A98" i="23"/>
  <c r="V97" i="23"/>
  <c r="U97" i="23"/>
  <c r="T97" i="23"/>
  <c r="S97" i="23"/>
  <c r="R97" i="23"/>
  <c r="Q97" i="23"/>
  <c r="P97" i="23"/>
  <c r="O97" i="23"/>
  <c r="A97" i="23"/>
  <c r="V96" i="23"/>
  <c r="U96" i="23"/>
  <c r="T96" i="23"/>
  <c r="S96" i="23"/>
  <c r="R96" i="23"/>
  <c r="Q96" i="23"/>
  <c r="P96" i="23"/>
  <c r="O96" i="23"/>
  <c r="A96" i="23"/>
  <c r="V95" i="23"/>
  <c r="U95" i="23"/>
  <c r="T95" i="23"/>
  <c r="S95" i="23"/>
  <c r="R95" i="23"/>
  <c r="Q95" i="23"/>
  <c r="P95" i="23"/>
  <c r="O95" i="23"/>
  <c r="A95" i="23"/>
  <c r="V94" i="23"/>
  <c r="U94" i="23"/>
  <c r="T94" i="23"/>
  <c r="S94" i="23"/>
  <c r="R94" i="23"/>
  <c r="Q94" i="23"/>
  <c r="P94" i="23"/>
  <c r="O94" i="23"/>
  <c r="A94" i="23"/>
  <c r="V93" i="23"/>
  <c r="U93" i="23"/>
  <c r="T93" i="23"/>
  <c r="S93" i="23"/>
  <c r="R93" i="23"/>
  <c r="Q93" i="23"/>
  <c r="P93" i="23"/>
  <c r="O93" i="23"/>
  <c r="A93" i="23"/>
  <c r="V92" i="23"/>
  <c r="U92" i="23"/>
  <c r="T92" i="23"/>
  <c r="S92" i="23"/>
  <c r="R92" i="23"/>
  <c r="Q92" i="23"/>
  <c r="P92" i="23"/>
  <c r="O92" i="23"/>
  <c r="A92" i="23"/>
  <c r="V91" i="23"/>
  <c r="U91" i="23"/>
  <c r="T91" i="23"/>
  <c r="S91" i="23"/>
  <c r="R91" i="23"/>
  <c r="Q91" i="23"/>
  <c r="P91" i="23"/>
  <c r="O91" i="23"/>
  <c r="A91" i="23"/>
  <c r="V90" i="23"/>
  <c r="U90" i="23"/>
  <c r="T90" i="23"/>
  <c r="S90" i="23"/>
  <c r="R90" i="23"/>
  <c r="Q90" i="23"/>
  <c r="P90" i="23"/>
  <c r="O90" i="23"/>
  <c r="A90" i="23"/>
  <c r="V89" i="23"/>
  <c r="U89" i="23"/>
  <c r="T89" i="23"/>
  <c r="S89" i="23"/>
  <c r="R89" i="23"/>
  <c r="Q89" i="23"/>
  <c r="P89" i="23"/>
  <c r="O89" i="23"/>
  <c r="A89" i="23"/>
  <c r="V88" i="23"/>
  <c r="U88" i="23"/>
  <c r="T88" i="23"/>
  <c r="S88" i="23"/>
  <c r="R88" i="23"/>
  <c r="Q88" i="23"/>
  <c r="P88" i="23"/>
  <c r="O88" i="23"/>
  <c r="A88" i="23"/>
  <c r="V87" i="23"/>
  <c r="U87" i="23"/>
  <c r="T87" i="23"/>
  <c r="S87" i="23"/>
  <c r="R87" i="23"/>
  <c r="Q87" i="23"/>
  <c r="P87" i="23"/>
  <c r="O87" i="23"/>
  <c r="A87" i="23"/>
  <c r="V86" i="23"/>
  <c r="U86" i="23"/>
  <c r="T86" i="23"/>
  <c r="S86" i="23"/>
  <c r="R86" i="23"/>
  <c r="Q86" i="23"/>
  <c r="P86" i="23"/>
  <c r="O86" i="23"/>
  <c r="A86" i="23"/>
  <c r="V85" i="23"/>
  <c r="U85" i="23"/>
  <c r="T85" i="23"/>
  <c r="S85" i="23"/>
  <c r="R85" i="23"/>
  <c r="Q85" i="23"/>
  <c r="P85" i="23"/>
  <c r="O85" i="23"/>
  <c r="A85" i="23"/>
  <c r="V84" i="23"/>
  <c r="U84" i="23"/>
  <c r="T84" i="23"/>
  <c r="S84" i="23"/>
  <c r="R84" i="23"/>
  <c r="Q84" i="23"/>
  <c r="P84" i="23"/>
  <c r="O84" i="23"/>
  <c r="A84" i="23"/>
  <c r="V83" i="23"/>
  <c r="U83" i="23"/>
  <c r="T83" i="23"/>
  <c r="S83" i="23"/>
  <c r="R83" i="23"/>
  <c r="Q83" i="23"/>
  <c r="P83" i="23"/>
  <c r="O83" i="23"/>
  <c r="A83" i="23"/>
  <c r="V82" i="23"/>
  <c r="U82" i="23"/>
  <c r="T82" i="23"/>
  <c r="S82" i="23"/>
  <c r="R82" i="23"/>
  <c r="Q82" i="23"/>
  <c r="P82" i="23"/>
  <c r="O82" i="23"/>
  <c r="L82" i="23"/>
  <c r="K82" i="23"/>
  <c r="J82" i="23"/>
  <c r="I82" i="23"/>
  <c r="H82" i="23"/>
  <c r="G82" i="23"/>
  <c r="F82" i="23"/>
  <c r="A82" i="23"/>
  <c r="V81" i="23"/>
  <c r="U81" i="23"/>
  <c r="T81" i="23"/>
  <c r="S81" i="23"/>
  <c r="R81" i="23"/>
  <c r="Q81" i="23"/>
  <c r="P81" i="23"/>
  <c r="O81" i="23"/>
  <c r="A81" i="23"/>
  <c r="V80" i="23"/>
  <c r="U80" i="23"/>
  <c r="T80" i="23"/>
  <c r="S80" i="23"/>
  <c r="R80" i="23"/>
  <c r="Q80" i="23"/>
  <c r="P80" i="23"/>
  <c r="O80" i="23"/>
  <c r="A80" i="23"/>
  <c r="V79" i="23"/>
  <c r="U79" i="23"/>
  <c r="T79" i="23"/>
  <c r="S79" i="23"/>
  <c r="R79" i="23"/>
  <c r="Q79" i="23"/>
  <c r="P79" i="23"/>
  <c r="O79" i="23"/>
  <c r="A79" i="23"/>
  <c r="V78" i="23"/>
  <c r="U78" i="23"/>
  <c r="T78" i="23"/>
  <c r="S78" i="23"/>
  <c r="R78" i="23"/>
  <c r="Q78" i="23"/>
  <c r="P78" i="23"/>
  <c r="O78" i="23"/>
  <c r="A78" i="23"/>
  <c r="V77" i="23"/>
  <c r="U77" i="23"/>
  <c r="T77" i="23"/>
  <c r="S77" i="23"/>
  <c r="R77" i="23"/>
  <c r="Q77" i="23"/>
  <c r="P77" i="23"/>
  <c r="O77" i="23"/>
  <c r="A77" i="23"/>
  <c r="V76" i="23"/>
  <c r="U76" i="23"/>
  <c r="T76" i="23"/>
  <c r="S76" i="23"/>
  <c r="R76" i="23"/>
  <c r="Q76" i="23"/>
  <c r="P76" i="23"/>
  <c r="O76" i="23"/>
  <c r="A76" i="23"/>
  <c r="V75" i="23"/>
  <c r="U75" i="23"/>
  <c r="T75" i="23"/>
  <c r="S75" i="23"/>
  <c r="R75" i="23"/>
  <c r="Q75" i="23"/>
  <c r="P75" i="23"/>
  <c r="O75" i="23"/>
  <c r="A75" i="23"/>
  <c r="V74" i="23"/>
  <c r="U74" i="23"/>
  <c r="T74" i="23"/>
  <c r="S74" i="23"/>
  <c r="R74" i="23"/>
  <c r="Q74" i="23"/>
  <c r="P74" i="23"/>
  <c r="O74" i="23"/>
  <c r="A74" i="23"/>
  <c r="V73" i="23"/>
  <c r="U73" i="23"/>
  <c r="T73" i="23"/>
  <c r="S73" i="23"/>
  <c r="R73" i="23"/>
  <c r="Q73" i="23"/>
  <c r="P73" i="23"/>
  <c r="O73" i="23"/>
  <c r="A73" i="23"/>
  <c r="V72" i="23"/>
  <c r="U72" i="23"/>
  <c r="T72" i="23"/>
  <c r="S72" i="23"/>
  <c r="R72" i="23"/>
  <c r="Q72" i="23"/>
  <c r="P72" i="23"/>
  <c r="O72" i="23"/>
  <c r="A72" i="23"/>
  <c r="V71" i="23"/>
  <c r="U71" i="23"/>
  <c r="T71" i="23"/>
  <c r="S71" i="23"/>
  <c r="R71" i="23"/>
  <c r="Q71" i="23"/>
  <c r="P71" i="23"/>
  <c r="O71" i="23"/>
  <c r="L71" i="23"/>
  <c r="K71" i="23"/>
  <c r="J71" i="23"/>
  <c r="I71" i="23"/>
  <c r="H71" i="23"/>
  <c r="G71" i="23"/>
  <c r="F71" i="23"/>
  <c r="E71" i="23"/>
  <c r="D71" i="23"/>
  <c r="C71" i="23"/>
  <c r="A71" i="23"/>
  <c r="V70" i="23"/>
  <c r="U70" i="23"/>
  <c r="T70" i="23"/>
  <c r="S70" i="23"/>
  <c r="R70" i="23"/>
  <c r="Q70" i="23"/>
  <c r="P70" i="23"/>
  <c r="O70" i="23"/>
  <c r="A70" i="23"/>
  <c r="L69" i="23"/>
  <c r="K69" i="23"/>
  <c r="J69" i="23"/>
  <c r="I69" i="23"/>
  <c r="H69" i="23"/>
  <c r="G69" i="23"/>
  <c r="F69" i="23"/>
  <c r="E69" i="23"/>
  <c r="D69" i="23"/>
  <c r="C69" i="23"/>
  <c r="A69" i="23"/>
  <c r="V68" i="23"/>
  <c r="U68" i="23"/>
  <c r="T68" i="23"/>
  <c r="S68" i="23"/>
  <c r="R68" i="23"/>
  <c r="Q68" i="23"/>
  <c r="P68" i="23"/>
  <c r="O68" i="23"/>
  <c r="D68" i="23"/>
  <c r="C68" i="23"/>
  <c r="A68" i="23"/>
  <c r="V67" i="23"/>
  <c r="U67" i="23"/>
  <c r="T67" i="23"/>
  <c r="S67" i="23"/>
  <c r="R67" i="23"/>
  <c r="Q67" i="23"/>
  <c r="P67" i="23"/>
  <c r="O67" i="23"/>
  <c r="A67" i="23"/>
  <c r="V66" i="23"/>
  <c r="U66" i="23"/>
  <c r="T66" i="23"/>
  <c r="S66" i="23"/>
  <c r="R66" i="23"/>
  <c r="Q66" i="23"/>
  <c r="P66" i="23"/>
  <c r="O66" i="23"/>
  <c r="A66" i="23"/>
  <c r="D65" i="23"/>
  <c r="C65" i="23"/>
  <c r="A65" i="23"/>
  <c r="V64" i="23"/>
  <c r="U64" i="23"/>
  <c r="T64" i="23"/>
  <c r="S64" i="23"/>
  <c r="R64" i="23"/>
  <c r="Q64" i="23"/>
  <c r="P64" i="23"/>
  <c r="O64" i="23"/>
  <c r="D64" i="23"/>
  <c r="C64" i="23"/>
  <c r="A64" i="23"/>
  <c r="V63" i="23"/>
  <c r="U63" i="23"/>
  <c r="T63" i="23"/>
  <c r="S63" i="23"/>
  <c r="R63" i="23"/>
  <c r="Q63" i="23"/>
  <c r="P63" i="23"/>
  <c r="O63" i="23"/>
  <c r="A63" i="23"/>
  <c r="V62" i="23"/>
  <c r="U62" i="23"/>
  <c r="T62" i="23"/>
  <c r="S62" i="23"/>
  <c r="R62" i="23"/>
  <c r="Q62" i="23"/>
  <c r="P62" i="23"/>
  <c r="O62" i="23"/>
  <c r="A62" i="23"/>
  <c r="V61" i="23"/>
  <c r="U61" i="23"/>
  <c r="T61" i="23"/>
  <c r="S61" i="23"/>
  <c r="R61" i="23"/>
  <c r="Q61" i="23"/>
  <c r="P61" i="23"/>
  <c r="O61" i="23"/>
  <c r="A61" i="23"/>
  <c r="V60" i="23"/>
  <c r="U60" i="23"/>
  <c r="T60" i="23"/>
  <c r="S60" i="23"/>
  <c r="R60" i="23"/>
  <c r="Q60" i="23"/>
  <c r="P60" i="23"/>
  <c r="O60" i="23"/>
  <c r="A60" i="23"/>
  <c r="V59" i="23"/>
  <c r="U59" i="23"/>
  <c r="T59" i="23"/>
  <c r="S59" i="23"/>
  <c r="R59" i="23"/>
  <c r="Q59" i="23"/>
  <c r="P59" i="23"/>
  <c r="O59" i="23"/>
  <c r="A59" i="23"/>
  <c r="V58" i="23"/>
  <c r="U58" i="23"/>
  <c r="T58" i="23"/>
  <c r="S58" i="23"/>
  <c r="R58" i="23"/>
  <c r="Q58" i="23"/>
  <c r="P58" i="23"/>
  <c r="O58" i="23"/>
  <c r="D58" i="23"/>
  <c r="C58" i="23"/>
  <c r="A58" i="23"/>
  <c r="V57" i="23"/>
  <c r="U57" i="23"/>
  <c r="T57" i="23"/>
  <c r="S57" i="23"/>
  <c r="R57" i="23"/>
  <c r="Q57" i="23"/>
  <c r="P57" i="23"/>
  <c r="O57" i="23"/>
  <c r="C57" i="23"/>
  <c r="D57" i="23" s="1"/>
  <c r="A57" i="23"/>
  <c r="V56" i="23"/>
  <c r="U56" i="23"/>
  <c r="T56" i="23"/>
  <c r="S56" i="23"/>
  <c r="R56" i="23"/>
  <c r="Q56" i="23"/>
  <c r="P56" i="23"/>
  <c r="O56" i="23"/>
  <c r="A56" i="23"/>
  <c r="V55" i="23"/>
  <c r="U55" i="23"/>
  <c r="T55" i="23"/>
  <c r="S55" i="23"/>
  <c r="R55" i="23"/>
  <c r="Q55" i="23"/>
  <c r="P55" i="23"/>
  <c r="O55" i="23"/>
  <c r="A55" i="23"/>
  <c r="V54" i="23"/>
  <c r="U54" i="23"/>
  <c r="T54" i="23"/>
  <c r="S54" i="23"/>
  <c r="R54" i="23"/>
  <c r="Q54" i="23"/>
  <c r="P54" i="23"/>
  <c r="O54" i="23"/>
  <c r="D54" i="23"/>
  <c r="C54" i="23"/>
  <c r="A54" i="23"/>
  <c r="V53" i="23"/>
  <c r="U53" i="23"/>
  <c r="T53" i="23"/>
  <c r="S53" i="23"/>
  <c r="R53" i="23"/>
  <c r="Q53" i="23"/>
  <c r="P53" i="23"/>
  <c r="O53" i="23"/>
  <c r="L53" i="23"/>
  <c r="K53" i="23"/>
  <c r="J53" i="23"/>
  <c r="I53" i="23"/>
  <c r="H53" i="23"/>
  <c r="G53" i="23"/>
  <c r="F53" i="23"/>
  <c r="E53" i="23"/>
  <c r="D53" i="23"/>
  <c r="C53" i="23"/>
  <c r="A53" i="23"/>
  <c r="V52" i="23"/>
  <c r="U52" i="23"/>
  <c r="T52" i="23"/>
  <c r="S52" i="23"/>
  <c r="R52" i="23"/>
  <c r="Q52" i="23"/>
  <c r="P52" i="23"/>
  <c r="O52" i="23"/>
  <c r="L52" i="23"/>
  <c r="K52" i="23"/>
  <c r="J52" i="23"/>
  <c r="I52" i="23"/>
  <c r="H52" i="23"/>
  <c r="G52" i="23"/>
  <c r="F52" i="23"/>
  <c r="E52" i="23"/>
  <c r="D52" i="23"/>
  <c r="C52" i="23"/>
  <c r="A52" i="23"/>
  <c r="V51" i="23"/>
  <c r="U51" i="23"/>
  <c r="T51" i="23"/>
  <c r="S51" i="23"/>
  <c r="R51" i="23"/>
  <c r="Q51" i="23"/>
  <c r="P51" i="23"/>
  <c r="O51" i="23"/>
  <c r="A51" i="23"/>
  <c r="V50" i="23"/>
  <c r="U50" i="23"/>
  <c r="T50" i="23"/>
  <c r="S50" i="23"/>
  <c r="R50" i="23"/>
  <c r="Q50" i="23"/>
  <c r="P50" i="23"/>
  <c r="O50" i="23"/>
  <c r="A50" i="23"/>
  <c r="V49" i="23"/>
  <c r="U49" i="23"/>
  <c r="T49" i="23"/>
  <c r="S49" i="23"/>
  <c r="R49" i="23"/>
  <c r="Q49" i="23"/>
  <c r="P49" i="23"/>
  <c r="O49" i="23"/>
  <c r="A49" i="23"/>
  <c r="V48" i="23"/>
  <c r="U48" i="23"/>
  <c r="T48" i="23"/>
  <c r="S48" i="23"/>
  <c r="R48" i="23"/>
  <c r="Q48" i="23"/>
  <c r="P48" i="23"/>
  <c r="O48" i="23"/>
  <c r="A48" i="23"/>
  <c r="V47" i="23"/>
  <c r="U47" i="23"/>
  <c r="T47" i="23"/>
  <c r="S47" i="23"/>
  <c r="R47" i="23"/>
  <c r="Q47" i="23"/>
  <c r="P47" i="23"/>
  <c r="O47" i="23"/>
  <c r="A47" i="23"/>
  <c r="V46" i="23"/>
  <c r="U46" i="23"/>
  <c r="T46" i="23"/>
  <c r="S46" i="23"/>
  <c r="R46" i="23"/>
  <c r="Q46" i="23"/>
  <c r="P46" i="23"/>
  <c r="O46" i="23"/>
  <c r="A46" i="23"/>
  <c r="V45" i="23"/>
  <c r="U45" i="23"/>
  <c r="T45" i="23"/>
  <c r="S45" i="23"/>
  <c r="R45" i="23"/>
  <c r="Q45" i="23"/>
  <c r="P45" i="23"/>
  <c r="O45" i="23"/>
  <c r="A45" i="23"/>
  <c r="V44" i="23"/>
  <c r="U44" i="23"/>
  <c r="T44" i="23"/>
  <c r="S44" i="23"/>
  <c r="R44" i="23"/>
  <c r="Q44" i="23"/>
  <c r="P44" i="23"/>
  <c r="O44" i="23"/>
  <c r="A44" i="23"/>
  <c r="V43" i="23"/>
  <c r="U43" i="23"/>
  <c r="T43" i="23"/>
  <c r="S43" i="23"/>
  <c r="R43" i="23"/>
  <c r="Q43" i="23"/>
  <c r="P43" i="23"/>
  <c r="O43" i="23"/>
  <c r="L43" i="23"/>
  <c r="K43" i="23"/>
  <c r="J43" i="23"/>
  <c r="I43" i="23"/>
  <c r="H43" i="23"/>
  <c r="G43" i="23"/>
  <c r="F43" i="23"/>
  <c r="E43" i="23"/>
  <c r="D43" i="23"/>
  <c r="C43" i="23"/>
  <c r="A43" i="23"/>
  <c r="V42" i="23"/>
  <c r="U42" i="23"/>
  <c r="T42" i="23"/>
  <c r="S42" i="23"/>
  <c r="R42" i="23"/>
  <c r="Q42" i="23"/>
  <c r="P42" i="23"/>
  <c r="O42" i="23"/>
  <c r="L42" i="23"/>
  <c r="K42" i="23"/>
  <c r="J42" i="23"/>
  <c r="I42" i="23"/>
  <c r="H42" i="23"/>
  <c r="G42" i="23"/>
  <c r="F42" i="23"/>
  <c r="E42" i="23"/>
  <c r="D42" i="23"/>
  <c r="C42" i="23"/>
  <c r="A42" i="23"/>
  <c r="V41" i="23"/>
  <c r="U41" i="23"/>
  <c r="T41" i="23"/>
  <c r="S41" i="23"/>
  <c r="R41" i="23"/>
  <c r="Q41" i="23"/>
  <c r="P41" i="23"/>
  <c r="O41" i="23"/>
  <c r="L41" i="23"/>
  <c r="K41" i="23"/>
  <c r="J41" i="23"/>
  <c r="I41" i="23"/>
  <c r="H41" i="23"/>
  <c r="G41" i="23"/>
  <c r="F41" i="23"/>
  <c r="E41" i="23"/>
  <c r="D41" i="23"/>
  <c r="C41" i="23"/>
  <c r="A41" i="23"/>
  <c r="V40" i="23"/>
  <c r="U40" i="23"/>
  <c r="T40" i="23"/>
  <c r="S40" i="23"/>
  <c r="R40" i="23"/>
  <c r="Q40" i="23"/>
  <c r="P40" i="23"/>
  <c r="O40" i="23"/>
  <c r="A40" i="23"/>
  <c r="V39" i="23"/>
  <c r="U39" i="23"/>
  <c r="T39" i="23"/>
  <c r="S39" i="23"/>
  <c r="R39" i="23"/>
  <c r="Q39" i="23"/>
  <c r="P39" i="23"/>
  <c r="O39" i="23"/>
  <c r="L39" i="23"/>
  <c r="K39" i="23"/>
  <c r="J39" i="23"/>
  <c r="I39" i="23"/>
  <c r="H39" i="23"/>
  <c r="G39" i="23"/>
  <c r="F39" i="23"/>
  <c r="E39" i="23"/>
  <c r="D39" i="23"/>
  <c r="C39" i="23"/>
  <c r="A39" i="23"/>
  <c r="V38" i="23"/>
  <c r="U38" i="23"/>
  <c r="T38" i="23"/>
  <c r="S38" i="23"/>
  <c r="R38" i="23"/>
  <c r="Q38" i="23"/>
  <c r="P38" i="23"/>
  <c r="O38" i="23"/>
  <c r="A38" i="23"/>
  <c r="V37" i="23"/>
  <c r="U37" i="23"/>
  <c r="T37" i="23"/>
  <c r="S37" i="23"/>
  <c r="R37" i="23"/>
  <c r="Q37" i="23"/>
  <c r="P37" i="23"/>
  <c r="O37" i="23"/>
  <c r="L37" i="23"/>
  <c r="K37" i="23"/>
  <c r="J37" i="23"/>
  <c r="I37" i="23"/>
  <c r="H37" i="23"/>
  <c r="G37" i="23"/>
  <c r="F37" i="23"/>
  <c r="E37" i="23"/>
  <c r="D37" i="23"/>
  <c r="C37" i="23"/>
  <c r="A37" i="23"/>
  <c r="V36" i="23"/>
  <c r="U36" i="23"/>
  <c r="T36" i="23"/>
  <c r="S36" i="23"/>
  <c r="R36" i="23"/>
  <c r="Q36" i="23"/>
  <c r="P36" i="23"/>
  <c r="O36" i="23"/>
  <c r="D36" i="23"/>
  <c r="C36" i="23"/>
  <c r="A36" i="23"/>
  <c r="V35" i="23"/>
  <c r="U35" i="23"/>
  <c r="T35" i="23"/>
  <c r="S35" i="23"/>
  <c r="R35" i="23"/>
  <c r="Q35" i="23"/>
  <c r="P35" i="23"/>
  <c r="O35" i="23"/>
  <c r="A35" i="23"/>
  <c r="V34" i="23"/>
  <c r="U34" i="23"/>
  <c r="T34" i="23"/>
  <c r="S34" i="23"/>
  <c r="R34" i="23"/>
  <c r="Q34" i="23"/>
  <c r="P34" i="23"/>
  <c r="O34" i="23"/>
  <c r="L34" i="23"/>
  <c r="K34" i="23"/>
  <c r="J34" i="23"/>
  <c r="I34" i="23"/>
  <c r="H34" i="23"/>
  <c r="G34" i="23"/>
  <c r="F34" i="23"/>
  <c r="E34" i="23"/>
  <c r="D34" i="23"/>
  <c r="C34" i="23"/>
  <c r="A34" i="23"/>
  <c r="V33" i="23"/>
  <c r="U33" i="23"/>
  <c r="T33" i="23"/>
  <c r="S33" i="23"/>
  <c r="R33" i="23"/>
  <c r="Q33" i="23"/>
  <c r="P33" i="23"/>
  <c r="O33" i="23"/>
  <c r="L33" i="23"/>
  <c r="K33" i="23"/>
  <c r="J33" i="23"/>
  <c r="I33" i="23"/>
  <c r="H33" i="23"/>
  <c r="G33" i="23"/>
  <c r="F33" i="23"/>
  <c r="E33" i="23"/>
  <c r="T32" i="23"/>
  <c r="S32" i="23"/>
  <c r="V31" i="23"/>
  <c r="U31" i="23"/>
  <c r="T31" i="23"/>
  <c r="S31" i="23"/>
  <c r="R31" i="23"/>
  <c r="Q31" i="23"/>
  <c r="P31" i="23"/>
  <c r="O31" i="23"/>
  <c r="N31" i="23"/>
  <c r="M31" i="23"/>
  <c r="J20" i="23"/>
  <c r="I20" i="23"/>
  <c r="H20" i="23"/>
  <c r="G20" i="23"/>
  <c r="J19" i="23"/>
  <c r="I19" i="23"/>
  <c r="H19" i="23"/>
  <c r="G19" i="23"/>
  <c r="J18" i="23"/>
  <c r="I18" i="23"/>
  <c r="H18" i="23"/>
  <c r="G18" i="23"/>
  <c r="J17" i="23"/>
  <c r="I17" i="23"/>
  <c r="H17" i="23"/>
  <c r="G17" i="23"/>
  <c r="J16" i="23"/>
  <c r="I16" i="23"/>
  <c r="H16" i="23"/>
  <c r="G16" i="23"/>
  <c r="J15" i="23"/>
  <c r="I15" i="23"/>
  <c r="H15" i="23"/>
  <c r="G15" i="23"/>
  <c r="J14" i="23"/>
  <c r="I14" i="23"/>
  <c r="H14" i="23"/>
  <c r="G14" i="23"/>
  <c r="J13" i="23"/>
  <c r="I13" i="23"/>
  <c r="H13" i="23"/>
  <c r="G13" i="23"/>
  <c r="J12" i="23"/>
  <c r="H12" i="23"/>
  <c r="G12" i="23"/>
  <c r="J11" i="23"/>
  <c r="H11" i="23"/>
  <c r="G11" i="23"/>
  <c r="E7" i="23"/>
  <c r="B7" i="23"/>
  <c r="I12" i="23" s="1"/>
  <c r="D33" i="23" s="1"/>
  <c r="L165" i="85"/>
  <c r="K165" i="85"/>
  <c r="J165" i="85"/>
  <c r="I165" i="85"/>
  <c r="H165" i="85"/>
  <c r="M164" i="85"/>
  <c r="L164" i="85"/>
  <c r="K164" i="85"/>
  <c r="J164" i="85"/>
  <c r="H164" i="85"/>
  <c r="G164" i="85"/>
  <c r="F164" i="85"/>
  <c r="M163" i="85"/>
  <c r="L163" i="85"/>
  <c r="K163" i="85"/>
  <c r="J163" i="85"/>
  <c r="H163" i="85"/>
  <c r="G163" i="85"/>
  <c r="F163" i="85"/>
  <c r="M162" i="85"/>
  <c r="L162" i="85"/>
  <c r="K162" i="85"/>
  <c r="J162" i="85"/>
  <c r="H162" i="85"/>
  <c r="G162" i="85"/>
  <c r="F162" i="85"/>
  <c r="M161" i="85"/>
  <c r="L161" i="85"/>
  <c r="K161" i="85"/>
  <c r="J161" i="85"/>
  <c r="H161" i="85"/>
  <c r="G161" i="85"/>
  <c r="F161" i="85"/>
  <c r="M160" i="85"/>
  <c r="L160" i="85"/>
  <c r="K160" i="85"/>
  <c r="J160" i="85"/>
  <c r="H160" i="85"/>
  <c r="G160" i="85"/>
  <c r="F160" i="85"/>
  <c r="M159" i="85"/>
  <c r="L159" i="85"/>
  <c r="K159" i="85"/>
  <c r="J159" i="85"/>
  <c r="H159" i="85"/>
  <c r="G159" i="85"/>
  <c r="F159" i="85"/>
  <c r="M158" i="85"/>
  <c r="L158" i="85"/>
  <c r="K158" i="85"/>
  <c r="J158" i="85"/>
  <c r="H158" i="85"/>
  <c r="G158" i="85"/>
  <c r="F158" i="85"/>
  <c r="M157" i="85"/>
  <c r="L157" i="85"/>
  <c r="K157" i="85"/>
  <c r="J157" i="85"/>
  <c r="H157" i="85"/>
  <c r="G157" i="85"/>
  <c r="F157" i="85"/>
  <c r="L156" i="85"/>
  <c r="K156" i="85"/>
  <c r="J156" i="85"/>
  <c r="I156" i="85"/>
  <c r="H156" i="85"/>
  <c r="M155" i="85"/>
  <c r="L155" i="85"/>
  <c r="K155" i="85"/>
  <c r="J155" i="85"/>
  <c r="I155" i="85"/>
  <c r="H155" i="85"/>
  <c r="G155" i="85"/>
  <c r="F155" i="85"/>
  <c r="M154" i="85"/>
  <c r="L154" i="85"/>
  <c r="K154" i="85"/>
  <c r="J154" i="85"/>
  <c r="I154" i="85"/>
  <c r="H154" i="85"/>
  <c r="G154" i="85"/>
  <c r="F154" i="85"/>
  <c r="M153" i="85"/>
  <c r="L153" i="85"/>
  <c r="K153" i="85"/>
  <c r="J153" i="85"/>
  <c r="I153" i="85"/>
  <c r="H153" i="85"/>
  <c r="G153" i="85"/>
  <c r="F153" i="85"/>
  <c r="M152" i="85"/>
  <c r="L152" i="85"/>
  <c r="K152" i="85"/>
  <c r="J152" i="85"/>
  <c r="I152" i="85"/>
  <c r="H152" i="85"/>
  <c r="G152" i="85"/>
  <c r="F152" i="85"/>
  <c r="M151" i="85"/>
  <c r="L151" i="85"/>
  <c r="K151" i="85"/>
  <c r="J151" i="85"/>
  <c r="I151" i="85"/>
  <c r="H151" i="85"/>
  <c r="G151" i="85"/>
  <c r="F151" i="85"/>
  <c r="M150" i="85"/>
  <c r="L150" i="85"/>
  <c r="K150" i="85"/>
  <c r="J150" i="85"/>
  <c r="I150" i="85"/>
  <c r="H150" i="85"/>
  <c r="G150" i="85"/>
  <c r="F150" i="85"/>
  <c r="M149" i="85"/>
  <c r="L149" i="85"/>
  <c r="K149" i="85"/>
  <c r="J149" i="85"/>
  <c r="I149" i="85"/>
  <c r="H149" i="85"/>
  <c r="G149" i="85"/>
  <c r="F149" i="85"/>
  <c r="M148" i="85"/>
  <c r="L148" i="85"/>
  <c r="K148" i="85"/>
  <c r="J148" i="85"/>
  <c r="I148" i="85"/>
  <c r="H148" i="85"/>
  <c r="G148" i="85"/>
  <c r="F148" i="85"/>
  <c r="L144" i="85"/>
  <c r="K144" i="85"/>
  <c r="J144" i="85"/>
  <c r="I144" i="85"/>
  <c r="H144" i="85"/>
  <c r="M143" i="85"/>
  <c r="L143" i="85"/>
  <c r="K143" i="85"/>
  <c r="J143" i="85"/>
  <c r="H143" i="85"/>
  <c r="G143" i="85"/>
  <c r="F143" i="85"/>
  <c r="M142" i="85"/>
  <c r="L142" i="85"/>
  <c r="K142" i="85"/>
  <c r="J142" i="85"/>
  <c r="H142" i="85"/>
  <c r="G142" i="85"/>
  <c r="F142" i="85"/>
  <c r="M141" i="85"/>
  <c r="L141" i="85"/>
  <c r="K141" i="85"/>
  <c r="J141" i="85"/>
  <c r="H141" i="85"/>
  <c r="G141" i="85"/>
  <c r="F141" i="85"/>
  <c r="M140" i="85"/>
  <c r="L140" i="85"/>
  <c r="K140" i="85"/>
  <c r="J140" i="85"/>
  <c r="H140" i="85"/>
  <c r="G140" i="85"/>
  <c r="F140" i="85"/>
  <c r="M139" i="85"/>
  <c r="L139" i="85"/>
  <c r="K139" i="85"/>
  <c r="J139" i="85"/>
  <c r="H139" i="85"/>
  <c r="G139" i="85"/>
  <c r="F139" i="85"/>
  <c r="M138" i="85"/>
  <c r="L138" i="85"/>
  <c r="K138" i="85"/>
  <c r="J138" i="85"/>
  <c r="H138" i="85"/>
  <c r="G138" i="85"/>
  <c r="F138" i="85"/>
  <c r="M137" i="85"/>
  <c r="L137" i="85"/>
  <c r="K137" i="85"/>
  <c r="J137" i="85"/>
  <c r="H137" i="85"/>
  <c r="G137" i="85"/>
  <c r="F137" i="85"/>
  <c r="M136" i="85"/>
  <c r="L136" i="85"/>
  <c r="K136" i="85"/>
  <c r="J136" i="85"/>
  <c r="H136" i="85"/>
  <c r="G136" i="85"/>
  <c r="F136" i="85"/>
  <c r="L135" i="85"/>
  <c r="K135" i="85"/>
  <c r="J135" i="85"/>
  <c r="I135" i="85"/>
  <c r="H135" i="85"/>
  <c r="M134" i="85"/>
  <c r="L134" i="85"/>
  <c r="K134" i="85"/>
  <c r="J134" i="85"/>
  <c r="I134" i="85"/>
  <c r="H134" i="85"/>
  <c r="G134" i="85"/>
  <c r="F134" i="85"/>
  <c r="M133" i="85"/>
  <c r="L133" i="85"/>
  <c r="K133" i="85"/>
  <c r="J133" i="85"/>
  <c r="I133" i="85"/>
  <c r="H133" i="85"/>
  <c r="G133" i="85"/>
  <c r="F133" i="85"/>
  <c r="M132" i="85"/>
  <c r="L132" i="85"/>
  <c r="K132" i="85"/>
  <c r="J132" i="85"/>
  <c r="I132" i="85"/>
  <c r="H132" i="85"/>
  <c r="G132" i="85"/>
  <c r="F132" i="85"/>
  <c r="M131" i="85"/>
  <c r="L131" i="85"/>
  <c r="K131" i="85"/>
  <c r="J131" i="85"/>
  <c r="I131" i="85"/>
  <c r="H131" i="85"/>
  <c r="G131" i="85"/>
  <c r="F131" i="85"/>
  <c r="M130" i="85"/>
  <c r="L130" i="85"/>
  <c r="K130" i="85"/>
  <c r="J130" i="85"/>
  <c r="I130" i="85"/>
  <c r="H130" i="85"/>
  <c r="G130" i="85"/>
  <c r="F130" i="85"/>
  <c r="M129" i="85"/>
  <c r="L129" i="85"/>
  <c r="K129" i="85"/>
  <c r="J129" i="85"/>
  <c r="I129" i="85"/>
  <c r="H129" i="85"/>
  <c r="G129" i="85"/>
  <c r="F129" i="85"/>
  <c r="M128" i="85"/>
  <c r="L128" i="85"/>
  <c r="K128" i="85"/>
  <c r="J128" i="85"/>
  <c r="I128" i="85"/>
  <c r="H128" i="85"/>
  <c r="G128" i="85"/>
  <c r="F128" i="85"/>
  <c r="M127" i="85"/>
  <c r="L127" i="85"/>
  <c r="K127" i="85"/>
  <c r="J127" i="85"/>
  <c r="I127" i="85"/>
  <c r="H127" i="85"/>
  <c r="G127" i="85"/>
  <c r="F127" i="85"/>
  <c r="V103" i="85"/>
  <c r="U103" i="85"/>
  <c r="T103" i="85"/>
  <c r="S103" i="85"/>
  <c r="R103" i="85"/>
  <c r="Q103" i="85"/>
  <c r="A103" i="85"/>
  <c r="V102" i="85"/>
  <c r="U102" i="85"/>
  <c r="T102" i="85"/>
  <c r="S102" i="85"/>
  <c r="R102" i="85"/>
  <c r="Q102" i="85"/>
  <c r="A102" i="85"/>
  <c r="V101" i="85"/>
  <c r="U101" i="85"/>
  <c r="T101" i="85"/>
  <c r="S101" i="85"/>
  <c r="R101" i="85"/>
  <c r="Q101" i="85"/>
  <c r="A101" i="85"/>
  <c r="V100" i="85"/>
  <c r="U100" i="85"/>
  <c r="T100" i="85"/>
  <c r="S100" i="85"/>
  <c r="R100" i="85"/>
  <c r="Q100" i="85"/>
  <c r="A100" i="85"/>
  <c r="V99" i="85"/>
  <c r="U99" i="85"/>
  <c r="T99" i="85"/>
  <c r="S99" i="85"/>
  <c r="R99" i="85"/>
  <c r="Q99" i="85"/>
  <c r="A99" i="85"/>
  <c r="V98" i="85"/>
  <c r="U98" i="85"/>
  <c r="T98" i="85"/>
  <c r="S98" i="85"/>
  <c r="R98" i="85"/>
  <c r="Q98" i="85"/>
  <c r="A98" i="85"/>
  <c r="V97" i="85"/>
  <c r="U97" i="85"/>
  <c r="T97" i="85"/>
  <c r="S97" i="85"/>
  <c r="R97" i="85"/>
  <c r="Q97" i="85"/>
  <c r="A97" i="85"/>
  <c r="V96" i="85"/>
  <c r="U96" i="85"/>
  <c r="T96" i="85"/>
  <c r="S96" i="85"/>
  <c r="R96" i="85"/>
  <c r="Q96" i="85"/>
  <c r="A96" i="85"/>
  <c r="V95" i="85"/>
  <c r="U95" i="85"/>
  <c r="T95" i="85"/>
  <c r="S95" i="85"/>
  <c r="R95" i="85"/>
  <c r="Q95" i="85"/>
  <c r="A95" i="85"/>
  <c r="V94" i="85"/>
  <c r="U94" i="85"/>
  <c r="T94" i="85"/>
  <c r="S94" i="85"/>
  <c r="R94" i="85"/>
  <c r="Q94" i="85"/>
  <c r="A94" i="85"/>
  <c r="V93" i="85"/>
  <c r="U93" i="85"/>
  <c r="T93" i="85"/>
  <c r="S93" i="85"/>
  <c r="R93" i="85"/>
  <c r="Q93" i="85"/>
  <c r="A93" i="85"/>
  <c r="V92" i="85"/>
  <c r="U92" i="85"/>
  <c r="T92" i="85"/>
  <c r="S92" i="85"/>
  <c r="R92" i="85"/>
  <c r="Q92" i="85"/>
  <c r="A92" i="85"/>
  <c r="V91" i="85"/>
  <c r="U91" i="85"/>
  <c r="T91" i="85"/>
  <c r="S91" i="85"/>
  <c r="R91" i="85"/>
  <c r="Q91" i="85"/>
  <c r="A91" i="85"/>
  <c r="V90" i="85"/>
  <c r="U90" i="85"/>
  <c r="T90" i="85"/>
  <c r="S90" i="85"/>
  <c r="R90" i="85"/>
  <c r="Q90" i="85"/>
  <c r="A90" i="85"/>
  <c r="V89" i="85"/>
  <c r="U89" i="85"/>
  <c r="T89" i="85"/>
  <c r="S89" i="85"/>
  <c r="R89" i="85"/>
  <c r="Q89" i="85"/>
  <c r="A89" i="85"/>
  <c r="V88" i="85"/>
  <c r="U88" i="85"/>
  <c r="T88" i="85"/>
  <c r="S88" i="85"/>
  <c r="R88" i="85"/>
  <c r="Q88" i="85"/>
  <c r="A88" i="85"/>
  <c r="V87" i="85"/>
  <c r="U87" i="85"/>
  <c r="T87" i="85"/>
  <c r="S87" i="85"/>
  <c r="R87" i="85"/>
  <c r="Q87" i="85"/>
  <c r="A87" i="85"/>
  <c r="V86" i="85"/>
  <c r="U86" i="85"/>
  <c r="T86" i="85"/>
  <c r="S86" i="85"/>
  <c r="R86" i="85"/>
  <c r="Q86" i="85"/>
  <c r="A86" i="85"/>
  <c r="V85" i="85"/>
  <c r="U85" i="85"/>
  <c r="T85" i="85"/>
  <c r="S85" i="85"/>
  <c r="R85" i="85"/>
  <c r="Q85" i="85"/>
  <c r="A85" i="85"/>
  <c r="V84" i="85"/>
  <c r="U84" i="85"/>
  <c r="T84" i="85"/>
  <c r="S84" i="85"/>
  <c r="R84" i="85"/>
  <c r="Q84" i="85"/>
  <c r="A84" i="85"/>
  <c r="V83" i="85"/>
  <c r="U83" i="85"/>
  <c r="T83" i="85"/>
  <c r="S83" i="85"/>
  <c r="R83" i="85"/>
  <c r="Q83" i="85"/>
  <c r="A83" i="85"/>
  <c r="V82" i="85"/>
  <c r="U82" i="85"/>
  <c r="T82" i="85"/>
  <c r="S82" i="85"/>
  <c r="R82" i="85"/>
  <c r="Q82" i="85"/>
  <c r="L82" i="85"/>
  <c r="K82" i="85"/>
  <c r="J82" i="85"/>
  <c r="I82" i="85"/>
  <c r="H82" i="85"/>
  <c r="G82" i="85"/>
  <c r="F82" i="85"/>
  <c r="A82" i="85"/>
  <c r="V81" i="85"/>
  <c r="U81" i="85"/>
  <c r="T81" i="85"/>
  <c r="S81" i="85"/>
  <c r="R81" i="85"/>
  <c r="Q81" i="85"/>
  <c r="A81" i="85"/>
  <c r="V80" i="85"/>
  <c r="U80" i="85"/>
  <c r="T80" i="85"/>
  <c r="S80" i="85"/>
  <c r="R80" i="85"/>
  <c r="Q80" i="85"/>
  <c r="A80" i="85"/>
  <c r="V79" i="85"/>
  <c r="U79" i="85"/>
  <c r="T79" i="85"/>
  <c r="S79" i="85"/>
  <c r="R79" i="85"/>
  <c r="Q79" i="85"/>
  <c r="F79" i="85"/>
  <c r="D79" i="85"/>
  <c r="A79" i="85"/>
  <c r="V78" i="85"/>
  <c r="U78" i="85"/>
  <c r="T78" i="85"/>
  <c r="S78" i="85"/>
  <c r="R78" i="85"/>
  <c r="Q78" i="85"/>
  <c r="F78" i="85"/>
  <c r="D78" i="85"/>
  <c r="A78" i="85"/>
  <c r="V77" i="85"/>
  <c r="U77" i="85"/>
  <c r="T77" i="85"/>
  <c r="S77" i="85"/>
  <c r="R77" i="85"/>
  <c r="Q77" i="85"/>
  <c r="F77" i="85"/>
  <c r="D77" i="85"/>
  <c r="A77" i="85"/>
  <c r="V76" i="85"/>
  <c r="U76" i="85"/>
  <c r="T76" i="85"/>
  <c r="S76" i="85"/>
  <c r="R76" i="85"/>
  <c r="Q76" i="85"/>
  <c r="A76" i="85"/>
  <c r="V75" i="85"/>
  <c r="U75" i="85"/>
  <c r="T75" i="85"/>
  <c r="S75" i="85"/>
  <c r="R75" i="85"/>
  <c r="Q75" i="85"/>
  <c r="A75" i="85"/>
  <c r="V74" i="85"/>
  <c r="U74" i="85"/>
  <c r="T74" i="85"/>
  <c r="S74" i="85"/>
  <c r="R74" i="85"/>
  <c r="Q74" i="85"/>
  <c r="A74" i="85"/>
  <c r="V73" i="85"/>
  <c r="U73" i="85"/>
  <c r="T73" i="85"/>
  <c r="S73" i="85"/>
  <c r="R73" i="85"/>
  <c r="Q73" i="85"/>
  <c r="A73" i="85"/>
  <c r="V72" i="85"/>
  <c r="U72" i="85"/>
  <c r="T72" i="85"/>
  <c r="S72" i="85"/>
  <c r="R72" i="85"/>
  <c r="Q72" i="85"/>
  <c r="A72" i="85"/>
  <c r="V71" i="85"/>
  <c r="U71" i="85"/>
  <c r="T71" i="85"/>
  <c r="S71" i="85"/>
  <c r="R71" i="85"/>
  <c r="Q71" i="85"/>
  <c r="L71" i="85"/>
  <c r="K71" i="85"/>
  <c r="J71" i="85"/>
  <c r="I71" i="85"/>
  <c r="H71" i="85"/>
  <c r="G71" i="85"/>
  <c r="F71" i="85"/>
  <c r="E71" i="85"/>
  <c r="D71" i="85"/>
  <c r="C71" i="85"/>
  <c r="A71" i="85"/>
  <c r="V70" i="85"/>
  <c r="U70" i="85"/>
  <c r="T70" i="85"/>
  <c r="S70" i="85"/>
  <c r="R70" i="85"/>
  <c r="Q70" i="85"/>
  <c r="A70" i="85"/>
  <c r="L69" i="85"/>
  <c r="K69" i="85"/>
  <c r="J69" i="85"/>
  <c r="I69" i="85"/>
  <c r="H69" i="85"/>
  <c r="G69" i="85"/>
  <c r="F69" i="85"/>
  <c r="E69" i="85"/>
  <c r="D69" i="85"/>
  <c r="C69" i="85"/>
  <c r="A69" i="85"/>
  <c r="V68" i="85"/>
  <c r="U68" i="85"/>
  <c r="T68" i="85"/>
  <c r="S68" i="85"/>
  <c r="R68" i="85"/>
  <c r="Q68" i="85"/>
  <c r="F68" i="85"/>
  <c r="E68" i="85"/>
  <c r="D68" i="85"/>
  <c r="C68" i="85"/>
  <c r="A68" i="85"/>
  <c r="V67" i="85"/>
  <c r="U67" i="85"/>
  <c r="T67" i="85"/>
  <c r="S67" i="85"/>
  <c r="R67" i="85"/>
  <c r="Q67" i="85"/>
  <c r="F67" i="85"/>
  <c r="E67" i="85"/>
  <c r="D67" i="85"/>
  <c r="C67" i="85"/>
  <c r="A67" i="85"/>
  <c r="V66" i="85"/>
  <c r="U66" i="85"/>
  <c r="T66" i="85"/>
  <c r="S66" i="85"/>
  <c r="R66" i="85"/>
  <c r="Q66" i="85"/>
  <c r="F66" i="85"/>
  <c r="E66" i="85"/>
  <c r="D66" i="85"/>
  <c r="C66" i="85"/>
  <c r="A66" i="85"/>
  <c r="F65" i="85"/>
  <c r="E65" i="85"/>
  <c r="D65" i="85"/>
  <c r="C65" i="85"/>
  <c r="A65" i="85"/>
  <c r="V64" i="85"/>
  <c r="U64" i="85"/>
  <c r="T64" i="85"/>
  <c r="S64" i="85"/>
  <c r="R64" i="85"/>
  <c r="Q64" i="85"/>
  <c r="F64" i="85"/>
  <c r="E64" i="85"/>
  <c r="D64" i="85"/>
  <c r="C64" i="85"/>
  <c r="A64" i="85"/>
  <c r="V63" i="85"/>
  <c r="U63" i="85"/>
  <c r="T63" i="85"/>
  <c r="S63" i="85"/>
  <c r="R63" i="85"/>
  <c r="Q63" i="85"/>
  <c r="A63" i="85"/>
  <c r="V62" i="85"/>
  <c r="U62" i="85"/>
  <c r="T62" i="85"/>
  <c r="S62" i="85"/>
  <c r="R62" i="85"/>
  <c r="Q62" i="85"/>
  <c r="A62" i="85"/>
  <c r="V61" i="85"/>
  <c r="U61" i="85"/>
  <c r="T61" i="85"/>
  <c r="S61" i="85"/>
  <c r="R61" i="85"/>
  <c r="Q61" i="85"/>
  <c r="A61" i="85"/>
  <c r="V60" i="85"/>
  <c r="U60" i="85"/>
  <c r="T60" i="85"/>
  <c r="S60" i="85"/>
  <c r="R60" i="85"/>
  <c r="Q60" i="85"/>
  <c r="A60" i="85"/>
  <c r="V59" i="85"/>
  <c r="U59" i="85"/>
  <c r="T59" i="85"/>
  <c r="S59" i="85"/>
  <c r="R59" i="85"/>
  <c r="Q59" i="85"/>
  <c r="A59" i="85"/>
  <c r="V58" i="85"/>
  <c r="U58" i="85"/>
  <c r="T58" i="85"/>
  <c r="S58" i="85"/>
  <c r="R58" i="85"/>
  <c r="Q58" i="85"/>
  <c r="C58" i="85"/>
  <c r="D58" i="85" s="1"/>
  <c r="E58" i="85" s="1"/>
  <c r="F58" i="85" s="1"/>
  <c r="A58" i="85"/>
  <c r="V57" i="85"/>
  <c r="U57" i="85"/>
  <c r="T57" i="85"/>
  <c r="S57" i="85"/>
  <c r="R57" i="85"/>
  <c r="Q57" i="85"/>
  <c r="D57" i="85"/>
  <c r="E57" i="85" s="1"/>
  <c r="F57" i="85" s="1"/>
  <c r="C57" i="85"/>
  <c r="A57" i="85"/>
  <c r="V56" i="85"/>
  <c r="U56" i="85"/>
  <c r="T56" i="85"/>
  <c r="S56" i="85"/>
  <c r="R56" i="85"/>
  <c r="Q56" i="85"/>
  <c r="A56" i="85"/>
  <c r="V55" i="85"/>
  <c r="U55" i="85"/>
  <c r="T55" i="85"/>
  <c r="S55" i="85"/>
  <c r="R55" i="85"/>
  <c r="Q55" i="85"/>
  <c r="A55" i="85"/>
  <c r="V54" i="85"/>
  <c r="U54" i="85"/>
  <c r="T54" i="85"/>
  <c r="S54" i="85"/>
  <c r="R54" i="85"/>
  <c r="Q54" i="85"/>
  <c r="F54" i="85"/>
  <c r="E54" i="85"/>
  <c r="D54" i="85"/>
  <c r="C54" i="85"/>
  <c r="A54" i="85"/>
  <c r="V53" i="85"/>
  <c r="U53" i="85"/>
  <c r="T53" i="85"/>
  <c r="S53" i="85"/>
  <c r="R53" i="85"/>
  <c r="Q53" i="85"/>
  <c r="L53" i="85"/>
  <c r="K53" i="85"/>
  <c r="J53" i="85"/>
  <c r="I53" i="85"/>
  <c r="H53" i="85"/>
  <c r="G53" i="85"/>
  <c r="F53" i="85"/>
  <c r="E53" i="85"/>
  <c r="D53" i="85"/>
  <c r="C53" i="85"/>
  <c r="A53" i="85"/>
  <c r="V52" i="85"/>
  <c r="U52" i="85"/>
  <c r="T52" i="85"/>
  <c r="S52" i="85"/>
  <c r="R52" i="85"/>
  <c r="Q52" i="85"/>
  <c r="L52" i="85"/>
  <c r="K52" i="85"/>
  <c r="J52" i="85"/>
  <c r="I52" i="85"/>
  <c r="H52" i="85"/>
  <c r="G52" i="85"/>
  <c r="F52" i="85"/>
  <c r="E52" i="85"/>
  <c r="D52" i="85"/>
  <c r="C52" i="85"/>
  <c r="A52" i="85"/>
  <c r="V51" i="85"/>
  <c r="U51" i="85"/>
  <c r="T51" i="85"/>
  <c r="S51" i="85"/>
  <c r="R51" i="85"/>
  <c r="Q51" i="85"/>
  <c r="A51" i="85"/>
  <c r="V50" i="85"/>
  <c r="U50" i="85"/>
  <c r="T50" i="85"/>
  <c r="S50" i="85"/>
  <c r="R50" i="85"/>
  <c r="Q50" i="85"/>
  <c r="A50" i="85"/>
  <c r="V49" i="85"/>
  <c r="U49" i="85"/>
  <c r="T49" i="85"/>
  <c r="S49" i="85"/>
  <c r="R49" i="85"/>
  <c r="Q49" i="85"/>
  <c r="A49" i="85"/>
  <c r="V48" i="85"/>
  <c r="U48" i="85"/>
  <c r="T48" i="85"/>
  <c r="S48" i="85"/>
  <c r="R48" i="85"/>
  <c r="Q48" i="85"/>
  <c r="A48" i="85"/>
  <c r="V47" i="85"/>
  <c r="U47" i="85"/>
  <c r="T47" i="85"/>
  <c r="S47" i="85"/>
  <c r="R47" i="85"/>
  <c r="Q47" i="85"/>
  <c r="A47" i="85"/>
  <c r="V46" i="85"/>
  <c r="U46" i="85"/>
  <c r="T46" i="85"/>
  <c r="S46" i="85"/>
  <c r="R46" i="85"/>
  <c r="Q46" i="85"/>
  <c r="A46" i="85"/>
  <c r="V45" i="85"/>
  <c r="U45" i="85"/>
  <c r="T45" i="85"/>
  <c r="S45" i="85"/>
  <c r="R45" i="85"/>
  <c r="Q45" i="85"/>
  <c r="A45" i="85"/>
  <c r="V44" i="85"/>
  <c r="U44" i="85"/>
  <c r="T44" i="85"/>
  <c r="S44" i="85"/>
  <c r="R44" i="85"/>
  <c r="Q44" i="85"/>
  <c r="A44" i="85"/>
  <c r="V43" i="85"/>
  <c r="U43" i="85"/>
  <c r="T43" i="85"/>
  <c r="S43" i="85"/>
  <c r="R43" i="85"/>
  <c r="Q43" i="85"/>
  <c r="L43" i="85"/>
  <c r="K43" i="85"/>
  <c r="J43" i="85"/>
  <c r="I43" i="85"/>
  <c r="H43" i="85"/>
  <c r="G43" i="85"/>
  <c r="F43" i="85"/>
  <c r="E43" i="85"/>
  <c r="D43" i="85"/>
  <c r="C43" i="85"/>
  <c r="A43" i="85"/>
  <c r="V42" i="85"/>
  <c r="U42" i="85"/>
  <c r="T42" i="85"/>
  <c r="S42" i="85"/>
  <c r="R42" i="85"/>
  <c r="Q42" i="85"/>
  <c r="L42" i="85"/>
  <c r="K42" i="85"/>
  <c r="J42" i="85"/>
  <c r="I42" i="85"/>
  <c r="H42" i="85"/>
  <c r="G42" i="85"/>
  <c r="F42" i="85"/>
  <c r="E42" i="85"/>
  <c r="D42" i="85"/>
  <c r="C42" i="85"/>
  <c r="A42" i="85"/>
  <c r="V41" i="85"/>
  <c r="U41" i="85"/>
  <c r="T41" i="85"/>
  <c r="S41" i="85"/>
  <c r="R41" i="85"/>
  <c r="Q41" i="85"/>
  <c r="L41" i="85"/>
  <c r="K41" i="85"/>
  <c r="J41" i="85"/>
  <c r="I41" i="85"/>
  <c r="H41" i="85"/>
  <c r="G41" i="85"/>
  <c r="F41" i="85"/>
  <c r="E41" i="85"/>
  <c r="D41" i="85"/>
  <c r="C41" i="85"/>
  <c r="A41" i="85"/>
  <c r="V40" i="85"/>
  <c r="U40" i="85"/>
  <c r="T40" i="85"/>
  <c r="S40" i="85"/>
  <c r="R40" i="85"/>
  <c r="Q40" i="85"/>
  <c r="A40" i="85"/>
  <c r="V39" i="85"/>
  <c r="U39" i="85"/>
  <c r="T39" i="85"/>
  <c r="S39" i="85"/>
  <c r="R39" i="85"/>
  <c r="Q39" i="85"/>
  <c r="L39" i="85"/>
  <c r="K39" i="85"/>
  <c r="J39" i="85"/>
  <c r="I39" i="85"/>
  <c r="H39" i="85"/>
  <c r="G39" i="85"/>
  <c r="F39" i="85"/>
  <c r="E39" i="85"/>
  <c r="D39" i="85"/>
  <c r="C39" i="85"/>
  <c r="A39" i="85"/>
  <c r="V38" i="85"/>
  <c r="U38" i="85"/>
  <c r="T38" i="85"/>
  <c r="S38" i="85"/>
  <c r="R38" i="85"/>
  <c r="Q38" i="85"/>
  <c r="A38" i="85"/>
  <c r="V37" i="85"/>
  <c r="U37" i="85"/>
  <c r="T37" i="85"/>
  <c r="S37" i="85"/>
  <c r="R37" i="85"/>
  <c r="Q37" i="85"/>
  <c r="L37" i="85"/>
  <c r="K37" i="85"/>
  <c r="J37" i="85"/>
  <c r="I37" i="85"/>
  <c r="H37" i="85"/>
  <c r="G37" i="85"/>
  <c r="F37" i="85"/>
  <c r="E37" i="85"/>
  <c r="D37" i="85"/>
  <c r="C37" i="85"/>
  <c r="A37" i="85"/>
  <c r="V36" i="85"/>
  <c r="U36" i="85"/>
  <c r="T36" i="85"/>
  <c r="S36" i="85"/>
  <c r="R36" i="85"/>
  <c r="Q36" i="85"/>
  <c r="A36" i="85"/>
  <c r="V35" i="85"/>
  <c r="U35" i="85"/>
  <c r="T35" i="85"/>
  <c r="S35" i="85"/>
  <c r="R35" i="85"/>
  <c r="Q35" i="85"/>
  <c r="A35" i="85"/>
  <c r="V34" i="85"/>
  <c r="U34" i="85"/>
  <c r="T34" i="85"/>
  <c r="S34" i="85"/>
  <c r="R34" i="85"/>
  <c r="Q34" i="85"/>
  <c r="L34" i="85"/>
  <c r="K34" i="85"/>
  <c r="J34" i="85"/>
  <c r="I34" i="85"/>
  <c r="H34" i="85"/>
  <c r="G34" i="85"/>
  <c r="F34" i="85"/>
  <c r="E34" i="85"/>
  <c r="D34" i="85"/>
  <c r="C34" i="85"/>
  <c r="A34" i="85"/>
  <c r="V33" i="85"/>
  <c r="U33" i="85"/>
  <c r="T33" i="85"/>
  <c r="S33" i="85"/>
  <c r="R33" i="85"/>
  <c r="Q33" i="85"/>
  <c r="L33" i="85"/>
  <c r="K33" i="85"/>
  <c r="J33" i="85"/>
  <c r="I33" i="85"/>
  <c r="H33" i="85"/>
  <c r="G33" i="85"/>
  <c r="T32" i="85"/>
  <c r="S32" i="85"/>
  <c r="V31" i="85"/>
  <c r="U31" i="85"/>
  <c r="T31" i="85"/>
  <c r="S31" i="85"/>
  <c r="R31" i="85"/>
  <c r="Q31" i="85"/>
  <c r="P31" i="85"/>
  <c r="O31" i="85"/>
  <c r="N31" i="85"/>
  <c r="M31" i="85"/>
  <c r="J20" i="85"/>
  <c r="I20" i="85"/>
  <c r="H20" i="85"/>
  <c r="G20" i="85"/>
  <c r="J19" i="85"/>
  <c r="I19" i="85"/>
  <c r="H19" i="85"/>
  <c r="G19" i="85"/>
  <c r="J18" i="85"/>
  <c r="I18" i="85"/>
  <c r="H18" i="85"/>
  <c r="G18" i="85"/>
  <c r="J17" i="85"/>
  <c r="I17" i="85"/>
  <c r="H17" i="85"/>
  <c r="G17" i="85"/>
  <c r="J16" i="85"/>
  <c r="I16" i="85"/>
  <c r="H16" i="85"/>
  <c r="G16" i="85"/>
  <c r="J15" i="85"/>
  <c r="I15" i="85"/>
  <c r="H15" i="85"/>
  <c r="G15" i="85"/>
  <c r="J14" i="85"/>
  <c r="H14" i="85"/>
  <c r="G14" i="85"/>
  <c r="J13" i="85"/>
  <c r="H13" i="85"/>
  <c r="G13" i="85"/>
  <c r="J12" i="85"/>
  <c r="H12" i="85"/>
  <c r="G12" i="85"/>
  <c r="J11" i="85"/>
  <c r="H11" i="85"/>
  <c r="G11" i="85"/>
  <c r="E7" i="85"/>
  <c r="B7" i="85"/>
  <c r="G149" i="22"/>
  <c r="F149" i="22"/>
  <c r="E149" i="22"/>
  <c r="C149" i="22"/>
  <c r="H148" i="22"/>
  <c r="G148" i="22"/>
  <c r="E148" i="22"/>
  <c r="C148" i="22"/>
  <c r="H147" i="22"/>
  <c r="G147" i="22"/>
  <c r="E147" i="22"/>
  <c r="C147" i="22"/>
  <c r="H146" i="22"/>
  <c r="G146" i="22"/>
  <c r="E146" i="22"/>
  <c r="C146" i="22"/>
  <c r="H145" i="22"/>
  <c r="G145" i="22"/>
  <c r="E145" i="22"/>
  <c r="C145" i="22"/>
  <c r="H144" i="22"/>
  <c r="G144" i="22"/>
  <c r="E144" i="22"/>
  <c r="C144" i="22"/>
  <c r="H143" i="22"/>
  <c r="G143" i="22"/>
  <c r="E143" i="22"/>
  <c r="C143" i="22"/>
  <c r="G140" i="22"/>
  <c r="F140" i="22"/>
  <c r="E140" i="22"/>
  <c r="C140" i="22"/>
  <c r="H139" i="22"/>
  <c r="G139" i="22"/>
  <c r="E139" i="22"/>
  <c r="C139" i="22"/>
  <c r="H138" i="22"/>
  <c r="G138" i="22"/>
  <c r="E138" i="22"/>
  <c r="C138" i="22"/>
  <c r="H137" i="22"/>
  <c r="G137" i="22"/>
  <c r="E137" i="22"/>
  <c r="C137" i="22"/>
  <c r="H136" i="22"/>
  <c r="G136" i="22"/>
  <c r="E136" i="22"/>
  <c r="C136" i="22"/>
  <c r="H135" i="22"/>
  <c r="G135" i="22"/>
  <c r="E135" i="22"/>
  <c r="C135" i="22"/>
  <c r="H134" i="22"/>
  <c r="G134" i="22"/>
  <c r="E134" i="22"/>
  <c r="C134" i="22"/>
  <c r="K131" i="22"/>
  <c r="J131" i="22"/>
  <c r="K126" i="22"/>
  <c r="J126" i="22"/>
  <c r="V103" i="22"/>
  <c r="U103" i="22"/>
  <c r="T103" i="22"/>
  <c r="S103" i="22"/>
  <c r="R103" i="22"/>
  <c r="Q103" i="22"/>
  <c r="P103" i="22"/>
  <c r="O103" i="22"/>
  <c r="C103" i="22"/>
  <c r="A103" i="22"/>
  <c r="V102" i="22"/>
  <c r="U102" i="22"/>
  <c r="T102" i="22"/>
  <c r="S102" i="22"/>
  <c r="R102" i="22"/>
  <c r="Q102" i="22"/>
  <c r="P102" i="22"/>
  <c r="O102" i="22"/>
  <c r="C102" i="22"/>
  <c r="A102" i="22"/>
  <c r="V101" i="22"/>
  <c r="U101" i="22"/>
  <c r="T101" i="22"/>
  <c r="S101" i="22"/>
  <c r="R101" i="22"/>
  <c r="Q101" i="22"/>
  <c r="P101" i="22"/>
  <c r="O101" i="22"/>
  <c r="A101" i="22"/>
  <c r="V100" i="22"/>
  <c r="U100" i="22"/>
  <c r="T100" i="22"/>
  <c r="S100" i="22"/>
  <c r="R100" i="22"/>
  <c r="Q100" i="22"/>
  <c r="P100" i="22"/>
  <c r="O100" i="22"/>
  <c r="A100" i="22"/>
  <c r="V99" i="22"/>
  <c r="U99" i="22"/>
  <c r="T99" i="22"/>
  <c r="S99" i="22"/>
  <c r="R99" i="22"/>
  <c r="Q99" i="22"/>
  <c r="P99" i="22"/>
  <c r="O99" i="22"/>
  <c r="A99" i="22"/>
  <c r="V98" i="22"/>
  <c r="U98" i="22"/>
  <c r="T98" i="22"/>
  <c r="S98" i="22"/>
  <c r="R98" i="22"/>
  <c r="Q98" i="22"/>
  <c r="P98" i="22"/>
  <c r="O98" i="22"/>
  <c r="A98" i="22"/>
  <c r="V97" i="22"/>
  <c r="U97" i="22"/>
  <c r="T97" i="22"/>
  <c r="S97" i="22"/>
  <c r="R97" i="22"/>
  <c r="Q97" i="22"/>
  <c r="P97" i="22"/>
  <c r="O97" i="22"/>
  <c r="A97" i="22"/>
  <c r="V96" i="22"/>
  <c r="U96" i="22"/>
  <c r="T96" i="22"/>
  <c r="S96" i="22"/>
  <c r="R96" i="22"/>
  <c r="Q96" i="22"/>
  <c r="P96" i="22"/>
  <c r="O96" i="22"/>
  <c r="A96" i="22"/>
  <c r="V95" i="22"/>
  <c r="U95" i="22"/>
  <c r="T95" i="22"/>
  <c r="S95" i="22"/>
  <c r="R95" i="22"/>
  <c r="Q95" i="22"/>
  <c r="P95" i="22"/>
  <c r="O95" i="22"/>
  <c r="A95" i="22"/>
  <c r="V94" i="22"/>
  <c r="U94" i="22"/>
  <c r="T94" i="22"/>
  <c r="S94" i="22"/>
  <c r="R94" i="22"/>
  <c r="Q94" i="22"/>
  <c r="P94" i="22"/>
  <c r="O94" i="22"/>
  <c r="A94" i="22"/>
  <c r="V93" i="22"/>
  <c r="U93" i="22"/>
  <c r="T93" i="22"/>
  <c r="S93" i="22"/>
  <c r="R93" i="22"/>
  <c r="Q93" i="22"/>
  <c r="P93" i="22"/>
  <c r="O93" i="22"/>
  <c r="A93" i="22"/>
  <c r="V92" i="22"/>
  <c r="U92" i="22"/>
  <c r="T92" i="22"/>
  <c r="S92" i="22"/>
  <c r="R92" i="22"/>
  <c r="Q92" i="22"/>
  <c r="P92" i="22"/>
  <c r="O92" i="22"/>
  <c r="A92" i="22"/>
  <c r="V91" i="22"/>
  <c r="U91" i="22"/>
  <c r="T91" i="22"/>
  <c r="S91" i="22"/>
  <c r="R91" i="22"/>
  <c r="Q91" i="22"/>
  <c r="P91" i="22"/>
  <c r="O91" i="22"/>
  <c r="A91" i="22"/>
  <c r="V90" i="22"/>
  <c r="U90" i="22"/>
  <c r="T90" i="22"/>
  <c r="S90" i="22"/>
  <c r="R90" i="22"/>
  <c r="Q90" i="22"/>
  <c r="P90" i="22"/>
  <c r="O90" i="22"/>
  <c r="A90" i="22"/>
  <c r="V89" i="22"/>
  <c r="U89" i="22"/>
  <c r="T89" i="22"/>
  <c r="S89" i="22"/>
  <c r="R89" i="22"/>
  <c r="Q89" i="22"/>
  <c r="P89" i="22"/>
  <c r="O89" i="22"/>
  <c r="A89" i="22"/>
  <c r="V88" i="22"/>
  <c r="U88" i="22"/>
  <c r="T88" i="22"/>
  <c r="S88" i="22"/>
  <c r="R88" i="22"/>
  <c r="Q88" i="22"/>
  <c r="P88" i="22"/>
  <c r="O88" i="22"/>
  <c r="A88" i="22"/>
  <c r="V87" i="22"/>
  <c r="U87" i="22"/>
  <c r="T87" i="22"/>
  <c r="S87" i="22"/>
  <c r="R87" i="22"/>
  <c r="Q87" i="22"/>
  <c r="P87" i="22"/>
  <c r="O87" i="22"/>
  <c r="A87" i="22"/>
  <c r="V86" i="22"/>
  <c r="U86" i="22"/>
  <c r="T86" i="22"/>
  <c r="S86" i="22"/>
  <c r="R86" i="22"/>
  <c r="Q86" i="22"/>
  <c r="P86" i="22"/>
  <c r="O86" i="22"/>
  <c r="A86" i="22"/>
  <c r="V85" i="22"/>
  <c r="U85" i="22"/>
  <c r="T85" i="22"/>
  <c r="S85" i="22"/>
  <c r="R85" i="22"/>
  <c r="Q85" i="22"/>
  <c r="P85" i="22"/>
  <c r="O85" i="22"/>
  <c r="A85" i="22"/>
  <c r="V84" i="22"/>
  <c r="U84" i="22"/>
  <c r="T84" i="22"/>
  <c r="S84" i="22"/>
  <c r="R84" i="22"/>
  <c r="Q84" i="22"/>
  <c r="P84" i="22"/>
  <c r="O84" i="22"/>
  <c r="A84" i="22"/>
  <c r="V83" i="22"/>
  <c r="U83" i="22"/>
  <c r="T83" i="22"/>
  <c r="S83" i="22"/>
  <c r="R83" i="22"/>
  <c r="Q83" i="22"/>
  <c r="P83" i="22"/>
  <c r="O83" i="22"/>
  <c r="A83" i="22"/>
  <c r="V82" i="22"/>
  <c r="U82" i="22"/>
  <c r="T82" i="22"/>
  <c r="S82" i="22"/>
  <c r="R82" i="22"/>
  <c r="Q82" i="22"/>
  <c r="P82" i="22"/>
  <c r="O82" i="22"/>
  <c r="L82" i="22"/>
  <c r="K82" i="22"/>
  <c r="J82" i="22"/>
  <c r="I82" i="22"/>
  <c r="H82" i="22"/>
  <c r="G82" i="22"/>
  <c r="F82" i="22"/>
  <c r="A82" i="22"/>
  <c r="V81" i="22"/>
  <c r="U81" i="22"/>
  <c r="T81" i="22"/>
  <c r="S81" i="22"/>
  <c r="R81" i="22"/>
  <c r="Q81" i="22"/>
  <c r="P81" i="22"/>
  <c r="O81" i="22"/>
  <c r="A81" i="22"/>
  <c r="V80" i="22"/>
  <c r="U80" i="22"/>
  <c r="T80" i="22"/>
  <c r="S80" i="22"/>
  <c r="R80" i="22"/>
  <c r="Q80" i="22"/>
  <c r="P80" i="22"/>
  <c r="O80" i="22"/>
  <c r="A80" i="22"/>
  <c r="V79" i="22"/>
  <c r="U79" i="22"/>
  <c r="T79" i="22"/>
  <c r="S79" i="22"/>
  <c r="R79" i="22"/>
  <c r="Q79" i="22"/>
  <c r="P79" i="22"/>
  <c r="O79" i="22"/>
  <c r="D79" i="22"/>
  <c r="C79" i="22"/>
  <c r="A79" i="22"/>
  <c r="V78" i="22"/>
  <c r="U78" i="22"/>
  <c r="T78" i="22"/>
  <c r="S78" i="22"/>
  <c r="R78" i="22"/>
  <c r="Q78" i="22"/>
  <c r="P78" i="22"/>
  <c r="O78" i="22"/>
  <c r="A78" i="22"/>
  <c r="V77" i="22"/>
  <c r="U77" i="22"/>
  <c r="T77" i="22"/>
  <c r="S77" i="22"/>
  <c r="R77" i="22"/>
  <c r="Q77" i="22"/>
  <c r="P77" i="22"/>
  <c r="O77" i="22"/>
  <c r="D77" i="22"/>
  <c r="C77" i="22"/>
  <c r="A77" i="22"/>
  <c r="V76" i="22"/>
  <c r="U76" i="22"/>
  <c r="T76" i="22"/>
  <c r="S76" i="22"/>
  <c r="R76" i="22"/>
  <c r="Q76" i="22"/>
  <c r="P76" i="22"/>
  <c r="O76" i="22"/>
  <c r="A76" i="22"/>
  <c r="V75" i="22"/>
  <c r="U75" i="22"/>
  <c r="T75" i="22"/>
  <c r="S75" i="22"/>
  <c r="R75" i="22"/>
  <c r="Q75" i="22"/>
  <c r="P75" i="22"/>
  <c r="O75" i="22"/>
  <c r="A75" i="22"/>
  <c r="V74" i="22"/>
  <c r="U74" i="22"/>
  <c r="T74" i="22"/>
  <c r="S74" i="22"/>
  <c r="R74" i="22"/>
  <c r="Q74" i="22"/>
  <c r="P74" i="22"/>
  <c r="O74" i="22"/>
  <c r="A74" i="22"/>
  <c r="V73" i="22"/>
  <c r="U73" i="22"/>
  <c r="T73" i="22"/>
  <c r="S73" i="22"/>
  <c r="R73" i="22"/>
  <c r="Q73" i="22"/>
  <c r="P73" i="22"/>
  <c r="O73" i="22"/>
  <c r="A73" i="22"/>
  <c r="V72" i="22"/>
  <c r="U72" i="22"/>
  <c r="T72" i="22"/>
  <c r="S72" i="22"/>
  <c r="R72" i="22"/>
  <c r="Q72" i="22"/>
  <c r="P72" i="22"/>
  <c r="O72" i="22"/>
  <c r="A72" i="22"/>
  <c r="V71" i="22"/>
  <c r="U71" i="22"/>
  <c r="T71" i="22"/>
  <c r="S71" i="22"/>
  <c r="R71" i="22"/>
  <c r="Q71" i="22"/>
  <c r="P71" i="22"/>
  <c r="O71" i="22"/>
  <c r="L71" i="22"/>
  <c r="K71" i="22"/>
  <c r="J71" i="22"/>
  <c r="I71" i="22"/>
  <c r="H71" i="22"/>
  <c r="G71" i="22"/>
  <c r="F71" i="22"/>
  <c r="E71" i="22"/>
  <c r="D71" i="22"/>
  <c r="C71" i="22"/>
  <c r="A71" i="22"/>
  <c r="V70" i="22"/>
  <c r="U70" i="22"/>
  <c r="T70" i="22"/>
  <c r="S70" i="22"/>
  <c r="R70" i="22"/>
  <c r="Q70" i="22"/>
  <c r="P70" i="22"/>
  <c r="O70" i="22"/>
  <c r="A70" i="22"/>
  <c r="L69" i="22"/>
  <c r="K69" i="22"/>
  <c r="J69" i="22"/>
  <c r="I69" i="22"/>
  <c r="H69" i="22"/>
  <c r="G69" i="22"/>
  <c r="F69" i="22"/>
  <c r="E69" i="22"/>
  <c r="D69" i="22"/>
  <c r="C69" i="22"/>
  <c r="A69" i="22"/>
  <c r="V68" i="22"/>
  <c r="U68" i="22"/>
  <c r="T68" i="22"/>
  <c r="S68" i="22"/>
  <c r="R68" i="22"/>
  <c r="Q68" i="22"/>
  <c r="P68" i="22"/>
  <c r="O68" i="22"/>
  <c r="D68" i="22"/>
  <c r="C68" i="22"/>
  <c r="A68" i="22"/>
  <c r="V67" i="22"/>
  <c r="U67" i="22"/>
  <c r="T67" i="22"/>
  <c r="S67" i="22"/>
  <c r="R67" i="22"/>
  <c r="Q67" i="22"/>
  <c r="P67" i="22"/>
  <c r="O67" i="22"/>
  <c r="A67" i="22"/>
  <c r="V66" i="22"/>
  <c r="U66" i="22"/>
  <c r="T66" i="22"/>
  <c r="S66" i="22"/>
  <c r="R66" i="22"/>
  <c r="Q66" i="22"/>
  <c r="P66" i="22"/>
  <c r="O66" i="22"/>
  <c r="A66" i="22"/>
  <c r="D65" i="22"/>
  <c r="C65" i="22"/>
  <c r="A65" i="22"/>
  <c r="V64" i="22"/>
  <c r="U64" i="22"/>
  <c r="T64" i="22"/>
  <c r="S64" i="22"/>
  <c r="R64" i="22"/>
  <c r="Q64" i="22"/>
  <c r="P64" i="22"/>
  <c r="O64" i="22"/>
  <c r="D64" i="22"/>
  <c r="C64" i="22"/>
  <c r="A64" i="22"/>
  <c r="V63" i="22"/>
  <c r="U63" i="22"/>
  <c r="T63" i="22"/>
  <c r="S63" i="22"/>
  <c r="R63" i="22"/>
  <c r="Q63" i="22"/>
  <c r="P63" i="22"/>
  <c r="O63" i="22"/>
  <c r="A63" i="22"/>
  <c r="V62" i="22"/>
  <c r="U62" i="22"/>
  <c r="T62" i="22"/>
  <c r="S62" i="22"/>
  <c r="R62" i="22"/>
  <c r="Q62" i="22"/>
  <c r="P62" i="22"/>
  <c r="O62" i="22"/>
  <c r="A62" i="22"/>
  <c r="V61" i="22"/>
  <c r="U61" i="22"/>
  <c r="T61" i="22"/>
  <c r="S61" i="22"/>
  <c r="R61" i="22"/>
  <c r="Q61" i="22"/>
  <c r="P61" i="22"/>
  <c r="O61" i="22"/>
  <c r="A61" i="22"/>
  <c r="V60" i="22"/>
  <c r="U60" i="22"/>
  <c r="T60" i="22"/>
  <c r="S60" i="22"/>
  <c r="R60" i="22"/>
  <c r="Q60" i="22"/>
  <c r="P60" i="22"/>
  <c r="O60" i="22"/>
  <c r="A60" i="22"/>
  <c r="V59" i="22"/>
  <c r="U59" i="22"/>
  <c r="T59" i="22"/>
  <c r="S59" i="22"/>
  <c r="R59" i="22"/>
  <c r="Q59" i="22"/>
  <c r="P59" i="22"/>
  <c r="O59" i="22"/>
  <c r="A59" i="22"/>
  <c r="V58" i="22"/>
  <c r="U58" i="22"/>
  <c r="T58" i="22"/>
  <c r="S58" i="22"/>
  <c r="R58" i="22"/>
  <c r="Q58" i="22"/>
  <c r="P58" i="22"/>
  <c r="O58" i="22"/>
  <c r="C58" i="22"/>
  <c r="D58" i="22" s="1"/>
  <c r="A58" i="22"/>
  <c r="V57" i="22"/>
  <c r="U57" i="22"/>
  <c r="T57" i="22"/>
  <c r="S57" i="22"/>
  <c r="R57" i="22"/>
  <c r="Q57" i="22"/>
  <c r="P57" i="22"/>
  <c r="O57" i="22"/>
  <c r="C57" i="22"/>
  <c r="D57" i="22" s="1"/>
  <c r="A57" i="22"/>
  <c r="V56" i="22"/>
  <c r="U56" i="22"/>
  <c r="T56" i="22"/>
  <c r="S56" i="22"/>
  <c r="R56" i="22"/>
  <c r="Q56" i="22"/>
  <c r="P56" i="22"/>
  <c r="O56" i="22"/>
  <c r="A56" i="22"/>
  <c r="V55" i="22"/>
  <c r="U55" i="22"/>
  <c r="T55" i="22"/>
  <c r="S55" i="22"/>
  <c r="R55" i="22"/>
  <c r="Q55" i="22"/>
  <c r="P55" i="22"/>
  <c r="O55" i="22"/>
  <c r="A55" i="22"/>
  <c r="V54" i="22"/>
  <c r="U54" i="22"/>
  <c r="T54" i="22"/>
  <c r="S54" i="22"/>
  <c r="R54" i="22"/>
  <c r="Q54" i="22"/>
  <c r="P54" i="22"/>
  <c r="O54" i="22"/>
  <c r="D54" i="22"/>
  <c r="C54" i="22"/>
  <c r="A54" i="22"/>
  <c r="V53" i="22"/>
  <c r="U53" i="22"/>
  <c r="T53" i="22"/>
  <c r="S53" i="22"/>
  <c r="R53" i="22"/>
  <c r="Q53" i="22"/>
  <c r="P53" i="22"/>
  <c r="O53" i="22"/>
  <c r="L53" i="22"/>
  <c r="K53" i="22"/>
  <c r="J53" i="22"/>
  <c r="I53" i="22"/>
  <c r="H53" i="22"/>
  <c r="G53" i="22"/>
  <c r="F53" i="22"/>
  <c r="E53" i="22"/>
  <c r="D53" i="22"/>
  <c r="C53" i="22"/>
  <c r="A53" i="22"/>
  <c r="V52" i="22"/>
  <c r="U52" i="22"/>
  <c r="T52" i="22"/>
  <c r="S52" i="22"/>
  <c r="R52" i="22"/>
  <c r="Q52" i="22"/>
  <c r="P52" i="22"/>
  <c r="O52" i="22"/>
  <c r="L52" i="22"/>
  <c r="K52" i="22"/>
  <c r="J52" i="22"/>
  <c r="I52" i="22"/>
  <c r="H52" i="22"/>
  <c r="G52" i="22"/>
  <c r="F52" i="22"/>
  <c r="E52" i="22"/>
  <c r="D52" i="22"/>
  <c r="C52" i="22"/>
  <c r="A52" i="22"/>
  <c r="V51" i="22"/>
  <c r="U51" i="22"/>
  <c r="T51" i="22"/>
  <c r="S51" i="22"/>
  <c r="R51" i="22"/>
  <c r="Q51" i="22"/>
  <c r="P51" i="22"/>
  <c r="O51" i="22"/>
  <c r="A51" i="22"/>
  <c r="V50" i="22"/>
  <c r="U50" i="22"/>
  <c r="T50" i="22"/>
  <c r="S50" i="22"/>
  <c r="R50" i="22"/>
  <c r="Q50" i="22"/>
  <c r="P50" i="22"/>
  <c r="O50" i="22"/>
  <c r="A50" i="22"/>
  <c r="V49" i="22"/>
  <c r="U49" i="22"/>
  <c r="T49" i="22"/>
  <c r="S49" i="22"/>
  <c r="R49" i="22"/>
  <c r="Q49" i="22"/>
  <c r="P49" i="22"/>
  <c r="O49" i="22"/>
  <c r="A49" i="22"/>
  <c r="V48" i="22"/>
  <c r="U48" i="22"/>
  <c r="T48" i="22"/>
  <c r="S48" i="22"/>
  <c r="R48" i="22"/>
  <c r="Q48" i="22"/>
  <c r="P48" i="22"/>
  <c r="O48" i="22"/>
  <c r="A48" i="22"/>
  <c r="V47" i="22"/>
  <c r="U47" i="22"/>
  <c r="T47" i="22"/>
  <c r="S47" i="22"/>
  <c r="R47" i="22"/>
  <c r="Q47" i="22"/>
  <c r="P47" i="22"/>
  <c r="O47" i="22"/>
  <c r="A47" i="22"/>
  <c r="V46" i="22"/>
  <c r="U46" i="22"/>
  <c r="T46" i="22"/>
  <c r="S46" i="22"/>
  <c r="R46" i="22"/>
  <c r="Q46" i="22"/>
  <c r="P46" i="22"/>
  <c r="O46" i="22"/>
  <c r="A46" i="22"/>
  <c r="V45" i="22"/>
  <c r="U45" i="22"/>
  <c r="T45" i="22"/>
  <c r="S45" i="22"/>
  <c r="R45" i="22"/>
  <c r="Q45" i="22"/>
  <c r="P45" i="22"/>
  <c r="O45" i="22"/>
  <c r="A45" i="22"/>
  <c r="V44" i="22"/>
  <c r="U44" i="22"/>
  <c r="T44" i="22"/>
  <c r="S44" i="22"/>
  <c r="R44" i="22"/>
  <c r="Q44" i="22"/>
  <c r="P44" i="22"/>
  <c r="O44" i="22"/>
  <c r="A44" i="22"/>
  <c r="V43" i="22"/>
  <c r="U43" i="22"/>
  <c r="T43" i="22"/>
  <c r="S43" i="22"/>
  <c r="R43" i="22"/>
  <c r="Q43" i="22"/>
  <c r="P43" i="22"/>
  <c r="O43" i="22"/>
  <c r="L43" i="22"/>
  <c r="K43" i="22"/>
  <c r="J43" i="22"/>
  <c r="I43" i="22"/>
  <c r="H43" i="22"/>
  <c r="G43" i="22"/>
  <c r="F43" i="22"/>
  <c r="E43" i="22"/>
  <c r="D43" i="22"/>
  <c r="C43" i="22"/>
  <c r="A43" i="22"/>
  <c r="V42" i="22"/>
  <c r="U42" i="22"/>
  <c r="T42" i="22"/>
  <c r="S42" i="22"/>
  <c r="R42" i="22"/>
  <c r="Q42" i="22"/>
  <c r="P42" i="22"/>
  <c r="O42" i="22"/>
  <c r="L42" i="22"/>
  <c r="K42" i="22"/>
  <c r="J42" i="22"/>
  <c r="I42" i="22"/>
  <c r="H42" i="22"/>
  <c r="G42" i="22"/>
  <c r="F42" i="22"/>
  <c r="E42" i="22"/>
  <c r="D42" i="22"/>
  <c r="C42" i="22"/>
  <c r="A42" i="22"/>
  <c r="V41" i="22"/>
  <c r="U41" i="22"/>
  <c r="T41" i="22"/>
  <c r="S41" i="22"/>
  <c r="R41" i="22"/>
  <c r="Q41" i="22"/>
  <c r="P41" i="22"/>
  <c r="O41" i="22"/>
  <c r="L41" i="22"/>
  <c r="K41" i="22"/>
  <c r="J41" i="22"/>
  <c r="I41" i="22"/>
  <c r="H41" i="22"/>
  <c r="G41" i="22"/>
  <c r="F41" i="22"/>
  <c r="E41" i="22"/>
  <c r="D41" i="22"/>
  <c r="C41" i="22"/>
  <c r="A41" i="22"/>
  <c r="V40" i="22"/>
  <c r="U40" i="22"/>
  <c r="T40" i="22"/>
  <c r="S40" i="22"/>
  <c r="R40" i="22"/>
  <c r="Q40" i="22"/>
  <c r="P40" i="22"/>
  <c r="O40" i="22"/>
  <c r="A40" i="22"/>
  <c r="V39" i="22"/>
  <c r="U39" i="22"/>
  <c r="T39" i="22"/>
  <c r="S39" i="22"/>
  <c r="R39" i="22"/>
  <c r="Q39" i="22"/>
  <c r="P39" i="22"/>
  <c r="O39" i="22"/>
  <c r="L39" i="22"/>
  <c r="K39" i="22"/>
  <c r="J39" i="22"/>
  <c r="I39" i="22"/>
  <c r="H39" i="22"/>
  <c r="G39" i="22"/>
  <c r="F39" i="22"/>
  <c r="E39" i="22"/>
  <c r="D39" i="22"/>
  <c r="C39" i="22"/>
  <c r="A39" i="22"/>
  <c r="V38" i="22"/>
  <c r="U38" i="22"/>
  <c r="T38" i="22"/>
  <c r="S38" i="22"/>
  <c r="R38" i="22"/>
  <c r="Q38" i="22"/>
  <c r="P38" i="22"/>
  <c r="O38" i="22"/>
  <c r="A38" i="22"/>
  <c r="V37" i="22"/>
  <c r="U37" i="22"/>
  <c r="T37" i="22"/>
  <c r="S37" i="22"/>
  <c r="R37" i="22"/>
  <c r="Q37" i="22"/>
  <c r="P37" i="22"/>
  <c r="O37" i="22"/>
  <c r="L37" i="22"/>
  <c r="K37" i="22"/>
  <c r="J37" i="22"/>
  <c r="I37" i="22"/>
  <c r="H37" i="22"/>
  <c r="G37" i="22"/>
  <c r="F37" i="22"/>
  <c r="E37" i="22"/>
  <c r="D37" i="22"/>
  <c r="C37" i="22"/>
  <c r="A37" i="22"/>
  <c r="V36" i="22"/>
  <c r="U36" i="22"/>
  <c r="T36" i="22"/>
  <c r="S36" i="22"/>
  <c r="R36" i="22"/>
  <c r="Q36" i="22"/>
  <c r="P36" i="22"/>
  <c r="O36" i="22"/>
  <c r="D36" i="22"/>
  <c r="C36" i="22"/>
  <c r="A36" i="22"/>
  <c r="V35" i="22"/>
  <c r="U35" i="22"/>
  <c r="T35" i="22"/>
  <c r="S35" i="22"/>
  <c r="R35" i="22"/>
  <c r="Q35" i="22"/>
  <c r="P35" i="22"/>
  <c r="O35" i="22"/>
  <c r="A35" i="22"/>
  <c r="V34" i="22"/>
  <c r="U34" i="22"/>
  <c r="T34" i="22"/>
  <c r="S34" i="22"/>
  <c r="R34" i="22"/>
  <c r="Q34" i="22"/>
  <c r="P34" i="22"/>
  <c r="O34" i="22"/>
  <c r="L34" i="22"/>
  <c r="K34" i="22"/>
  <c r="J34" i="22"/>
  <c r="I34" i="22"/>
  <c r="H34" i="22"/>
  <c r="G34" i="22"/>
  <c r="F34" i="22"/>
  <c r="E34" i="22"/>
  <c r="D34" i="22"/>
  <c r="C34" i="22"/>
  <c r="A34" i="22"/>
  <c r="V33" i="22"/>
  <c r="U33" i="22"/>
  <c r="T33" i="22"/>
  <c r="S33" i="22"/>
  <c r="R33" i="22"/>
  <c r="Q33" i="22"/>
  <c r="P33" i="22"/>
  <c r="O33" i="22"/>
  <c r="L33" i="22"/>
  <c r="K33" i="22"/>
  <c r="J33" i="22"/>
  <c r="I33" i="22"/>
  <c r="H33" i="22"/>
  <c r="G33" i="22"/>
  <c r="F33" i="22"/>
  <c r="E33" i="22"/>
  <c r="T32" i="22"/>
  <c r="S32" i="22"/>
  <c r="V31" i="22"/>
  <c r="U31" i="22"/>
  <c r="T31" i="22"/>
  <c r="S31" i="22"/>
  <c r="R31" i="22"/>
  <c r="Q31" i="22"/>
  <c r="P31" i="22"/>
  <c r="O31" i="22"/>
  <c r="N31" i="22"/>
  <c r="M31" i="22"/>
  <c r="J20" i="22"/>
  <c r="I20" i="22"/>
  <c r="H20" i="22"/>
  <c r="G20" i="22"/>
  <c r="J19" i="22"/>
  <c r="I19" i="22"/>
  <c r="H19" i="22"/>
  <c r="G19" i="22"/>
  <c r="J18" i="22"/>
  <c r="I18" i="22"/>
  <c r="H18" i="22"/>
  <c r="G18" i="22"/>
  <c r="J17" i="22"/>
  <c r="I17" i="22"/>
  <c r="H17" i="22"/>
  <c r="G17" i="22"/>
  <c r="J16" i="22"/>
  <c r="I16" i="22"/>
  <c r="H16" i="22"/>
  <c r="G16" i="22"/>
  <c r="J15" i="22"/>
  <c r="I15" i="22"/>
  <c r="H15" i="22"/>
  <c r="G15" i="22"/>
  <c r="J14" i="22"/>
  <c r="I14" i="22"/>
  <c r="H14" i="22"/>
  <c r="G14" i="22"/>
  <c r="J13" i="22"/>
  <c r="I13" i="22"/>
  <c r="H13" i="22"/>
  <c r="G13" i="22"/>
  <c r="J12" i="22"/>
  <c r="H12" i="22"/>
  <c r="G12" i="22"/>
  <c r="J11" i="22"/>
  <c r="H11" i="22"/>
  <c r="G11" i="22"/>
  <c r="E7" i="22"/>
  <c r="B7" i="22"/>
  <c r="I11" i="22" s="1"/>
  <c r="C33" i="22" s="1"/>
  <c r="F126" i="21"/>
  <c r="D126" i="21"/>
  <c r="B126" i="21"/>
  <c r="F123" i="21"/>
  <c r="D123" i="21"/>
  <c r="C123" i="21"/>
  <c r="B123" i="21"/>
  <c r="C119" i="21"/>
  <c r="V103" i="21"/>
  <c r="U103" i="21"/>
  <c r="T103" i="21"/>
  <c r="S103" i="21"/>
  <c r="R103" i="21"/>
  <c r="Q103" i="21"/>
  <c r="P103" i="21"/>
  <c r="O103" i="21"/>
  <c r="A103" i="21"/>
  <c r="V102" i="21"/>
  <c r="U102" i="21"/>
  <c r="T102" i="21"/>
  <c r="S102" i="21"/>
  <c r="R102" i="21"/>
  <c r="Q102" i="21"/>
  <c r="P102" i="21"/>
  <c r="O102" i="21"/>
  <c r="A102" i="21"/>
  <c r="V101" i="21"/>
  <c r="U101" i="21"/>
  <c r="T101" i="21"/>
  <c r="S101" i="21"/>
  <c r="R101" i="21"/>
  <c r="Q101" i="21"/>
  <c r="P101" i="21"/>
  <c r="O101" i="21"/>
  <c r="A101" i="21"/>
  <c r="V100" i="21"/>
  <c r="U100" i="21"/>
  <c r="T100" i="21"/>
  <c r="S100" i="21"/>
  <c r="R100" i="21"/>
  <c r="Q100" i="21"/>
  <c r="P100" i="21"/>
  <c r="O100" i="21"/>
  <c r="A100" i="21"/>
  <c r="V99" i="21"/>
  <c r="U99" i="21"/>
  <c r="T99" i="21"/>
  <c r="S99" i="21"/>
  <c r="R99" i="21"/>
  <c r="Q99" i="21"/>
  <c r="P99" i="21"/>
  <c r="O99" i="21"/>
  <c r="A99" i="21"/>
  <c r="V98" i="21"/>
  <c r="U98" i="21"/>
  <c r="T98" i="21"/>
  <c r="S98" i="21"/>
  <c r="R98" i="21"/>
  <c r="Q98" i="21"/>
  <c r="P98" i="21"/>
  <c r="O98" i="21"/>
  <c r="A98" i="21"/>
  <c r="V97" i="21"/>
  <c r="U97" i="21"/>
  <c r="T97" i="21"/>
  <c r="S97" i="21"/>
  <c r="R97" i="21"/>
  <c r="Q97" i="21"/>
  <c r="P97" i="21"/>
  <c r="O97" i="21"/>
  <c r="A97" i="21"/>
  <c r="V96" i="21"/>
  <c r="U96" i="21"/>
  <c r="T96" i="21"/>
  <c r="S96" i="21"/>
  <c r="R96" i="21"/>
  <c r="Q96" i="21"/>
  <c r="P96" i="21"/>
  <c r="O96" i="21"/>
  <c r="A96" i="21"/>
  <c r="V95" i="21"/>
  <c r="U95" i="21"/>
  <c r="T95" i="21"/>
  <c r="S95" i="21"/>
  <c r="R95" i="21"/>
  <c r="Q95" i="21"/>
  <c r="P95" i="21"/>
  <c r="O95" i="21"/>
  <c r="A95" i="21"/>
  <c r="V94" i="21"/>
  <c r="U94" i="21"/>
  <c r="T94" i="21"/>
  <c r="S94" i="21"/>
  <c r="R94" i="21"/>
  <c r="Q94" i="21"/>
  <c r="P94" i="21"/>
  <c r="O94" i="21"/>
  <c r="A94" i="21"/>
  <c r="V93" i="21"/>
  <c r="U93" i="21"/>
  <c r="T93" i="21"/>
  <c r="S93" i="21"/>
  <c r="R93" i="21"/>
  <c r="Q93" i="21"/>
  <c r="P93" i="21"/>
  <c r="O93" i="21"/>
  <c r="A93" i="21"/>
  <c r="V92" i="21"/>
  <c r="U92" i="21"/>
  <c r="T92" i="21"/>
  <c r="S92" i="21"/>
  <c r="R92" i="21"/>
  <c r="Q92" i="21"/>
  <c r="P92" i="21"/>
  <c r="O92" i="21"/>
  <c r="A92" i="21"/>
  <c r="V91" i="21"/>
  <c r="U91" i="21"/>
  <c r="T91" i="21"/>
  <c r="S91" i="21"/>
  <c r="R91" i="21"/>
  <c r="Q91" i="21"/>
  <c r="P91" i="21"/>
  <c r="O91" i="21"/>
  <c r="A91" i="21"/>
  <c r="V90" i="21"/>
  <c r="U90" i="21"/>
  <c r="T90" i="21"/>
  <c r="S90" i="21"/>
  <c r="R90" i="21"/>
  <c r="Q90" i="21"/>
  <c r="P90" i="21"/>
  <c r="O90" i="21"/>
  <c r="A90" i="21"/>
  <c r="V89" i="21"/>
  <c r="U89" i="21"/>
  <c r="T89" i="21"/>
  <c r="S89" i="21"/>
  <c r="R89" i="21"/>
  <c r="Q89" i="21"/>
  <c r="P89" i="21"/>
  <c r="O89" i="21"/>
  <c r="A89" i="21"/>
  <c r="V88" i="21"/>
  <c r="U88" i="21"/>
  <c r="T88" i="21"/>
  <c r="S88" i="21"/>
  <c r="R88" i="21"/>
  <c r="Q88" i="21"/>
  <c r="P88" i="21"/>
  <c r="O88" i="21"/>
  <c r="A88" i="21"/>
  <c r="V87" i="21"/>
  <c r="U87" i="21"/>
  <c r="T87" i="21"/>
  <c r="S87" i="21"/>
  <c r="R87" i="21"/>
  <c r="Q87" i="21"/>
  <c r="P87" i="21"/>
  <c r="O87" i="21"/>
  <c r="A87" i="21"/>
  <c r="V86" i="21"/>
  <c r="U86" i="21"/>
  <c r="T86" i="21"/>
  <c r="S86" i="21"/>
  <c r="R86" i="21"/>
  <c r="Q86" i="21"/>
  <c r="P86" i="21"/>
  <c r="O86" i="21"/>
  <c r="A86" i="21"/>
  <c r="V85" i="21"/>
  <c r="U85" i="21"/>
  <c r="T85" i="21"/>
  <c r="S85" i="21"/>
  <c r="R85" i="21"/>
  <c r="Q85" i="21"/>
  <c r="P85" i="21"/>
  <c r="O85" i="21"/>
  <c r="A85" i="21"/>
  <c r="V84" i="21"/>
  <c r="U84" i="21"/>
  <c r="T84" i="21"/>
  <c r="S84" i="21"/>
  <c r="R84" i="21"/>
  <c r="Q84" i="21"/>
  <c r="P84" i="21"/>
  <c r="O84" i="21"/>
  <c r="A84" i="21"/>
  <c r="V83" i="21"/>
  <c r="U83" i="21"/>
  <c r="T83" i="21"/>
  <c r="S83" i="21"/>
  <c r="R83" i="21"/>
  <c r="Q83" i="21"/>
  <c r="P83" i="21"/>
  <c r="O83" i="21"/>
  <c r="A83" i="21"/>
  <c r="V82" i="21"/>
  <c r="U82" i="21"/>
  <c r="T82" i="21"/>
  <c r="S82" i="21"/>
  <c r="R82" i="21"/>
  <c r="Q82" i="21"/>
  <c r="P82" i="21"/>
  <c r="O82" i="21"/>
  <c r="L82" i="21"/>
  <c r="K82" i="21"/>
  <c r="J82" i="21"/>
  <c r="I82" i="21"/>
  <c r="H82" i="21"/>
  <c r="G82" i="21"/>
  <c r="F82" i="21"/>
  <c r="A82" i="21"/>
  <c r="V81" i="21"/>
  <c r="U81" i="21"/>
  <c r="T81" i="21"/>
  <c r="S81" i="21"/>
  <c r="R81" i="21"/>
  <c r="Q81" i="21"/>
  <c r="P81" i="21"/>
  <c r="O81" i="21"/>
  <c r="A81" i="21"/>
  <c r="V80" i="21"/>
  <c r="U80" i="21"/>
  <c r="T80" i="21"/>
  <c r="S80" i="21"/>
  <c r="R80" i="21"/>
  <c r="Q80" i="21"/>
  <c r="P80" i="21"/>
  <c r="O80" i="21"/>
  <c r="A80" i="21"/>
  <c r="V79" i="21"/>
  <c r="U79" i="21"/>
  <c r="T79" i="21"/>
  <c r="S79" i="21"/>
  <c r="R79" i="21"/>
  <c r="Q79" i="21"/>
  <c r="P79" i="21"/>
  <c r="O79" i="21"/>
  <c r="A79" i="21"/>
  <c r="V78" i="21"/>
  <c r="U78" i="21"/>
  <c r="T78" i="21"/>
  <c r="S78" i="21"/>
  <c r="R78" i="21"/>
  <c r="Q78" i="21"/>
  <c r="P78" i="21"/>
  <c r="O78" i="21"/>
  <c r="A78" i="21"/>
  <c r="V77" i="21"/>
  <c r="U77" i="21"/>
  <c r="T77" i="21"/>
  <c r="S77" i="21"/>
  <c r="R77" i="21"/>
  <c r="Q77" i="21"/>
  <c r="P77" i="21"/>
  <c r="O77" i="21"/>
  <c r="A77" i="21"/>
  <c r="V76" i="21"/>
  <c r="U76" i="21"/>
  <c r="T76" i="21"/>
  <c r="S76" i="21"/>
  <c r="R76" i="21"/>
  <c r="Q76" i="21"/>
  <c r="P76" i="21"/>
  <c r="O76" i="21"/>
  <c r="A76" i="21"/>
  <c r="V75" i="21"/>
  <c r="U75" i="21"/>
  <c r="T75" i="21"/>
  <c r="S75" i="21"/>
  <c r="R75" i="21"/>
  <c r="Q75" i="21"/>
  <c r="P75" i="21"/>
  <c r="O75" i="21"/>
  <c r="A75" i="21"/>
  <c r="V74" i="21"/>
  <c r="U74" i="21"/>
  <c r="T74" i="21"/>
  <c r="S74" i="21"/>
  <c r="R74" i="21"/>
  <c r="Q74" i="21"/>
  <c r="P74" i="21"/>
  <c r="O74" i="21"/>
  <c r="A74" i="21"/>
  <c r="V73" i="21"/>
  <c r="U73" i="21"/>
  <c r="T73" i="21"/>
  <c r="S73" i="21"/>
  <c r="R73" i="21"/>
  <c r="Q73" i="21"/>
  <c r="P73" i="21"/>
  <c r="O73" i="21"/>
  <c r="A73" i="21"/>
  <c r="V72" i="21"/>
  <c r="U72" i="21"/>
  <c r="T72" i="21"/>
  <c r="S72" i="21"/>
  <c r="R72" i="21"/>
  <c r="Q72" i="21"/>
  <c r="P72" i="21"/>
  <c r="O72" i="21"/>
  <c r="A72" i="21"/>
  <c r="V71" i="21"/>
  <c r="U71" i="21"/>
  <c r="T71" i="21"/>
  <c r="S71" i="21"/>
  <c r="R71" i="21"/>
  <c r="Q71" i="21"/>
  <c r="P71" i="21"/>
  <c r="O71" i="21"/>
  <c r="L71" i="21"/>
  <c r="K71" i="21"/>
  <c r="J71" i="21"/>
  <c r="I71" i="21"/>
  <c r="H71" i="21"/>
  <c r="G71" i="21"/>
  <c r="F71" i="21"/>
  <c r="E71" i="21"/>
  <c r="D71" i="21"/>
  <c r="C71" i="21"/>
  <c r="A71" i="21"/>
  <c r="V70" i="21"/>
  <c r="U70" i="21"/>
  <c r="T70" i="21"/>
  <c r="S70" i="21"/>
  <c r="R70" i="21"/>
  <c r="Q70" i="21"/>
  <c r="P70" i="21"/>
  <c r="O70" i="21"/>
  <c r="A70" i="21"/>
  <c r="L69" i="21"/>
  <c r="K69" i="21"/>
  <c r="J69" i="21"/>
  <c r="I69" i="21"/>
  <c r="H69" i="21"/>
  <c r="G69" i="21"/>
  <c r="F69" i="21"/>
  <c r="E69" i="21"/>
  <c r="D69" i="21"/>
  <c r="C69" i="21"/>
  <c r="A69" i="21"/>
  <c r="V68" i="21"/>
  <c r="U68" i="21"/>
  <c r="T68" i="21"/>
  <c r="S68" i="21"/>
  <c r="R68" i="21"/>
  <c r="Q68" i="21"/>
  <c r="P68" i="21"/>
  <c r="O68" i="21"/>
  <c r="D68" i="21"/>
  <c r="C68" i="21"/>
  <c r="A68" i="21"/>
  <c r="V67" i="21"/>
  <c r="U67" i="21"/>
  <c r="T67" i="21"/>
  <c r="S67" i="21"/>
  <c r="R67" i="21"/>
  <c r="Q67" i="21"/>
  <c r="P67" i="21"/>
  <c r="O67" i="21"/>
  <c r="A67" i="21"/>
  <c r="V66" i="21"/>
  <c r="U66" i="21"/>
  <c r="T66" i="21"/>
  <c r="S66" i="21"/>
  <c r="R66" i="21"/>
  <c r="Q66" i="21"/>
  <c r="P66" i="21"/>
  <c r="O66" i="21"/>
  <c r="A66" i="21"/>
  <c r="D65" i="21"/>
  <c r="A65" i="21"/>
  <c r="V64" i="21"/>
  <c r="U64" i="21"/>
  <c r="T64" i="21"/>
  <c r="S64" i="21"/>
  <c r="R64" i="21"/>
  <c r="Q64" i="21"/>
  <c r="P64" i="21"/>
  <c r="O64" i="21"/>
  <c r="D64" i="21"/>
  <c r="C64" i="21"/>
  <c r="A64" i="21"/>
  <c r="V63" i="21"/>
  <c r="U63" i="21"/>
  <c r="T63" i="21"/>
  <c r="S63" i="21"/>
  <c r="R63" i="21"/>
  <c r="Q63" i="21"/>
  <c r="P63" i="21"/>
  <c r="O63" i="21"/>
  <c r="A63" i="21"/>
  <c r="V62" i="21"/>
  <c r="U62" i="21"/>
  <c r="T62" i="21"/>
  <c r="S62" i="21"/>
  <c r="R62" i="21"/>
  <c r="Q62" i="21"/>
  <c r="P62" i="21"/>
  <c r="O62" i="21"/>
  <c r="A62" i="21"/>
  <c r="V61" i="21"/>
  <c r="U61" i="21"/>
  <c r="T61" i="21"/>
  <c r="S61" i="21"/>
  <c r="R61" i="21"/>
  <c r="Q61" i="21"/>
  <c r="P61" i="21"/>
  <c r="O61" i="21"/>
  <c r="A61" i="21"/>
  <c r="V60" i="21"/>
  <c r="U60" i="21"/>
  <c r="T60" i="21"/>
  <c r="S60" i="21"/>
  <c r="R60" i="21"/>
  <c r="Q60" i="21"/>
  <c r="P60" i="21"/>
  <c r="O60" i="21"/>
  <c r="A60" i="21"/>
  <c r="V59" i="21"/>
  <c r="U59" i="21"/>
  <c r="T59" i="21"/>
  <c r="S59" i="21"/>
  <c r="R59" i="21"/>
  <c r="Q59" i="21"/>
  <c r="P59" i="21"/>
  <c r="O59" i="21"/>
  <c r="A59" i="21"/>
  <c r="V58" i="21"/>
  <c r="U58" i="21"/>
  <c r="T58" i="21"/>
  <c r="S58" i="21"/>
  <c r="R58" i="21"/>
  <c r="Q58" i="21"/>
  <c r="P58" i="21"/>
  <c r="O58" i="21"/>
  <c r="C58" i="21"/>
  <c r="D58" i="21" s="1"/>
  <c r="A58" i="21"/>
  <c r="V57" i="21"/>
  <c r="U57" i="21"/>
  <c r="T57" i="21"/>
  <c r="S57" i="21"/>
  <c r="R57" i="21"/>
  <c r="Q57" i="21"/>
  <c r="P57" i="21"/>
  <c r="O57" i="21"/>
  <c r="C57" i="21"/>
  <c r="D57" i="21" s="1"/>
  <c r="A57" i="21"/>
  <c r="V56" i="21"/>
  <c r="U56" i="21"/>
  <c r="T56" i="21"/>
  <c r="S56" i="21"/>
  <c r="R56" i="21"/>
  <c r="Q56" i="21"/>
  <c r="P56" i="21"/>
  <c r="O56" i="21"/>
  <c r="A56" i="21"/>
  <c r="V55" i="21"/>
  <c r="U55" i="21"/>
  <c r="T55" i="21"/>
  <c r="S55" i="21"/>
  <c r="R55" i="21"/>
  <c r="Q55" i="21"/>
  <c r="P55" i="21"/>
  <c r="O55" i="21"/>
  <c r="A55" i="21"/>
  <c r="V54" i="21"/>
  <c r="U54" i="21"/>
  <c r="T54" i="21"/>
  <c r="S54" i="21"/>
  <c r="R54" i="21"/>
  <c r="Q54" i="21"/>
  <c r="P54" i="21"/>
  <c r="O54" i="21"/>
  <c r="D54" i="21"/>
  <c r="C54" i="21"/>
  <c r="A54" i="21"/>
  <c r="V53" i="21"/>
  <c r="U53" i="21"/>
  <c r="T53" i="21"/>
  <c r="S53" i="21"/>
  <c r="R53" i="21"/>
  <c r="Q53" i="21"/>
  <c r="P53" i="21"/>
  <c r="O53" i="21"/>
  <c r="L53" i="21"/>
  <c r="K53" i="21"/>
  <c r="J53" i="21"/>
  <c r="I53" i="21"/>
  <c r="H53" i="21"/>
  <c r="G53" i="21"/>
  <c r="F53" i="21"/>
  <c r="E53" i="21"/>
  <c r="D53" i="21"/>
  <c r="C53" i="21"/>
  <c r="A53" i="21"/>
  <c r="V52" i="21"/>
  <c r="U52" i="21"/>
  <c r="T52" i="21"/>
  <c r="S52" i="21"/>
  <c r="R52" i="21"/>
  <c r="Q52" i="21"/>
  <c r="P52" i="21"/>
  <c r="O52" i="21"/>
  <c r="L52" i="21"/>
  <c r="K52" i="21"/>
  <c r="J52" i="21"/>
  <c r="I52" i="21"/>
  <c r="H52" i="21"/>
  <c r="G52" i="21"/>
  <c r="F52" i="21"/>
  <c r="E52" i="21"/>
  <c r="D52" i="21"/>
  <c r="C52" i="21"/>
  <c r="A52" i="21"/>
  <c r="V51" i="21"/>
  <c r="U51" i="21"/>
  <c r="T51" i="21"/>
  <c r="S51" i="21"/>
  <c r="R51" i="21"/>
  <c r="Q51" i="21"/>
  <c r="P51" i="21"/>
  <c r="O51" i="21"/>
  <c r="A51" i="21"/>
  <c r="V50" i="21"/>
  <c r="U50" i="21"/>
  <c r="T50" i="21"/>
  <c r="S50" i="21"/>
  <c r="R50" i="21"/>
  <c r="Q50" i="21"/>
  <c r="P50" i="21"/>
  <c r="O50" i="21"/>
  <c r="A50" i="21"/>
  <c r="V49" i="21"/>
  <c r="U49" i="21"/>
  <c r="T49" i="21"/>
  <c r="S49" i="21"/>
  <c r="R49" i="21"/>
  <c r="Q49" i="21"/>
  <c r="P49" i="21"/>
  <c r="O49" i="21"/>
  <c r="A49" i="21"/>
  <c r="V48" i="21"/>
  <c r="U48" i="21"/>
  <c r="T48" i="21"/>
  <c r="S48" i="21"/>
  <c r="R48" i="21"/>
  <c r="Q48" i="21"/>
  <c r="P48" i="21"/>
  <c r="O48" i="21"/>
  <c r="A48" i="21"/>
  <c r="V47" i="21"/>
  <c r="U47" i="21"/>
  <c r="T47" i="21"/>
  <c r="S47" i="21"/>
  <c r="R47" i="21"/>
  <c r="Q47" i="21"/>
  <c r="P47" i="21"/>
  <c r="O47" i="21"/>
  <c r="A47" i="21"/>
  <c r="V46" i="21"/>
  <c r="U46" i="21"/>
  <c r="T46" i="21"/>
  <c r="S46" i="21"/>
  <c r="R46" i="21"/>
  <c r="Q46" i="21"/>
  <c r="P46" i="21"/>
  <c r="O46" i="21"/>
  <c r="A46" i="21"/>
  <c r="V45" i="21"/>
  <c r="U45" i="21"/>
  <c r="T45" i="21"/>
  <c r="S45" i="21"/>
  <c r="R45" i="21"/>
  <c r="Q45" i="21"/>
  <c r="P45" i="21"/>
  <c r="O45" i="21"/>
  <c r="A45" i="21"/>
  <c r="V44" i="21"/>
  <c r="U44" i="21"/>
  <c r="T44" i="21"/>
  <c r="S44" i="21"/>
  <c r="R44" i="21"/>
  <c r="Q44" i="21"/>
  <c r="P44" i="21"/>
  <c r="O44" i="21"/>
  <c r="A44" i="21"/>
  <c r="V43" i="21"/>
  <c r="U43" i="21"/>
  <c r="T43" i="21"/>
  <c r="S43" i="21"/>
  <c r="R43" i="21"/>
  <c r="Q43" i="21"/>
  <c r="P43" i="21"/>
  <c r="O43" i="21"/>
  <c r="L43" i="21"/>
  <c r="K43" i="21"/>
  <c r="J43" i="21"/>
  <c r="I43" i="21"/>
  <c r="H43" i="21"/>
  <c r="G43" i="21"/>
  <c r="F43" i="21"/>
  <c r="E43" i="21"/>
  <c r="D43" i="21"/>
  <c r="C43" i="21"/>
  <c r="A43" i="21"/>
  <c r="V42" i="21"/>
  <c r="U42" i="21"/>
  <c r="T42" i="21"/>
  <c r="S42" i="21"/>
  <c r="R42" i="21"/>
  <c r="Q42" i="21"/>
  <c r="P42" i="21"/>
  <c r="O42" i="21"/>
  <c r="L42" i="21"/>
  <c r="K42" i="21"/>
  <c r="J42" i="21"/>
  <c r="I42" i="21"/>
  <c r="H42" i="21"/>
  <c r="G42" i="21"/>
  <c r="F42" i="21"/>
  <c r="E42" i="21"/>
  <c r="D42" i="21"/>
  <c r="C42" i="21"/>
  <c r="A42" i="21"/>
  <c r="V41" i="21"/>
  <c r="U41" i="21"/>
  <c r="T41" i="21"/>
  <c r="S41" i="21"/>
  <c r="R41" i="21"/>
  <c r="Q41" i="21"/>
  <c r="P41" i="21"/>
  <c r="O41" i="21"/>
  <c r="L41" i="21"/>
  <c r="K41" i="21"/>
  <c r="J41" i="21"/>
  <c r="I41" i="21"/>
  <c r="H41" i="21"/>
  <c r="G41" i="21"/>
  <c r="F41" i="21"/>
  <c r="E41" i="21"/>
  <c r="D41" i="21"/>
  <c r="C41" i="21"/>
  <c r="A41" i="21"/>
  <c r="V40" i="21"/>
  <c r="U40" i="21"/>
  <c r="T40" i="21"/>
  <c r="S40" i="21"/>
  <c r="R40" i="21"/>
  <c r="Q40" i="21"/>
  <c r="P40" i="21"/>
  <c r="O40" i="21"/>
  <c r="A40" i="21"/>
  <c r="V39" i="21"/>
  <c r="U39" i="21"/>
  <c r="T39" i="21"/>
  <c r="S39" i="21"/>
  <c r="R39" i="21"/>
  <c r="Q39" i="21"/>
  <c r="P39" i="21"/>
  <c r="O39" i="21"/>
  <c r="L39" i="21"/>
  <c r="K39" i="21"/>
  <c r="J39" i="21"/>
  <c r="I39" i="21"/>
  <c r="H39" i="21"/>
  <c r="G39" i="21"/>
  <c r="F39" i="21"/>
  <c r="E39" i="21"/>
  <c r="D39" i="21"/>
  <c r="C39" i="21"/>
  <c r="A39" i="21"/>
  <c r="V38" i="21"/>
  <c r="U38" i="21"/>
  <c r="T38" i="21"/>
  <c r="S38" i="21"/>
  <c r="R38" i="21"/>
  <c r="Q38" i="21"/>
  <c r="P38" i="21"/>
  <c r="O38" i="21"/>
  <c r="A38" i="21"/>
  <c r="V37" i="21"/>
  <c r="U37" i="21"/>
  <c r="T37" i="21"/>
  <c r="S37" i="21"/>
  <c r="R37" i="21"/>
  <c r="Q37" i="21"/>
  <c r="P37" i="21"/>
  <c r="O37" i="21"/>
  <c r="L37" i="21"/>
  <c r="K37" i="21"/>
  <c r="J37" i="21"/>
  <c r="I37" i="21"/>
  <c r="H37" i="21"/>
  <c r="G37" i="21"/>
  <c r="F37" i="21"/>
  <c r="E37" i="21"/>
  <c r="D37" i="21"/>
  <c r="C37" i="21"/>
  <c r="A37" i="21"/>
  <c r="V36" i="21"/>
  <c r="U36" i="21"/>
  <c r="T36" i="21"/>
  <c r="S36" i="21"/>
  <c r="R36" i="21"/>
  <c r="Q36" i="21"/>
  <c r="P36" i="21"/>
  <c r="O36" i="21"/>
  <c r="D36" i="21"/>
  <c r="C36" i="21"/>
  <c r="A36" i="21"/>
  <c r="V35" i="21"/>
  <c r="U35" i="21"/>
  <c r="T35" i="21"/>
  <c r="S35" i="21"/>
  <c r="R35" i="21"/>
  <c r="Q35" i="21"/>
  <c r="P35" i="21"/>
  <c r="O35" i="21"/>
  <c r="A35" i="21"/>
  <c r="V34" i="21"/>
  <c r="U34" i="21"/>
  <c r="T34" i="21"/>
  <c r="S34" i="21"/>
  <c r="R34" i="21"/>
  <c r="Q34" i="21"/>
  <c r="P34" i="21"/>
  <c r="O34" i="21"/>
  <c r="L34" i="21"/>
  <c r="K34" i="21"/>
  <c r="J34" i="21"/>
  <c r="I34" i="21"/>
  <c r="H34" i="21"/>
  <c r="G34" i="21"/>
  <c r="F34" i="21"/>
  <c r="E34" i="21"/>
  <c r="D34" i="21"/>
  <c r="C34" i="21"/>
  <c r="A34" i="21"/>
  <c r="V33" i="21"/>
  <c r="U33" i="21"/>
  <c r="T33" i="21"/>
  <c r="S33" i="21"/>
  <c r="R33" i="21"/>
  <c r="Q33" i="21"/>
  <c r="P33" i="21"/>
  <c r="O33" i="21"/>
  <c r="L33" i="21"/>
  <c r="K33" i="21"/>
  <c r="J33" i="21"/>
  <c r="I33" i="21"/>
  <c r="H33" i="21"/>
  <c r="G33" i="21"/>
  <c r="F33" i="21"/>
  <c r="E33" i="21"/>
  <c r="T32" i="21"/>
  <c r="S32" i="21"/>
  <c r="V31" i="21"/>
  <c r="U31" i="21"/>
  <c r="T31" i="21"/>
  <c r="S31" i="21"/>
  <c r="R31" i="21"/>
  <c r="Q31" i="21"/>
  <c r="P31" i="21"/>
  <c r="O31" i="21"/>
  <c r="N31" i="21"/>
  <c r="M31" i="21"/>
  <c r="J20" i="21"/>
  <c r="I20" i="21"/>
  <c r="H20" i="21"/>
  <c r="G20" i="21"/>
  <c r="J19" i="21"/>
  <c r="I19" i="21"/>
  <c r="H19" i="21"/>
  <c r="G19" i="21"/>
  <c r="J18" i="21"/>
  <c r="I18" i="21"/>
  <c r="H18" i="21"/>
  <c r="G18" i="21"/>
  <c r="J17" i="21"/>
  <c r="I17" i="21"/>
  <c r="H17" i="21"/>
  <c r="G17" i="21"/>
  <c r="J16" i="21"/>
  <c r="I16" i="21"/>
  <c r="H16" i="21"/>
  <c r="G16" i="21"/>
  <c r="J15" i="21"/>
  <c r="I15" i="21"/>
  <c r="H15" i="21"/>
  <c r="G15" i="21"/>
  <c r="J14" i="21"/>
  <c r="I14" i="21"/>
  <c r="H14" i="21"/>
  <c r="G14" i="21"/>
  <c r="J13" i="21"/>
  <c r="I13" i="21"/>
  <c r="H13" i="21"/>
  <c r="G13" i="21"/>
  <c r="J12" i="21"/>
  <c r="H12" i="21"/>
  <c r="G12" i="21"/>
  <c r="J11" i="21"/>
  <c r="H11" i="21"/>
  <c r="G11" i="21"/>
  <c r="E7" i="21"/>
  <c r="B7" i="21"/>
  <c r="J173" i="20"/>
  <c r="I173" i="20"/>
  <c r="H173" i="20"/>
  <c r="G173" i="20"/>
  <c r="F173" i="20"/>
  <c r="K172" i="20"/>
  <c r="J172" i="20"/>
  <c r="I172" i="20"/>
  <c r="H172" i="20"/>
  <c r="F172" i="20"/>
  <c r="K171" i="20"/>
  <c r="J171" i="20"/>
  <c r="I171" i="20"/>
  <c r="H171" i="20"/>
  <c r="F171" i="20"/>
  <c r="K170" i="20"/>
  <c r="J170" i="20"/>
  <c r="I170" i="20"/>
  <c r="H170" i="20"/>
  <c r="F170" i="20"/>
  <c r="K169" i="20"/>
  <c r="J169" i="20"/>
  <c r="I169" i="20"/>
  <c r="H169" i="20"/>
  <c r="F169" i="20"/>
  <c r="K168" i="20"/>
  <c r="J168" i="20"/>
  <c r="I168" i="20"/>
  <c r="H168" i="20"/>
  <c r="F168" i="20"/>
  <c r="K167" i="20"/>
  <c r="J167" i="20"/>
  <c r="I167" i="20"/>
  <c r="H167" i="20"/>
  <c r="F167" i="20"/>
  <c r="K166" i="20"/>
  <c r="J166" i="20"/>
  <c r="I166" i="20"/>
  <c r="H166" i="20"/>
  <c r="F166" i="20"/>
  <c r="K165" i="20"/>
  <c r="J165" i="20"/>
  <c r="I165" i="20"/>
  <c r="H165" i="20"/>
  <c r="F165" i="20"/>
  <c r="K164" i="20"/>
  <c r="J164" i="20"/>
  <c r="I164" i="20"/>
  <c r="H164" i="20"/>
  <c r="F164" i="20"/>
  <c r="K163" i="20"/>
  <c r="J163" i="20"/>
  <c r="I163" i="20"/>
  <c r="H163" i="20"/>
  <c r="F163" i="20"/>
  <c r="K162" i="20"/>
  <c r="J162" i="20"/>
  <c r="I162" i="20"/>
  <c r="H162" i="20"/>
  <c r="F162" i="20"/>
  <c r="K161" i="20"/>
  <c r="J161" i="20"/>
  <c r="I161" i="20"/>
  <c r="H161" i="20"/>
  <c r="F161" i="20"/>
  <c r="K160" i="20"/>
  <c r="J160" i="20"/>
  <c r="I160" i="20"/>
  <c r="H160" i="20"/>
  <c r="F160" i="20"/>
  <c r="K159" i="20"/>
  <c r="J159" i="20"/>
  <c r="I159" i="20"/>
  <c r="H159" i="20"/>
  <c r="F159" i="20"/>
  <c r="K158" i="20"/>
  <c r="J158" i="20"/>
  <c r="I158" i="20"/>
  <c r="H158" i="20"/>
  <c r="F158" i="20"/>
  <c r="K157" i="20"/>
  <c r="J157" i="20"/>
  <c r="I157" i="20"/>
  <c r="H157" i="20"/>
  <c r="F157" i="20"/>
  <c r="K156" i="20"/>
  <c r="J156" i="20"/>
  <c r="I156" i="20"/>
  <c r="H156" i="20"/>
  <c r="F156" i="20"/>
  <c r="K155" i="20"/>
  <c r="J155" i="20"/>
  <c r="I155" i="20"/>
  <c r="H155" i="20"/>
  <c r="F155" i="20"/>
  <c r="K154" i="20"/>
  <c r="J154" i="20"/>
  <c r="I154" i="20"/>
  <c r="H154" i="20"/>
  <c r="F154" i="20"/>
  <c r="K153" i="20"/>
  <c r="J153" i="20"/>
  <c r="I153" i="20"/>
  <c r="H153" i="20"/>
  <c r="F153" i="20"/>
  <c r="K152" i="20"/>
  <c r="J152" i="20"/>
  <c r="I152" i="20"/>
  <c r="H152" i="20"/>
  <c r="F152" i="20"/>
  <c r="K151" i="20"/>
  <c r="J151" i="20"/>
  <c r="I151" i="20"/>
  <c r="H151" i="20"/>
  <c r="F151" i="20"/>
  <c r="K150" i="20"/>
  <c r="J150" i="20"/>
  <c r="I150" i="20"/>
  <c r="H150" i="20"/>
  <c r="F150" i="20"/>
  <c r="K149" i="20"/>
  <c r="J149" i="20"/>
  <c r="I149" i="20"/>
  <c r="H149" i="20"/>
  <c r="F149" i="20"/>
  <c r="J146" i="20"/>
  <c r="I146" i="20"/>
  <c r="H146" i="20"/>
  <c r="G146" i="20"/>
  <c r="F146" i="20"/>
  <c r="K145" i="20"/>
  <c r="J145" i="20"/>
  <c r="I145" i="20"/>
  <c r="H145" i="20"/>
  <c r="G145" i="20"/>
  <c r="F145" i="20"/>
  <c r="K144" i="20"/>
  <c r="J144" i="20"/>
  <c r="I144" i="20"/>
  <c r="H144" i="20"/>
  <c r="G144" i="20"/>
  <c r="F144" i="20"/>
  <c r="K143" i="20"/>
  <c r="J143" i="20"/>
  <c r="I143" i="20"/>
  <c r="H143" i="20"/>
  <c r="G143" i="20"/>
  <c r="F143" i="20"/>
  <c r="K142" i="20"/>
  <c r="J142" i="20"/>
  <c r="I142" i="20"/>
  <c r="H142" i="20"/>
  <c r="G142" i="20"/>
  <c r="F142" i="20"/>
  <c r="K141" i="20"/>
  <c r="J141" i="20"/>
  <c r="I141" i="20"/>
  <c r="H141" i="20"/>
  <c r="G141" i="20"/>
  <c r="F141" i="20"/>
  <c r="K140" i="20"/>
  <c r="J140" i="20"/>
  <c r="I140" i="20"/>
  <c r="H140" i="20"/>
  <c r="G140" i="20"/>
  <c r="F140" i="20"/>
  <c r="K139" i="20"/>
  <c r="J139" i="20"/>
  <c r="I139" i="20"/>
  <c r="H139" i="20"/>
  <c r="G139" i="20"/>
  <c r="F139" i="20"/>
  <c r="K138" i="20"/>
  <c r="J138" i="20"/>
  <c r="I138" i="20"/>
  <c r="H138" i="20"/>
  <c r="G138" i="20"/>
  <c r="F138" i="20"/>
  <c r="K137" i="20"/>
  <c r="J137" i="20"/>
  <c r="I137" i="20"/>
  <c r="H137" i="20"/>
  <c r="G137" i="20"/>
  <c r="F137" i="20"/>
  <c r="K136" i="20"/>
  <c r="J136" i="20"/>
  <c r="I136" i="20"/>
  <c r="H136" i="20"/>
  <c r="G136" i="20"/>
  <c r="F136" i="20"/>
  <c r="K135" i="20"/>
  <c r="J135" i="20"/>
  <c r="I135" i="20"/>
  <c r="H135" i="20"/>
  <c r="G135" i="20"/>
  <c r="F135" i="20"/>
  <c r="K134" i="20"/>
  <c r="J134" i="20"/>
  <c r="I134" i="20"/>
  <c r="H134" i="20"/>
  <c r="G134" i="20"/>
  <c r="F134" i="20"/>
  <c r="K133" i="20"/>
  <c r="J133" i="20"/>
  <c r="I133" i="20"/>
  <c r="H133" i="20"/>
  <c r="G133" i="20"/>
  <c r="F133" i="20"/>
  <c r="K132" i="20"/>
  <c r="J132" i="20"/>
  <c r="I132" i="20"/>
  <c r="H132" i="20"/>
  <c r="G132" i="20"/>
  <c r="F132" i="20"/>
  <c r="K131" i="20"/>
  <c r="J131" i="20"/>
  <c r="I131" i="20"/>
  <c r="H131" i="20"/>
  <c r="G131" i="20"/>
  <c r="F131" i="20"/>
  <c r="K130" i="20"/>
  <c r="J130" i="20"/>
  <c r="I130" i="20"/>
  <c r="H130" i="20"/>
  <c r="G130" i="20"/>
  <c r="F130" i="20"/>
  <c r="K129" i="20"/>
  <c r="J129" i="20"/>
  <c r="I129" i="20"/>
  <c r="H129" i="20"/>
  <c r="G129" i="20"/>
  <c r="F129" i="20"/>
  <c r="K128" i="20"/>
  <c r="J128" i="20"/>
  <c r="I128" i="20"/>
  <c r="H128" i="20"/>
  <c r="G128" i="20"/>
  <c r="F128" i="20"/>
  <c r="K127" i="20"/>
  <c r="J127" i="20"/>
  <c r="I127" i="20"/>
  <c r="H127" i="20"/>
  <c r="G127" i="20"/>
  <c r="F127" i="20"/>
  <c r="K126" i="20"/>
  <c r="J126" i="20"/>
  <c r="I126" i="20"/>
  <c r="H126" i="20"/>
  <c r="G126" i="20"/>
  <c r="F126" i="20"/>
  <c r="K125" i="20"/>
  <c r="J125" i="20"/>
  <c r="I125" i="20"/>
  <c r="H125" i="20"/>
  <c r="G125" i="20"/>
  <c r="F125" i="20"/>
  <c r="K124" i="20"/>
  <c r="J124" i="20"/>
  <c r="I124" i="20"/>
  <c r="H124" i="20"/>
  <c r="G124" i="20"/>
  <c r="F124" i="20"/>
  <c r="K123" i="20"/>
  <c r="J123" i="20"/>
  <c r="I123" i="20"/>
  <c r="H123" i="20"/>
  <c r="G123" i="20"/>
  <c r="F123" i="20"/>
  <c r="K122" i="20"/>
  <c r="J122" i="20"/>
  <c r="I122" i="20"/>
  <c r="H122" i="20"/>
  <c r="G122" i="20"/>
  <c r="F122" i="20"/>
  <c r="C119" i="20"/>
  <c r="V103" i="20"/>
  <c r="U103" i="20"/>
  <c r="T103" i="20"/>
  <c r="S103" i="20"/>
  <c r="R103" i="20"/>
  <c r="Q103" i="20"/>
  <c r="P103" i="20"/>
  <c r="O103" i="20"/>
  <c r="A103" i="20"/>
  <c r="V102" i="20"/>
  <c r="U102" i="20"/>
  <c r="T102" i="20"/>
  <c r="S102" i="20"/>
  <c r="R102" i="20"/>
  <c r="Q102" i="20"/>
  <c r="P102" i="20"/>
  <c r="O102" i="20"/>
  <c r="A102" i="20"/>
  <c r="V101" i="20"/>
  <c r="U101" i="20"/>
  <c r="T101" i="20"/>
  <c r="S101" i="20"/>
  <c r="R101" i="20"/>
  <c r="Q101" i="20"/>
  <c r="P101" i="20"/>
  <c r="O101" i="20"/>
  <c r="A101" i="20"/>
  <c r="V100" i="20"/>
  <c r="U100" i="20"/>
  <c r="T100" i="20"/>
  <c r="S100" i="20"/>
  <c r="R100" i="20"/>
  <c r="Q100" i="20"/>
  <c r="P100" i="20"/>
  <c r="O100" i="20"/>
  <c r="A100" i="20"/>
  <c r="V99" i="20"/>
  <c r="U99" i="20"/>
  <c r="T99" i="20"/>
  <c r="S99" i="20"/>
  <c r="R99" i="20"/>
  <c r="Q99" i="20"/>
  <c r="P99" i="20"/>
  <c r="O99" i="20"/>
  <c r="A99" i="20"/>
  <c r="V98" i="20"/>
  <c r="U98" i="20"/>
  <c r="T98" i="20"/>
  <c r="S98" i="20"/>
  <c r="R98" i="20"/>
  <c r="Q98" i="20"/>
  <c r="P98" i="20"/>
  <c r="O98" i="20"/>
  <c r="A98" i="20"/>
  <c r="V97" i="20"/>
  <c r="U97" i="20"/>
  <c r="T97" i="20"/>
  <c r="S97" i="20"/>
  <c r="R97" i="20"/>
  <c r="Q97" i="20"/>
  <c r="P97" i="20"/>
  <c r="O97" i="20"/>
  <c r="A97" i="20"/>
  <c r="V96" i="20"/>
  <c r="U96" i="20"/>
  <c r="T96" i="20"/>
  <c r="S96" i="20"/>
  <c r="R96" i="20"/>
  <c r="Q96" i="20"/>
  <c r="P96" i="20"/>
  <c r="O96" i="20"/>
  <c r="A96" i="20"/>
  <c r="V95" i="20"/>
  <c r="U95" i="20"/>
  <c r="T95" i="20"/>
  <c r="S95" i="20"/>
  <c r="R95" i="20"/>
  <c r="Q95" i="20"/>
  <c r="P95" i="20"/>
  <c r="O95" i="20"/>
  <c r="A95" i="20"/>
  <c r="V94" i="20"/>
  <c r="U94" i="20"/>
  <c r="T94" i="20"/>
  <c r="S94" i="20"/>
  <c r="R94" i="20"/>
  <c r="Q94" i="20"/>
  <c r="P94" i="20"/>
  <c r="O94" i="20"/>
  <c r="A94" i="20"/>
  <c r="V93" i="20"/>
  <c r="U93" i="20"/>
  <c r="T93" i="20"/>
  <c r="S93" i="20"/>
  <c r="R93" i="20"/>
  <c r="Q93" i="20"/>
  <c r="P93" i="20"/>
  <c r="O93" i="20"/>
  <c r="A93" i="20"/>
  <c r="V92" i="20"/>
  <c r="U92" i="20"/>
  <c r="T92" i="20"/>
  <c r="S92" i="20"/>
  <c r="R92" i="20"/>
  <c r="Q92" i="20"/>
  <c r="P92" i="20"/>
  <c r="O92" i="20"/>
  <c r="A92" i="20"/>
  <c r="V91" i="20"/>
  <c r="U91" i="20"/>
  <c r="T91" i="20"/>
  <c r="S91" i="20"/>
  <c r="R91" i="20"/>
  <c r="Q91" i="20"/>
  <c r="P91" i="20"/>
  <c r="O91" i="20"/>
  <c r="A91" i="20"/>
  <c r="V90" i="20"/>
  <c r="U90" i="20"/>
  <c r="T90" i="20"/>
  <c r="S90" i="20"/>
  <c r="R90" i="20"/>
  <c r="Q90" i="20"/>
  <c r="P90" i="20"/>
  <c r="O90" i="20"/>
  <c r="A90" i="20"/>
  <c r="V89" i="20"/>
  <c r="U89" i="20"/>
  <c r="T89" i="20"/>
  <c r="S89" i="20"/>
  <c r="R89" i="20"/>
  <c r="Q89" i="20"/>
  <c r="P89" i="20"/>
  <c r="O89" i="20"/>
  <c r="A89" i="20"/>
  <c r="V88" i="20"/>
  <c r="U88" i="20"/>
  <c r="T88" i="20"/>
  <c r="S88" i="20"/>
  <c r="R88" i="20"/>
  <c r="Q88" i="20"/>
  <c r="P88" i="20"/>
  <c r="O88" i="20"/>
  <c r="A88" i="20"/>
  <c r="V87" i="20"/>
  <c r="U87" i="20"/>
  <c r="T87" i="20"/>
  <c r="S87" i="20"/>
  <c r="R87" i="20"/>
  <c r="Q87" i="20"/>
  <c r="P87" i="20"/>
  <c r="O87" i="20"/>
  <c r="A87" i="20"/>
  <c r="V86" i="20"/>
  <c r="U86" i="20"/>
  <c r="T86" i="20"/>
  <c r="S86" i="20"/>
  <c r="R86" i="20"/>
  <c r="Q86" i="20"/>
  <c r="P86" i="20"/>
  <c r="O86" i="20"/>
  <c r="A86" i="20"/>
  <c r="V85" i="20"/>
  <c r="U85" i="20"/>
  <c r="T85" i="20"/>
  <c r="S85" i="20"/>
  <c r="R85" i="20"/>
  <c r="Q85" i="20"/>
  <c r="P85" i="20"/>
  <c r="O85" i="20"/>
  <c r="A85" i="20"/>
  <c r="V84" i="20"/>
  <c r="U84" i="20"/>
  <c r="T84" i="20"/>
  <c r="S84" i="20"/>
  <c r="R84" i="20"/>
  <c r="Q84" i="20"/>
  <c r="P84" i="20"/>
  <c r="O84" i="20"/>
  <c r="A84" i="20"/>
  <c r="V83" i="20"/>
  <c r="U83" i="20"/>
  <c r="T83" i="20"/>
  <c r="S83" i="20"/>
  <c r="R83" i="20"/>
  <c r="Q83" i="20"/>
  <c r="P83" i="20"/>
  <c r="O83" i="20"/>
  <c r="A83" i="20"/>
  <c r="V82" i="20"/>
  <c r="U82" i="20"/>
  <c r="T82" i="20"/>
  <c r="S82" i="20"/>
  <c r="R82" i="20"/>
  <c r="Q82" i="20"/>
  <c r="P82" i="20"/>
  <c r="O82" i="20"/>
  <c r="L82" i="20"/>
  <c r="K82" i="20"/>
  <c r="J82" i="20"/>
  <c r="I82" i="20"/>
  <c r="H82" i="20"/>
  <c r="G82" i="20"/>
  <c r="F82" i="20"/>
  <c r="A82" i="20"/>
  <c r="V81" i="20"/>
  <c r="U81" i="20"/>
  <c r="T81" i="20"/>
  <c r="S81" i="20"/>
  <c r="R81" i="20"/>
  <c r="Q81" i="20"/>
  <c r="P81" i="20"/>
  <c r="O81" i="20"/>
  <c r="A81" i="20"/>
  <c r="V80" i="20"/>
  <c r="U80" i="20"/>
  <c r="T80" i="20"/>
  <c r="S80" i="20"/>
  <c r="R80" i="20"/>
  <c r="Q80" i="20"/>
  <c r="P80" i="20"/>
  <c r="O80" i="20"/>
  <c r="A80" i="20"/>
  <c r="V79" i="20"/>
  <c r="U79" i="20"/>
  <c r="T79" i="20"/>
  <c r="S79" i="20"/>
  <c r="R79" i="20"/>
  <c r="Q79" i="20"/>
  <c r="P79" i="20"/>
  <c r="O79" i="20"/>
  <c r="A79" i="20"/>
  <c r="V78" i="20"/>
  <c r="U78" i="20"/>
  <c r="T78" i="20"/>
  <c r="S78" i="20"/>
  <c r="R78" i="20"/>
  <c r="Q78" i="20"/>
  <c r="P78" i="20"/>
  <c r="O78" i="20"/>
  <c r="A78" i="20"/>
  <c r="V77" i="20"/>
  <c r="U77" i="20"/>
  <c r="T77" i="20"/>
  <c r="S77" i="20"/>
  <c r="R77" i="20"/>
  <c r="Q77" i="20"/>
  <c r="P77" i="20"/>
  <c r="O77" i="20"/>
  <c r="D77" i="20"/>
  <c r="C77" i="20"/>
  <c r="A77" i="20"/>
  <c r="V76" i="20"/>
  <c r="U76" i="20"/>
  <c r="T76" i="20"/>
  <c r="S76" i="20"/>
  <c r="R76" i="20"/>
  <c r="Q76" i="20"/>
  <c r="P76" i="20"/>
  <c r="O76" i="20"/>
  <c r="A76" i="20"/>
  <c r="V75" i="20"/>
  <c r="U75" i="20"/>
  <c r="T75" i="20"/>
  <c r="S75" i="20"/>
  <c r="R75" i="20"/>
  <c r="Q75" i="20"/>
  <c r="P75" i="20"/>
  <c r="O75" i="20"/>
  <c r="A75" i="20"/>
  <c r="V74" i="20"/>
  <c r="U74" i="20"/>
  <c r="T74" i="20"/>
  <c r="S74" i="20"/>
  <c r="R74" i="20"/>
  <c r="Q74" i="20"/>
  <c r="P74" i="20"/>
  <c r="O74" i="20"/>
  <c r="A74" i="20"/>
  <c r="V73" i="20"/>
  <c r="U73" i="20"/>
  <c r="T73" i="20"/>
  <c r="S73" i="20"/>
  <c r="R73" i="20"/>
  <c r="Q73" i="20"/>
  <c r="P73" i="20"/>
  <c r="O73" i="20"/>
  <c r="A73" i="20"/>
  <c r="V72" i="20"/>
  <c r="U72" i="20"/>
  <c r="T72" i="20"/>
  <c r="S72" i="20"/>
  <c r="R72" i="20"/>
  <c r="Q72" i="20"/>
  <c r="P72" i="20"/>
  <c r="O72" i="20"/>
  <c r="A72" i="20"/>
  <c r="V71" i="20"/>
  <c r="U71" i="20"/>
  <c r="T71" i="20"/>
  <c r="S71" i="20"/>
  <c r="R71" i="20"/>
  <c r="Q71" i="20"/>
  <c r="P71" i="20"/>
  <c r="O71" i="20"/>
  <c r="L71" i="20"/>
  <c r="K71" i="20"/>
  <c r="J71" i="20"/>
  <c r="I71" i="20"/>
  <c r="H71" i="20"/>
  <c r="G71" i="20"/>
  <c r="F71" i="20"/>
  <c r="E71" i="20"/>
  <c r="D71" i="20"/>
  <c r="C71" i="20"/>
  <c r="A71" i="20"/>
  <c r="V70" i="20"/>
  <c r="U70" i="20"/>
  <c r="T70" i="20"/>
  <c r="S70" i="20"/>
  <c r="R70" i="20"/>
  <c r="Q70" i="20"/>
  <c r="P70" i="20"/>
  <c r="O70" i="20"/>
  <c r="A70" i="20"/>
  <c r="L69" i="20"/>
  <c r="K69" i="20"/>
  <c r="J69" i="20"/>
  <c r="I69" i="20"/>
  <c r="H69" i="20"/>
  <c r="G69" i="20"/>
  <c r="F69" i="20"/>
  <c r="E69" i="20"/>
  <c r="D69" i="20"/>
  <c r="C69" i="20"/>
  <c r="A69" i="20"/>
  <c r="V68" i="20"/>
  <c r="U68" i="20"/>
  <c r="T68" i="20"/>
  <c r="S68" i="20"/>
  <c r="R68" i="20"/>
  <c r="Q68" i="20"/>
  <c r="P68" i="20"/>
  <c r="O68" i="20"/>
  <c r="D68" i="20"/>
  <c r="C68" i="20"/>
  <c r="A68" i="20"/>
  <c r="V67" i="20"/>
  <c r="U67" i="20"/>
  <c r="T67" i="20"/>
  <c r="S67" i="20"/>
  <c r="R67" i="20"/>
  <c r="Q67" i="20"/>
  <c r="P67" i="20"/>
  <c r="O67" i="20"/>
  <c r="A67" i="20"/>
  <c r="V66" i="20"/>
  <c r="U66" i="20"/>
  <c r="T66" i="20"/>
  <c r="S66" i="20"/>
  <c r="R66" i="20"/>
  <c r="Q66" i="20"/>
  <c r="P66" i="20"/>
  <c r="O66" i="20"/>
  <c r="A66" i="20"/>
  <c r="D65" i="20"/>
  <c r="C65" i="20"/>
  <c r="A65" i="20"/>
  <c r="V64" i="20"/>
  <c r="U64" i="20"/>
  <c r="T64" i="20"/>
  <c r="S64" i="20"/>
  <c r="R64" i="20"/>
  <c r="Q64" i="20"/>
  <c r="P64" i="20"/>
  <c r="O64" i="20"/>
  <c r="D64" i="20"/>
  <c r="C64" i="20"/>
  <c r="A64" i="20"/>
  <c r="V63" i="20"/>
  <c r="U63" i="20"/>
  <c r="T63" i="20"/>
  <c r="S63" i="20"/>
  <c r="R63" i="20"/>
  <c r="Q63" i="20"/>
  <c r="P63" i="20"/>
  <c r="O63" i="20"/>
  <c r="A63" i="20"/>
  <c r="V62" i="20"/>
  <c r="U62" i="20"/>
  <c r="T62" i="20"/>
  <c r="S62" i="20"/>
  <c r="R62" i="20"/>
  <c r="Q62" i="20"/>
  <c r="P62" i="20"/>
  <c r="O62" i="20"/>
  <c r="A62" i="20"/>
  <c r="V61" i="20"/>
  <c r="U61" i="20"/>
  <c r="T61" i="20"/>
  <c r="S61" i="20"/>
  <c r="R61" i="20"/>
  <c r="Q61" i="20"/>
  <c r="P61" i="20"/>
  <c r="O61" i="20"/>
  <c r="A61" i="20"/>
  <c r="V60" i="20"/>
  <c r="U60" i="20"/>
  <c r="T60" i="20"/>
  <c r="S60" i="20"/>
  <c r="R60" i="20"/>
  <c r="Q60" i="20"/>
  <c r="P60" i="20"/>
  <c r="O60" i="20"/>
  <c r="A60" i="20"/>
  <c r="V59" i="20"/>
  <c r="U59" i="20"/>
  <c r="T59" i="20"/>
  <c r="S59" i="20"/>
  <c r="R59" i="20"/>
  <c r="Q59" i="20"/>
  <c r="P59" i="20"/>
  <c r="O59" i="20"/>
  <c r="A59" i="20"/>
  <c r="V58" i="20"/>
  <c r="U58" i="20"/>
  <c r="T58" i="20"/>
  <c r="S58" i="20"/>
  <c r="R58" i="20"/>
  <c r="Q58" i="20"/>
  <c r="P58" i="20"/>
  <c r="O58" i="20"/>
  <c r="D58" i="20"/>
  <c r="C58" i="20"/>
  <c r="A58" i="20"/>
  <c r="V57" i="20"/>
  <c r="U57" i="20"/>
  <c r="T57" i="20"/>
  <c r="S57" i="20"/>
  <c r="R57" i="20"/>
  <c r="Q57" i="20"/>
  <c r="P57" i="20"/>
  <c r="O57" i="20"/>
  <c r="D57" i="20"/>
  <c r="C57" i="20"/>
  <c r="A57" i="20"/>
  <c r="V56" i="20"/>
  <c r="U56" i="20"/>
  <c r="T56" i="20"/>
  <c r="S56" i="20"/>
  <c r="R56" i="20"/>
  <c r="Q56" i="20"/>
  <c r="P56" i="20"/>
  <c r="O56" i="20"/>
  <c r="A56" i="20"/>
  <c r="V55" i="20"/>
  <c r="U55" i="20"/>
  <c r="T55" i="20"/>
  <c r="S55" i="20"/>
  <c r="R55" i="20"/>
  <c r="Q55" i="20"/>
  <c r="P55" i="20"/>
  <c r="O55" i="20"/>
  <c r="A55" i="20"/>
  <c r="V54" i="20"/>
  <c r="U54" i="20"/>
  <c r="T54" i="20"/>
  <c r="S54" i="20"/>
  <c r="R54" i="20"/>
  <c r="Q54" i="20"/>
  <c r="P54" i="20"/>
  <c r="O54" i="20"/>
  <c r="D54" i="20"/>
  <c r="C54" i="20"/>
  <c r="A54" i="20"/>
  <c r="V53" i="20"/>
  <c r="U53" i="20"/>
  <c r="T53" i="20"/>
  <c r="S53" i="20"/>
  <c r="R53" i="20"/>
  <c r="Q53" i="20"/>
  <c r="P53" i="20"/>
  <c r="O53" i="20"/>
  <c r="L53" i="20"/>
  <c r="K53" i="20"/>
  <c r="J53" i="20"/>
  <c r="I53" i="20"/>
  <c r="H53" i="20"/>
  <c r="G53" i="20"/>
  <c r="F53" i="20"/>
  <c r="E53" i="20"/>
  <c r="D53" i="20"/>
  <c r="C53" i="20"/>
  <c r="A53" i="20"/>
  <c r="V52" i="20"/>
  <c r="U52" i="20"/>
  <c r="T52" i="20"/>
  <c r="S52" i="20"/>
  <c r="R52" i="20"/>
  <c r="Q52" i="20"/>
  <c r="P52" i="20"/>
  <c r="O52" i="20"/>
  <c r="L52" i="20"/>
  <c r="K52" i="20"/>
  <c r="J52" i="20"/>
  <c r="I52" i="20"/>
  <c r="H52" i="20"/>
  <c r="G52" i="20"/>
  <c r="F52" i="20"/>
  <c r="E52" i="20"/>
  <c r="D52" i="20"/>
  <c r="C52" i="20"/>
  <c r="A52" i="20"/>
  <c r="V51" i="20"/>
  <c r="U51" i="20"/>
  <c r="T51" i="20"/>
  <c r="S51" i="20"/>
  <c r="R51" i="20"/>
  <c r="Q51" i="20"/>
  <c r="P51" i="20"/>
  <c r="O51" i="20"/>
  <c r="A51" i="20"/>
  <c r="V50" i="20"/>
  <c r="U50" i="20"/>
  <c r="T50" i="20"/>
  <c r="S50" i="20"/>
  <c r="R50" i="20"/>
  <c r="Q50" i="20"/>
  <c r="P50" i="20"/>
  <c r="O50" i="20"/>
  <c r="A50" i="20"/>
  <c r="V49" i="20"/>
  <c r="U49" i="20"/>
  <c r="T49" i="20"/>
  <c r="S49" i="20"/>
  <c r="R49" i="20"/>
  <c r="Q49" i="20"/>
  <c r="P49" i="20"/>
  <c r="O49" i="20"/>
  <c r="A49" i="20"/>
  <c r="V48" i="20"/>
  <c r="U48" i="20"/>
  <c r="T48" i="20"/>
  <c r="S48" i="20"/>
  <c r="R48" i="20"/>
  <c r="Q48" i="20"/>
  <c r="P48" i="20"/>
  <c r="O48" i="20"/>
  <c r="A48" i="20"/>
  <c r="V47" i="20"/>
  <c r="U47" i="20"/>
  <c r="T47" i="20"/>
  <c r="S47" i="20"/>
  <c r="R47" i="20"/>
  <c r="Q47" i="20"/>
  <c r="P47" i="20"/>
  <c r="O47" i="20"/>
  <c r="A47" i="20"/>
  <c r="V46" i="20"/>
  <c r="U46" i="20"/>
  <c r="T46" i="20"/>
  <c r="S46" i="20"/>
  <c r="R46" i="20"/>
  <c r="Q46" i="20"/>
  <c r="P46" i="20"/>
  <c r="O46" i="20"/>
  <c r="A46" i="20"/>
  <c r="V45" i="20"/>
  <c r="U45" i="20"/>
  <c r="T45" i="20"/>
  <c r="S45" i="20"/>
  <c r="R45" i="20"/>
  <c r="Q45" i="20"/>
  <c r="P45" i="20"/>
  <c r="O45" i="20"/>
  <c r="A45" i="20"/>
  <c r="V44" i="20"/>
  <c r="U44" i="20"/>
  <c r="T44" i="20"/>
  <c r="S44" i="20"/>
  <c r="R44" i="20"/>
  <c r="Q44" i="20"/>
  <c r="P44" i="20"/>
  <c r="O44" i="20"/>
  <c r="A44" i="20"/>
  <c r="V43" i="20"/>
  <c r="U43" i="20"/>
  <c r="T43" i="20"/>
  <c r="S43" i="20"/>
  <c r="R43" i="20"/>
  <c r="Q43" i="20"/>
  <c r="P43" i="20"/>
  <c r="O43" i="20"/>
  <c r="L43" i="20"/>
  <c r="K43" i="20"/>
  <c r="J43" i="20"/>
  <c r="I43" i="20"/>
  <c r="H43" i="20"/>
  <c r="G43" i="20"/>
  <c r="F43" i="20"/>
  <c r="E43" i="20"/>
  <c r="D43" i="20"/>
  <c r="C43" i="20"/>
  <c r="A43" i="20"/>
  <c r="V42" i="20"/>
  <c r="U42" i="20"/>
  <c r="T42" i="20"/>
  <c r="S42" i="20"/>
  <c r="R42" i="20"/>
  <c r="Q42" i="20"/>
  <c r="P42" i="20"/>
  <c r="O42" i="20"/>
  <c r="L42" i="20"/>
  <c r="K42" i="20"/>
  <c r="J42" i="20"/>
  <c r="I42" i="20"/>
  <c r="H42" i="20"/>
  <c r="G42" i="20"/>
  <c r="F42" i="20"/>
  <c r="E42" i="20"/>
  <c r="D42" i="20"/>
  <c r="C42" i="20"/>
  <c r="A42" i="20"/>
  <c r="V41" i="20"/>
  <c r="U41" i="20"/>
  <c r="T41" i="20"/>
  <c r="S41" i="20"/>
  <c r="R41" i="20"/>
  <c r="Q41" i="20"/>
  <c r="P41" i="20"/>
  <c r="O41" i="20"/>
  <c r="L41" i="20"/>
  <c r="K41" i="20"/>
  <c r="J41" i="20"/>
  <c r="I41" i="20"/>
  <c r="H41" i="20"/>
  <c r="G41" i="20"/>
  <c r="F41" i="20"/>
  <c r="E41" i="20"/>
  <c r="D41" i="20"/>
  <c r="C41" i="20"/>
  <c r="A41" i="20"/>
  <c r="V40" i="20"/>
  <c r="U40" i="20"/>
  <c r="T40" i="20"/>
  <c r="S40" i="20"/>
  <c r="R40" i="20"/>
  <c r="Q40" i="20"/>
  <c r="P40" i="20"/>
  <c r="O40" i="20"/>
  <c r="A40" i="20"/>
  <c r="V39" i="20"/>
  <c r="U39" i="20"/>
  <c r="T39" i="20"/>
  <c r="S39" i="20"/>
  <c r="R39" i="20"/>
  <c r="Q39" i="20"/>
  <c r="P39" i="20"/>
  <c r="O39" i="20"/>
  <c r="L39" i="20"/>
  <c r="K39" i="20"/>
  <c r="J39" i="20"/>
  <c r="I39" i="20"/>
  <c r="H39" i="20"/>
  <c r="G39" i="20"/>
  <c r="F39" i="20"/>
  <c r="E39" i="20"/>
  <c r="D39" i="20"/>
  <c r="C39" i="20"/>
  <c r="A39" i="20"/>
  <c r="V38" i="20"/>
  <c r="U38" i="20"/>
  <c r="T38" i="20"/>
  <c r="S38" i="20"/>
  <c r="R38" i="20"/>
  <c r="Q38" i="20"/>
  <c r="P38" i="20"/>
  <c r="O38" i="20"/>
  <c r="A38" i="20"/>
  <c r="V37" i="20"/>
  <c r="U37" i="20"/>
  <c r="T37" i="20"/>
  <c r="S37" i="20"/>
  <c r="R37" i="20"/>
  <c r="Q37" i="20"/>
  <c r="P37" i="20"/>
  <c r="O37" i="20"/>
  <c r="L37" i="20"/>
  <c r="K37" i="20"/>
  <c r="J37" i="20"/>
  <c r="I37" i="20"/>
  <c r="H37" i="20"/>
  <c r="G37" i="20"/>
  <c r="F37" i="20"/>
  <c r="E37" i="20"/>
  <c r="D37" i="20"/>
  <c r="C37" i="20"/>
  <c r="A37" i="20"/>
  <c r="V36" i="20"/>
  <c r="U36" i="20"/>
  <c r="T36" i="20"/>
  <c r="S36" i="20"/>
  <c r="R36" i="20"/>
  <c r="Q36" i="20"/>
  <c r="P36" i="20"/>
  <c r="O36" i="20"/>
  <c r="C36" i="20"/>
  <c r="A36" i="20"/>
  <c r="V35" i="20"/>
  <c r="U35" i="20"/>
  <c r="T35" i="20"/>
  <c r="S35" i="20"/>
  <c r="R35" i="20"/>
  <c r="Q35" i="20"/>
  <c r="P35" i="20"/>
  <c r="O35" i="20"/>
  <c r="A35" i="20"/>
  <c r="V34" i="20"/>
  <c r="U34" i="20"/>
  <c r="T34" i="20"/>
  <c r="S34" i="20"/>
  <c r="R34" i="20"/>
  <c r="Q34" i="20"/>
  <c r="P34" i="20"/>
  <c r="O34" i="20"/>
  <c r="L34" i="20"/>
  <c r="K34" i="20"/>
  <c r="J34" i="20"/>
  <c r="I34" i="20"/>
  <c r="H34" i="20"/>
  <c r="G34" i="20"/>
  <c r="F34" i="20"/>
  <c r="E34" i="20"/>
  <c r="D34" i="20"/>
  <c r="C34" i="20"/>
  <c r="A34" i="20"/>
  <c r="V33" i="20"/>
  <c r="U33" i="20"/>
  <c r="T33" i="20"/>
  <c r="S33" i="20"/>
  <c r="R33" i="20"/>
  <c r="Q33" i="20"/>
  <c r="P33" i="20"/>
  <c r="O33" i="20"/>
  <c r="L33" i="20"/>
  <c r="K33" i="20"/>
  <c r="J33" i="20"/>
  <c r="I33" i="20"/>
  <c r="H33" i="20"/>
  <c r="G33" i="20"/>
  <c r="F33" i="20"/>
  <c r="E33" i="20"/>
  <c r="T32" i="20"/>
  <c r="S32" i="20"/>
  <c r="V31" i="20"/>
  <c r="U31" i="20"/>
  <c r="T31" i="20"/>
  <c r="S31" i="20"/>
  <c r="R31" i="20"/>
  <c r="Q31" i="20"/>
  <c r="P31" i="20"/>
  <c r="O31" i="20"/>
  <c r="N31" i="20"/>
  <c r="M31" i="20"/>
  <c r="J20" i="20"/>
  <c r="I20" i="20"/>
  <c r="H20" i="20"/>
  <c r="G20" i="20"/>
  <c r="J19" i="20"/>
  <c r="I19" i="20"/>
  <c r="H19" i="20"/>
  <c r="G19" i="20"/>
  <c r="J18" i="20"/>
  <c r="I18" i="20"/>
  <c r="H18" i="20"/>
  <c r="G18" i="20"/>
  <c r="J17" i="20"/>
  <c r="I17" i="20"/>
  <c r="H17" i="20"/>
  <c r="G17" i="20"/>
  <c r="J16" i="20"/>
  <c r="I16" i="20"/>
  <c r="H16" i="20"/>
  <c r="G16" i="20"/>
  <c r="J15" i="20"/>
  <c r="I15" i="20"/>
  <c r="H15" i="20"/>
  <c r="G15" i="20"/>
  <c r="J14" i="20"/>
  <c r="I14" i="20"/>
  <c r="H14" i="20"/>
  <c r="G14" i="20"/>
  <c r="J13" i="20"/>
  <c r="I13" i="20"/>
  <c r="H13" i="20"/>
  <c r="G13" i="20"/>
  <c r="J12" i="20"/>
  <c r="H12" i="20"/>
  <c r="G12" i="20"/>
  <c r="J11" i="20"/>
  <c r="H11" i="20"/>
  <c r="G11" i="20"/>
  <c r="E7" i="20"/>
  <c r="B7" i="20"/>
  <c r="F139" i="16"/>
  <c r="E139" i="16"/>
  <c r="D139" i="16"/>
  <c r="C139" i="16"/>
  <c r="G138" i="16"/>
  <c r="F138" i="16"/>
  <c r="E138" i="16"/>
  <c r="D138" i="16"/>
  <c r="C138" i="16"/>
  <c r="G137" i="16"/>
  <c r="F137" i="16"/>
  <c r="E137" i="16"/>
  <c r="D137" i="16"/>
  <c r="C137" i="16"/>
  <c r="V103" i="16"/>
  <c r="U103" i="16"/>
  <c r="T103" i="16"/>
  <c r="S103" i="16"/>
  <c r="R103" i="16"/>
  <c r="Q103" i="16"/>
  <c r="P103" i="16"/>
  <c r="O103" i="16"/>
  <c r="N103" i="16"/>
  <c r="A103" i="16"/>
  <c r="V102" i="16"/>
  <c r="U102" i="16"/>
  <c r="T102" i="16"/>
  <c r="S102" i="16"/>
  <c r="R102" i="16"/>
  <c r="Q102" i="16"/>
  <c r="P102" i="16"/>
  <c r="O102" i="16"/>
  <c r="N102" i="16"/>
  <c r="A102" i="16"/>
  <c r="V101" i="16"/>
  <c r="U101" i="16"/>
  <c r="T101" i="16"/>
  <c r="S101" i="16"/>
  <c r="R101" i="16"/>
  <c r="Q101" i="16"/>
  <c r="P101" i="16"/>
  <c r="O101" i="16"/>
  <c r="N101" i="16"/>
  <c r="A101" i="16"/>
  <c r="V100" i="16"/>
  <c r="U100" i="16"/>
  <c r="T100" i="16"/>
  <c r="S100" i="16"/>
  <c r="R100" i="16"/>
  <c r="Q100" i="16"/>
  <c r="P100" i="16"/>
  <c r="O100" i="16"/>
  <c r="N100" i="16"/>
  <c r="A100" i="16"/>
  <c r="V99" i="16"/>
  <c r="U99" i="16"/>
  <c r="T99" i="16"/>
  <c r="S99" i="16"/>
  <c r="R99" i="16"/>
  <c r="Q99" i="16"/>
  <c r="P99" i="16"/>
  <c r="O99" i="16"/>
  <c r="N99" i="16"/>
  <c r="A99" i="16"/>
  <c r="V98" i="16"/>
  <c r="U98" i="16"/>
  <c r="T98" i="16"/>
  <c r="S98" i="16"/>
  <c r="R98" i="16"/>
  <c r="Q98" i="16"/>
  <c r="P98" i="16"/>
  <c r="O98" i="16"/>
  <c r="N98" i="16"/>
  <c r="A98" i="16"/>
  <c r="V97" i="16"/>
  <c r="U97" i="16"/>
  <c r="T97" i="16"/>
  <c r="S97" i="16"/>
  <c r="R97" i="16"/>
  <c r="Q97" i="16"/>
  <c r="P97" i="16"/>
  <c r="O97" i="16"/>
  <c r="N97" i="16"/>
  <c r="A97" i="16"/>
  <c r="V96" i="16"/>
  <c r="U96" i="16"/>
  <c r="T96" i="16"/>
  <c r="S96" i="16"/>
  <c r="R96" i="16"/>
  <c r="Q96" i="16"/>
  <c r="P96" i="16"/>
  <c r="O96" i="16"/>
  <c r="N96" i="16"/>
  <c r="A96" i="16"/>
  <c r="V95" i="16"/>
  <c r="U95" i="16"/>
  <c r="T95" i="16"/>
  <c r="S95" i="16"/>
  <c r="R95" i="16"/>
  <c r="Q95" i="16"/>
  <c r="P95" i="16"/>
  <c r="O95" i="16"/>
  <c r="N95" i="16"/>
  <c r="A95" i="16"/>
  <c r="V94" i="16"/>
  <c r="U94" i="16"/>
  <c r="T94" i="16"/>
  <c r="S94" i="16"/>
  <c r="R94" i="16"/>
  <c r="Q94" i="16"/>
  <c r="P94" i="16"/>
  <c r="O94" i="16"/>
  <c r="N94" i="16"/>
  <c r="A94" i="16"/>
  <c r="V93" i="16"/>
  <c r="U93" i="16"/>
  <c r="T93" i="16"/>
  <c r="S93" i="16"/>
  <c r="R93" i="16"/>
  <c r="Q93" i="16"/>
  <c r="P93" i="16"/>
  <c r="O93" i="16"/>
  <c r="N93" i="16"/>
  <c r="A93" i="16"/>
  <c r="V92" i="16"/>
  <c r="U92" i="16"/>
  <c r="T92" i="16"/>
  <c r="S92" i="16"/>
  <c r="R92" i="16"/>
  <c r="Q92" i="16"/>
  <c r="P92" i="16"/>
  <c r="O92" i="16"/>
  <c r="N92" i="16"/>
  <c r="A92" i="16"/>
  <c r="V91" i="16"/>
  <c r="U91" i="16"/>
  <c r="T91" i="16"/>
  <c r="S91" i="16"/>
  <c r="R91" i="16"/>
  <c r="Q91" i="16"/>
  <c r="P91" i="16"/>
  <c r="O91" i="16"/>
  <c r="N91" i="16"/>
  <c r="A91" i="16"/>
  <c r="V90" i="16"/>
  <c r="U90" i="16"/>
  <c r="T90" i="16"/>
  <c r="S90" i="16"/>
  <c r="R90" i="16"/>
  <c r="Q90" i="16"/>
  <c r="P90" i="16"/>
  <c r="O90" i="16"/>
  <c r="N90" i="16"/>
  <c r="A90" i="16"/>
  <c r="V89" i="16"/>
  <c r="U89" i="16"/>
  <c r="T89" i="16"/>
  <c r="S89" i="16"/>
  <c r="R89" i="16"/>
  <c r="Q89" i="16"/>
  <c r="P89" i="16"/>
  <c r="O89" i="16"/>
  <c r="N89" i="16"/>
  <c r="A89" i="16"/>
  <c r="V88" i="16"/>
  <c r="U88" i="16"/>
  <c r="T88" i="16"/>
  <c r="S88" i="16"/>
  <c r="R88" i="16"/>
  <c r="Q88" i="16"/>
  <c r="P88" i="16"/>
  <c r="O88" i="16"/>
  <c r="N88" i="16"/>
  <c r="A88" i="16"/>
  <c r="V87" i="16"/>
  <c r="U87" i="16"/>
  <c r="T87" i="16"/>
  <c r="S87" i="16"/>
  <c r="R87" i="16"/>
  <c r="Q87" i="16"/>
  <c r="P87" i="16"/>
  <c r="O87" i="16"/>
  <c r="N87" i="16"/>
  <c r="A87" i="16"/>
  <c r="V86" i="16"/>
  <c r="U86" i="16"/>
  <c r="T86" i="16"/>
  <c r="S86" i="16"/>
  <c r="R86" i="16"/>
  <c r="Q86" i="16"/>
  <c r="P86" i="16"/>
  <c r="O86" i="16"/>
  <c r="N86" i="16"/>
  <c r="A86" i="16"/>
  <c r="V85" i="16"/>
  <c r="U85" i="16"/>
  <c r="T85" i="16"/>
  <c r="S85" i="16"/>
  <c r="R85" i="16"/>
  <c r="Q85" i="16"/>
  <c r="P85" i="16"/>
  <c r="O85" i="16"/>
  <c r="N85" i="16"/>
  <c r="A85" i="16"/>
  <c r="V84" i="16"/>
  <c r="U84" i="16"/>
  <c r="T84" i="16"/>
  <c r="S84" i="16"/>
  <c r="R84" i="16"/>
  <c r="Q84" i="16"/>
  <c r="P84" i="16"/>
  <c r="O84" i="16"/>
  <c r="N84" i="16"/>
  <c r="A84" i="16"/>
  <c r="V83" i="16"/>
  <c r="U83" i="16"/>
  <c r="T83" i="16"/>
  <c r="S83" i="16"/>
  <c r="R83" i="16"/>
  <c r="Q83" i="16"/>
  <c r="P83" i="16"/>
  <c r="O83" i="16"/>
  <c r="N83" i="16"/>
  <c r="A83" i="16"/>
  <c r="V82" i="16"/>
  <c r="U82" i="16"/>
  <c r="T82" i="16"/>
  <c r="S82" i="16"/>
  <c r="R82" i="16"/>
  <c r="Q82" i="16"/>
  <c r="P82" i="16"/>
  <c r="O82" i="16"/>
  <c r="N82" i="16"/>
  <c r="L82" i="16"/>
  <c r="K82" i="16"/>
  <c r="J82" i="16"/>
  <c r="I82" i="16"/>
  <c r="H82" i="16"/>
  <c r="G82" i="16"/>
  <c r="F82" i="16"/>
  <c r="A82" i="16"/>
  <c r="V81" i="16"/>
  <c r="U81" i="16"/>
  <c r="T81" i="16"/>
  <c r="S81" i="16"/>
  <c r="R81" i="16"/>
  <c r="Q81" i="16"/>
  <c r="P81" i="16"/>
  <c r="O81" i="16"/>
  <c r="N81" i="16"/>
  <c r="A81" i="16"/>
  <c r="V80" i="16"/>
  <c r="U80" i="16"/>
  <c r="T80" i="16"/>
  <c r="S80" i="16"/>
  <c r="R80" i="16"/>
  <c r="Q80" i="16"/>
  <c r="P80" i="16"/>
  <c r="O80" i="16"/>
  <c r="N80" i="16"/>
  <c r="A80" i="16"/>
  <c r="V79" i="16"/>
  <c r="U79" i="16"/>
  <c r="T79" i="16"/>
  <c r="S79" i="16"/>
  <c r="R79" i="16"/>
  <c r="Q79" i="16"/>
  <c r="P79" i="16"/>
  <c r="O79" i="16"/>
  <c r="N79" i="16"/>
  <c r="A79" i="16"/>
  <c r="V78" i="16"/>
  <c r="U78" i="16"/>
  <c r="T78" i="16"/>
  <c r="S78" i="16"/>
  <c r="R78" i="16"/>
  <c r="Q78" i="16"/>
  <c r="P78" i="16"/>
  <c r="O78" i="16"/>
  <c r="N78" i="16"/>
  <c r="A78" i="16"/>
  <c r="V77" i="16"/>
  <c r="U77" i="16"/>
  <c r="T77" i="16"/>
  <c r="S77" i="16"/>
  <c r="R77" i="16"/>
  <c r="Q77" i="16"/>
  <c r="P77" i="16"/>
  <c r="O77" i="16"/>
  <c r="N77" i="16"/>
  <c r="A77" i="16"/>
  <c r="V76" i="16"/>
  <c r="U76" i="16"/>
  <c r="T76" i="16"/>
  <c r="S76" i="16"/>
  <c r="R76" i="16"/>
  <c r="Q76" i="16"/>
  <c r="P76" i="16"/>
  <c r="O76" i="16"/>
  <c r="N76" i="16"/>
  <c r="A76" i="16"/>
  <c r="V75" i="16"/>
  <c r="U75" i="16"/>
  <c r="T75" i="16"/>
  <c r="S75" i="16"/>
  <c r="R75" i="16"/>
  <c r="Q75" i="16"/>
  <c r="P75" i="16"/>
  <c r="O75" i="16"/>
  <c r="N75" i="16"/>
  <c r="A75" i="16"/>
  <c r="V74" i="16"/>
  <c r="U74" i="16"/>
  <c r="T74" i="16"/>
  <c r="S74" i="16"/>
  <c r="R74" i="16"/>
  <c r="Q74" i="16"/>
  <c r="P74" i="16"/>
  <c r="O74" i="16"/>
  <c r="N74" i="16"/>
  <c r="A74" i="16"/>
  <c r="V73" i="16"/>
  <c r="U73" i="16"/>
  <c r="T73" i="16"/>
  <c r="S73" i="16"/>
  <c r="R73" i="16"/>
  <c r="Q73" i="16"/>
  <c r="P73" i="16"/>
  <c r="O73" i="16"/>
  <c r="N73" i="16"/>
  <c r="A73" i="16"/>
  <c r="V72" i="16"/>
  <c r="U72" i="16"/>
  <c r="T72" i="16"/>
  <c r="S72" i="16"/>
  <c r="R72" i="16"/>
  <c r="Q72" i="16"/>
  <c r="P72" i="16"/>
  <c r="O72" i="16"/>
  <c r="N72" i="16"/>
  <c r="A72" i="16"/>
  <c r="V71" i="16"/>
  <c r="U71" i="16"/>
  <c r="T71" i="16"/>
  <c r="S71" i="16"/>
  <c r="R71" i="16"/>
  <c r="Q71" i="16"/>
  <c r="P71" i="16"/>
  <c r="O71" i="16"/>
  <c r="N71" i="16"/>
  <c r="L71" i="16"/>
  <c r="K71" i="16"/>
  <c r="J71" i="16"/>
  <c r="I71" i="16"/>
  <c r="H71" i="16"/>
  <c r="G71" i="16"/>
  <c r="F71" i="16"/>
  <c r="E71" i="16"/>
  <c r="D71" i="16"/>
  <c r="C71" i="16"/>
  <c r="A71" i="16"/>
  <c r="V70" i="16"/>
  <c r="U70" i="16"/>
  <c r="T70" i="16"/>
  <c r="S70" i="16"/>
  <c r="R70" i="16"/>
  <c r="Q70" i="16"/>
  <c r="P70" i="16"/>
  <c r="O70" i="16"/>
  <c r="N70" i="16"/>
  <c r="A70" i="16"/>
  <c r="L69" i="16"/>
  <c r="K69" i="16"/>
  <c r="J69" i="16"/>
  <c r="I69" i="16"/>
  <c r="H69" i="16"/>
  <c r="G69" i="16"/>
  <c r="F69" i="16"/>
  <c r="E69" i="16"/>
  <c r="D69" i="16"/>
  <c r="C69" i="16"/>
  <c r="A69" i="16"/>
  <c r="V68" i="16"/>
  <c r="U68" i="16"/>
  <c r="T68" i="16"/>
  <c r="S68" i="16"/>
  <c r="R68" i="16"/>
  <c r="Q68" i="16"/>
  <c r="P68" i="16"/>
  <c r="O68" i="16"/>
  <c r="N68" i="16"/>
  <c r="C68" i="16"/>
  <c r="A68" i="16"/>
  <c r="V67" i="16"/>
  <c r="U67" i="16"/>
  <c r="T67" i="16"/>
  <c r="S67" i="16"/>
  <c r="R67" i="16"/>
  <c r="Q67" i="16"/>
  <c r="P67" i="16"/>
  <c r="O67" i="16"/>
  <c r="N67" i="16"/>
  <c r="A67" i="16"/>
  <c r="V66" i="16"/>
  <c r="U66" i="16"/>
  <c r="T66" i="16"/>
  <c r="S66" i="16"/>
  <c r="R66" i="16"/>
  <c r="Q66" i="16"/>
  <c r="P66" i="16"/>
  <c r="O66" i="16"/>
  <c r="N66" i="16"/>
  <c r="A66" i="16"/>
  <c r="C65" i="16"/>
  <c r="A65" i="16"/>
  <c r="V64" i="16"/>
  <c r="U64" i="16"/>
  <c r="T64" i="16"/>
  <c r="S64" i="16"/>
  <c r="R64" i="16"/>
  <c r="Q64" i="16"/>
  <c r="P64" i="16"/>
  <c r="O64" i="16"/>
  <c r="N64" i="16"/>
  <c r="C64" i="16"/>
  <c r="A64" i="16"/>
  <c r="V63" i="16"/>
  <c r="U63" i="16"/>
  <c r="T63" i="16"/>
  <c r="S63" i="16"/>
  <c r="R63" i="16"/>
  <c r="Q63" i="16"/>
  <c r="P63" i="16"/>
  <c r="O63" i="16"/>
  <c r="N63" i="16"/>
  <c r="A63" i="16"/>
  <c r="V62" i="16"/>
  <c r="U62" i="16"/>
  <c r="T62" i="16"/>
  <c r="S62" i="16"/>
  <c r="R62" i="16"/>
  <c r="Q62" i="16"/>
  <c r="P62" i="16"/>
  <c r="O62" i="16"/>
  <c r="N62" i="16"/>
  <c r="A62" i="16"/>
  <c r="V61" i="16"/>
  <c r="U61" i="16"/>
  <c r="T61" i="16"/>
  <c r="S61" i="16"/>
  <c r="R61" i="16"/>
  <c r="Q61" i="16"/>
  <c r="P61" i="16"/>
  <c r="O61" i="16"/>
  <c r="N61" i="16"/>
  <c r="A61" i="16"/>
  <c r="V60" i="16"/>
  <c r="U60" i="16"/>
  <c r="T60" i="16"/>
  <c r="S60" i="16"/>
  <c r="R60" i="16"/>
  <c r="Q60" i="16"/>
  <c r="P60" i="16"/>
  <c r="O60" i="16"/>
  <c r="N60" i="16"/>
  <c r="A60" i="16"/>
  <c r="V59" i="16"/>
  <c r="U59" i="16"/>
  <c r="T59" i="16"/>
  <c r="S59" i="16"/>
  <c r="R59" i="16"/>
  <c r="Q59" i="16"/>
  <c r="P59" i="16"/>
  <c r="O59" i="16"/>
  <c r="N59" i="16"/>
  <c r="A59" i="16"/>
  <c r="V58" i="16"/>
  <c r="U58" i="16"/>
  <c r="T58" i="16"/>
  <c r="S58" i="16"/>
  <c r="R58" i="16"/>
  <c r="Q58" i="16"/>
  <c r="P58" i="16"/>
  <c r="O58" i="16"/>
  <c r="N58" i="16"/>
  <c r="C58" i="16"/>
  <c r="A58" i="16"/>
  <c r="V57" i="16"/>
  <c r="U57" i="16"/>
  <c r="T57" i="16"/>
  <c r="S57" i="16"/>
  <c r="R57" i="16"/>
  <c r="Q57" i="16"/>
  <c r="P57" i="16"/>
  <c r="O57" i="16"/>
  <c r="N57" i="16"/>
  <c r="C57" i="16"/>
  <c r="A57" i="16"/>
  <c r="V56" i="16"/>
  <c r="U56" i="16"/>
  <c r="T56" i="16"/>
  <c r="S56" i="16"/>
  <c r="R56" i="16"/>
  <c r="Q56" i="16"/>
  <c r="P56" i="16"/>
  <c r="O56" i="16"/>
  <c r="N56" i="16"/>
  <c r="A56" i="16"/>
  <c r="V55" i="16"/>
  <c r="U55" i="16"/>
  <c r="T55" i="16"/>
  <c r="S55" i="16"/>
  <c r="R55" i="16"/>
  <c r="Q55" i="16"/>
  <c r="P55" i="16"/>
  <c r="O55" i="16"/>
  <c r="N55" i="16"/>
  <c r="A55" i="16"/>
  <c r="V54" i="16"/>
  <c r="U54" i="16"/>
  <c r="T54" i="16"/>
  <c r="S54" i="16"/>
  <c r="R54" i="16"/>
  <c r="Q54" i="16"/>
  <c r="P54" i="16"/>
  <c r="O54" i="16"/>
  <c r="N54" i="16"/>
  <c r="C54" i="16"/>
  <c r="A54" i="16"/>
  <c r="V53" i="16"/>
  <c r="U53" i="16"/>
  <c r="T53" i="16"/>
  <c r="S53" i="16"/>
  <c r="R53" i="16"/>
  <c r="Q53" i="16"/>
  <c r="P53" i="16"/>
  <c r="O53" i="16"/>
  <c r="N53" i="16"/>
  <c r="L53" i="16"/>
  <c r="K53" i="16"/>
  <c r="J53" i="16"/>
  <c r="I53" i="16"/>
  <c r="H53" i="16"/>
  <c r="G53" i="16"/>
  <c r="F53" i="16"/>
  <c r="E53" i="16"/>
  <c r="D53" i="16"/>
  <c r="C53" i="16"/>
  <c r="A53" i="16"/>
  <c r="V52" i="16"/>
  <c r="U52" i="16"/>
  <c r="T52" i="16"/>
  <c r="S52" i="16"/>
  <c r="R52" i="16"/>
  <c r="Q52" i="16"/>
  <c r="P52" i="16"/>
  <c r="O52" i="16"/>
  <c r="N52" i="16"/>
  <c r="L52" i="16"/>
  <c r="K52" i="16"/>
  <c r="J52" i="16"/>
  <c r="I52" i="16"/>
  <c r="H52" i="16"/>
  <c r="G52" i="16"/>
  <c r="F52" i="16"/>
  <c r="E52" i="16"/>
  <c r="D52" i="16"/>
  <c r="C52" i="16"/>
  <c r="A52" i="16"/>
  <c r="V51" i="16"/>
  <c r="U51" i="16"/>
  <c r="T51" i="16"/>
  <c r="S51" i="16"/>
  <c r="R51" i="16"/>
  <c r="Q51" i="16"/>
  <c r="P51" i="16"/>
  <c r="O51" i="16"/>
  <c r="N51" i="16"/>
  <c r="A51" i="16"/>
  <c r="V50" i="16"/>
  <c r="U50" i="16"/>
  <c r="T50" i="16"/>
  <c r="S50" i="16"/>
  <c r="R50" i="16"/>
  <c r="Q50" i="16"/>
  <c r="P50" i="16"/>
  <c r="O50" i="16"/>
  <c r="N50" i="16"/>
  <c r="A50" i="16"/>
  <c r="V49" i="16"/>
  <c r="U49" i="16"/>
  <c r="T49" i="16"/>
  <c r="S49" i="16"/>
  <c r="R49" i="16"/>
  <c r="Q49" i="16"/>
  <c r="P49" i="16"/>
  <c r="O49" i="16"/>
  <c r="N49" i="16"/>
  <c r="A49" i="16"/>
  <c r="V48" i="16"/>
  <c r="U48" i="16"/>
  <c r="T48" i="16"/>
  <c r="S48" i="16"/>
  <c r="R48" i="16"/>
  <c r="Q48" i="16"/>
  <c r="P48" i="16"/>
  <c r="O48" i="16"/>
  <c r="N48" i="16"/>
  <c r="A48" i="16"/>
  <c r="V47" i="16"/>
  <c r="U47" i="16"/>
  <c r="T47" i="16"/>
  <c r="S47" i="16"/>
  <c r="R47" i="16"/>
  <c r="Q47" i="16"/>
  <c r="P47" i="16"/>
  <c r="O47" i="16"/>
  <c r="N47" i="16"/>
  <c r="A47" i="16"/>
  <c r="V46" i="16"/>
  <c r="U46" i="16"/>
  <c r="T46" i="16"/>
  <c r="S46" i="16"/>
  <c r="R46" i="16"/>
  <c r="Q46" i="16"/>
  <c r="P46" i="16"/>
  <c r="O46" i="16"/>
  <c r="N46" i="16"/>
  <c r="A46" i="16"/>
  <c r="V45" i="16"/>
  <c r="U45" i="16"/>
  <c r="T45" i="16"/>
  <c r="S45" i="16"/>
  <c r="R45" i="16"/>
  <c r="Q45" i="16"/>
  <c r="P45" i="16"/>
  <c r="O45" i="16"/>
  <c r="N45" i="16"/>
  <c r="A45" i="16"/>
  <c r="V44" i="16"/>
  <c r="U44" i="16"/>
  <c r="T44" i="16"/>
  <c r="S44" i="16"/>
  <c r="R44" i="16"/>
  <c r="Q44" i="16"/>
  <c r="P44" i="16"/>
  <c r="O44" i="16"/>
  <c r="N44" i="16"/>
  <c r="A44" i="16"/>
  <c r="V43" i="16"/>
  <c r="U43" i="16"/>
  <c r="T43" i="16"/>
  <c r="S43" i="16"/>
  <c r="R43" i="16"/>
  <c r="Q43" i="16"/>
  <c r="P43" i="16"/>
  <c r="O43" i="16"/>
  <c r="N43" i="16"/>
  <c r="L43" i="16"/>
  <c r="K43" i="16"/>
  <c r="J43" i="16"/>
  <c r="I43" i="16"/>
  <c r="H43" i="16"/>
  <c r="G43" i="16"/>
  <c r="F43" i="16"/>
  <c r="E43" i="16"/>
  <c r="D43" i="16"/>
  <c r="C43" i="16"/>
  <c r="A43" i="16"/>
  <c r="V42" i="16"/>
  <c r="U42" i="16"/>
  <c r="T42" i="16"/>
  <c r="S42" i="16"/>
  <c r="R42" i="16"/>
  <c r="Q42" i="16"/>
  <c r="P42" i="16"/>
  <c r="O42" i="16"/>
  <c r="N42" i="16"/>
  <c r="L42" i="16"/>
  <c r="K42" i="16"/>
  <c r="J42" i="16"/>
  <c r="I42" i="16"/>
  <c r="H42" i="16"/>
  <c r="G42" i="16"/>
  <c r="F42" i="16"/>
  <c r="E42" i="16"/>
  <c r="D42" i="16"/>
  <c r="C42" i="16"/>
  <c r="A42" i="16"/>
  <c r="V41" i="16"/>
  <c r="U41" i="16"/>
  <c r="T41" i="16"/>
  <c r="S41" i="16"/>
  <c r="R41" i="16"/>
  <c r="Q41" i="16"/>
  <c r="P41" i="16"/>
  <c r="O41" i="16"/>
  <c r="N41" i="16"/>
  <c r="L41" i="16"/>
  <c r="K41" i="16"/>
  <c r="J41" i="16"/>
  <c r="I41" i="16"/>
  <c r="H41" i="16"/>
  <c r="G41" i="16"/>
  <c r="F41" i="16"/>
  <c r="E41" i="16"/>
  <c r="D41" i="16"/>
  <c r="C41" i="16"/>
  <c r="A41" i="16"/>
  <c r="V40" i="16"/>
  <c r="U40" i="16"/>
  <c r="T40" i="16"/>
  <c r="S40" i="16"/>
  <c r="R40" i="16"/>
  <c r="Q40" i="16"/>
  <c r="P40" i="16"/>
  <c r="O40" i="16"/>
  <c r="N40" i="16"/>
  <c r="A40" i="16"/>
  <c r="V39" i="16"/>
  <c r="U39" i="16"/>
  <c r="T39" i="16"/>
  <c r="S39" i="16"/>
  <c r="R39" i="16"/>
  <c r="Q39" i="16"/>
  <c r="P39" i="16"/>
  <c r="O39" i="16"/>
  <c r="N39" i="16"/>
  <c r="L39" i="16"/>
  <c r="K39" i="16"/>
  <c r="J39" i="16"/>
  <c r="I39" i="16"/>
  <c r="H39" i="16"/>
  <c r="G39" i="16"/>
  <c r="F39" i="16"/>
  <c r="E39" i="16"/>
  <c r="C39" i="16"/>
  <c r="A39" i="16"/>
  <c r="V38" i="16"/>
  <c r="U38" i="16"/>
  <c r="T38" i="16"/>
  <c r="S38" i="16"/>
  <c r="R38" i="16"/>
  <c r="Q38" i="16"/>
  <c r="P38" i="16"/>
  <c r="O38" i="16"/>
  <c r="N38" i="16"/>
  <c r="A38" i="16"/>
  <c r="V37" i="16"/>
  <c r="U37" i="16"/>
  <c r="T37" i="16"/>
  <c r="S37" i="16"/>
  <c r="R37" i="16"/>
  <c r="Q37" i="16"/>
  <c r="P37" i="16"/>
  <c r="O37" i="16"/>
  <c r="N37" i="16"/>
  <c r="L37" i="16"/>
  <c r="K37" i="16"/>
  <c r="J37" i="16"/>
  <c r="I37" i="16"/>
  <c r="H37" i="16"/>
  <c r="G37" i="16"/>
  <c r="F37" i="16"/>
  <c r="E37" i="16"/>
  <c r="D37" i="16"/>
  <c r="C37" i="16"/>
  <c r="A37" i="16"/>
  <c r="V36" i="16"/>
  <c r="U36" i="16"/>
  <c r="T36" i="16"/>
  <c r="S36" i="16"/>
  <c r="R36" i="16"/>
  <c r="Q36" i="16"/>
  <c r="P36" i="16"/>
  <c r="O36" i="16"/>
  <c r="N36" i="16"/>
  <c r="C36" i="16"/>
  <c r="A36" i="16"/>
  <c r="V35" i="16"/>
  <c r="U35" i="16"/>
  <c r="T35" i="16"/>
  <c r="S35" i="16"/>
  <c r="R35" i="16"/>
  <c r="Q35" i="16"/>
  <c r="P35" i="16"/>
  <c r="O35" i="16"/>
  <c r="N35" i="16"/>
  <c r="A35" i="16"/>
  <c r="V34" i="16"/>
  <c r="U34" i="16"/>
  <c r="T34" i="16"/>
  <c r="S34" i="16"/>
  <c r="R34" i="16"/>
  <c r="Q34" i="16"/>
  <c r="P34" i="16"/>
  <c r="O34" i="16"/>
  <c r="N34" i="16"/>
  <c r="L34" i="16"/>
  <c r="K34" i="16"/>
  <c r="J34" i="16"/>
  <c r="I34" i="16"/>
  <c r="H34" i="16"/>
  <c r="G34" i="16"/>
  <c r="F34" i="16"/>
  <c r="E34" i="16"/>
  <c r="D34" i="16"/>
  <c r="C34" i="16"/>
  <c r="A34" i="16"/>
  <c r="V33" i="16"/>
  <c r="U33" i="16"/>
  <c r="T33" i="16"/>
  <c r="S33" i="16"/>
  <c r="R33" i="16"/>
  <c r="Q33" i="16"/>
  <c r="P33" i="16"/>
  <c r="O33" i="16"/>
  <c r="N33" i="16"/>
  <c r="L33" i="16"/>
  <c r="K33" i="16"/>
  <c r="J33" i="16"/>
  <c r="I33" i="16"/>
  <c r="H33" i="16"/>
  <c r="G33" i="16"/>
  <c r="F33" i="16"/>
  <c r="E33" i="16"/>
  <c r="D33" i="16"/>
  <c r="T32" i="16"/>
  <c r="S32" i="16"/>
  <c r="V31" i="16"/>
  <c r="U31" i="16"/>
  <c r="T31" i="16"/>
  <c r="S31" i="16"/>
  <c r="R31" i="16"/>
  <c r="Q31" i="16"/>
  <c r="P31" i="16"/>
  <c r="O31" i="16"/>
  <c r="N31" i="16"/>
  <c r="M31" i="16"/>
  <c r="J20" i="16"/>
  <c r="I20" i="16"/>
  <c r="H20" i="16"/>
  <c r="G20" i="16"/>
  <c r="J19" i="16"/>
  <c r="I19" i="16"/>
  <c r="H19" i="16"/>
  <c r="G19" i="16"/>
  <c r="J18" i="16"/>
  <c r="I18" i="16"/>
  <c r="H18" i="16"/>
  <c r="G18" i="16"/>
  <c r="J17" i="16"/>
  <c r="I17" i="16"/>
  <c r="H17" i="16"/>
  <c r="G17" i="16"/>
  <c r="J16" i="16"/>
  <c r="I16" i="16"/>
  <c r="H16" i="16"/>
  <c r="G16" i="16"/>
  <c r="J15" i="16"/>
  <c r="I15" i="16"/>
  <c r="H15" i="16"/>
  <c r="G15" i="16"/>
  <c r="J14" i="16"/>
  <c r="I14" i="16"/>
  <c r="H14" i="16"/>
  <c r="G14" i="16"/>
  <c r="J13" i="16"/>
  <c r="I13" i="16"/>
  <c r="H13" i="16"/>
  <c r="G13" i="16"/>
  <c r="J12" i="16"/>
  <c r="I12" i="16"/>
  <c r="H12" i="16"/>
  <c r="G12" i="16"/>
  <c r="J11" i="16"/>
  <c r="H11" i="16"/>
  <c r="G11" i="16"/>
  <c r="E7" i="16"/>
  <c r="B7" i="16"/>
  <c r="I11" i="16" s="1"/>
  <c r="C33" i="16" s="1"/>
  <c r="M164" i="15"/>
  <c r="L164" i="15"/>
  <c r="K164" i="15"/>
  <c r="J164" i="15"/>
  <c r="N163" i="15"/>
  <c r="M163" i="15"/>
  <c r="L163" i="15"/>
  <c r="K163" i="15"/>
  <c r="J163" i="15"/>
  <c r="I163" i="15"/>
  <c r="F163" i="15"/>
  <c r="N162" i="15"/>
  <c r="M162" i="15"/>
  <c r="L162" i="15"/>
  <c r="K162" i="15"/>
  <c r="J162" i="15"/>
  <c r="I162" i="15"/>
  <c r="F162" i="15"/>
  <c r="N161" i="15"/>
  <c r="M161" i="15"/>
  <c r="L161" i="15"/>
  <c r="K161" i="15"/>
  <c r="J161" i="15"/>
  <c r="I161" i="15"/>
  <c r="F161" i="15"/>
  <c r="N160" i="15"/>
  <c r="M160" i="15"/>
  <c r="L160" i="15"/>
  <c r="K160" i="15"/>
  <c r="J160" i="15"/>
  <c r="I160" i="15"/>
  <c r="F160" i="15"/>
  <c r="N159" i="15"/>
  <c r="M159" i="15"/>
  <c r="L159" i="15"/>
  <c r="K159" i="15"/>
  <c r="J159" i="15"/>
  <c r="I159" i="15"/>
  <c r="F159" i="15"/>
  <c r="N158" i="15"/>
  <c r="M158" i="15"/>
  <c r="L158" i="15"/>
  <c r="K158" i="15"/>
  <c r="J158" i="15"/>
  <c r="I158" i="15"/>
  <c r="F158" i="15"/>
  <c r="N157" i="15"/>
  <c r="M157" i="15"/>
  <c r="L157" i="15"/>
  <c r="K157" i="15"/>
  <c r="J157" i="15"/>
  <c r="I157" i="15"/>
  <c r="F157" i="15"/>
  <c r="N156" i="15"/>
  <c r="M156" i="15"/>
  <c r="L156" i="15"/>
  <c r="K156" i="15"/>
  <c r="J156" i="15"/>
  <c r="I156" i="15"/>
  <c r="F156" i="15"/>
  <c r="N155" i="15"/>
  <c r="M155" i="15"/>
  <c r="L155" i="15"/>
  <c r="K155" i="15"/>
  <c r="J155" i="15"/>
  <c r="I155" i="15"/>
  <c r="F155" i="15"/>
  <c r="N154" i="15"/>
  <c r="M154" i="15"/>
  <c r="L154" i="15"/>
  <c r="K154" i="15"/>
  <c r="J154" i="15"/>
  <c r="I154" i="15"/>
  <c r="F154" i="15"/>
  <c r="N153" i="15"/>
  <c r="M153" i="15"/>
  <c r="L153" i="15"/>
  <c r="K153" i="15"/>
  <c r="J153" i="15"/>
  <c r="I153" i="15"/>
  <c r="F153" i="15"/>
  <c r="N152" i="15"/>
  <c r="M152" i="15"/>
  <c r="L152" i="15"/>
  <c r="K152" i="15"/>
  <c r="J152" i="15"/>
  <c r="I152" i="15"/>
  <c r="F152" i="15"/>
  <c r="N151" i="15"/>
  <c r="M151" i="15"/>
  <c r="L151" i="15"/>
  <c r="K151" i="15"/>
  <c r="J151" i="15"/>
  <c r="I151" i="15"/>
  <c r="F151" i="15"/>
  <c r="N150" i="15"/>
  <c r="M150" i="15"/>
  <c r="L150" i="15"/>
  <c r="K150" i="15"/>
  <c r="J150" i="15"/>
  <c r="I150" i="15"/>
  <c r="F150" i="15"/>
  <c r="N149" i="15"/>
  <c r="M149" i="15"/>
  <c r="L149" i="15"/>
  <c r="K149" i="15"/>
  <c r="J149" i="15"/>
  <c r="I149" i="15"/>
  <c r="F149" i="15"/>
  <c r="N148" i="15"/>
  <c r="M148" i="15"/>
  <c r="L148" i="15"/>
  <c r="K148" i="15"/>
  <c r="J148" i="15"/>
  <c r="I148" i="15"/>
  <c r="F148" i="15"/>
  <c r="M142" i="15"/>
  <c r="L142" i="15"/>
  <c r="K142" i="15"/>
  <c r="J142" i="15"/>
  <c r="N141" i="15"/>
  <c r="M141" i="15"/>
  <c r="L141" i="15"/>
  <c r="K141" i="15"/>
  <c r="J141" i="15"/>
  <c r="I141" i="15"/>
  <c r="F141" i="15"/>
  <c r="N140" i="15"/>
  <c r="M140" i="15"/>
  <c r="L140" i="15"/>
  <c r="K140" i="15"/>
  <c r="J140" i="15"/>
  <c r="I140" i="15"/>
  <c r="F140" i="15"/>
  <c r="N139" i="15"/>
  <c r="M139" i="15"/>
  <c r="L139" i="15"/>
  <c r="K139" i="15"/>
  <c r="J139" i="15"/>
  <c r="I139" i="15"/>
  <c r="F139" i="15"/>
  <c r="N138" i="15"/>
  <c r="M138" i="15"/>
  <c r="L138" i="15"/>
  <c r="K138" i="15"/>
  <c r="J138" i="15"/>
  <c r="I138" i="15"/>
  <c r="F138" i="15"/>
  <c r="N137" i="15"/>
  <c r="M137" i="15"/>
  <c r="L137" i="15"/>
  <c r="K137" i="15"/>
  <c r="J137" i="15"/>
  <c r="I137" i="15"/>
  <c r="F137" i="15"/>
  <c r="N136" i="15"/>
  <c r="M136" i="15"/>
  <c r="L136" i="15"/>
  <c r="K136" i="15"/>
  <c r="J136" i="15"/>
  <c r="I136" i="15"/>
  <c r="F136" i="15"/>
  <c r="N135" i="15"/>
  <c r="M135" i="15"/>
  <c r="L135" i="15"/>
  <c r="K135" i="15"/>
  <c r="J135" i="15"/>
  <c r="I135" i="15"/>
  <c r="F135" i="15"/>
  <c r="N134" i="15"/>
  <c r="M134" i="15"/>
  <c r="L134" i="15"/>
  <c r="K134" i="15"/>
  <c r="J134" i="15"/>
  <c r="I134" i="15"/>
  <c r="F134" i="15"/>
  <c r="N133" i="15"/>
  <c r="M133" i="15"/>
  <c r="L133" i="15"/>
  <c r="K133" i="15"/>
  <c r="J133" i="15"/>
  <c r="I133" i="15"/>
  <c r="F133" i="15"/>
  <c r="N132" i="15"/>
  <c r="M132" i="15"/>
  <c r="L132" i="15"/>
  <c r="K132" i="15"/>
  <c r="J132" i="15"/>
  <c r="I132" i="15"/>
  <c r="F132" i="15"/>
  <c r="N131" i="15"/>
  <c r="M131" i="15"/>
  <c r="L131" i="15"/>
  <c r="K131" i="15"/>
  <c r="J131" i="15"/>
  <c r="I131" i="15"/>
  <c r="F131" i="15"/>
  <c r="N130" i="15"/>
  <c r="M130" i="15"/>
  <c r="L130" i="15"/>
  <c r="K130" i="15"/>
  <c r="J130" i="15"/>
  <c r="I130" i="15"/>
  <c r="F130" i="15"/>
  <c r="N129" i="15"/>
  <c r="M129" i="15"/>
  <c r="L129" i="15"/>
  <c r="K129" i="15"/>
  <c r="J129" i="15"/>
  <c r="I129" i="15"/>
  <c r="F129" i="15"/>
  <c r="N128" i="15"/>
  <c r="M128" i="15"/>
  <c r="L128" i="15"/>
  <c r="K128" i="15"/>
  <c r="J128" i="15"/>
  <c r="I128" i="15"/>
  <c r="F128" i="15"/>
  <c r="N127" i="15"/>
  <c r="M127" i="15"/>
  <c r="L127" i="15"/>
  <c r="K127" i="15"/>
  <c r="J127" i="15"/>
  <c r="I127" i="15"/>
  <c r="F127" i="15"/>
  <c r="N126" i="15"/>
  <c r="M126" i="15"/>
  <c r="L126" i="15"/>
  <c r="K126" i="15"/>
  <c r="J126" i="15"/>
  <c r="I126" i="15"/>
  <c r="F126" i="15"/>
  <c r="V103" i="15"/>
  <c r="U103" i="15"/>
  <c r="T103" i="15"/>
  <c r="S103" i="15"/>
  <c r="R103" i="15"/>
  <c r="Q103" i="15"/>
  <c r="P103" i="15"/>
  <c r="O103" i="15"/>
  <c r="A103" i="15"/>
  <c r="V102" i="15"/>
  <c r="U102" i="15"/>
  <c r="T102" i="15"/>
  <c r="S102" i="15"/>
  <c r="R102" i="15"/>
  <c r="Q102" i="15"/>
  <c r="P102" i="15"/>
  <c r="O102" i="15"/>
  <c r="A102" i="15"/>
  <c r="V101" i="15"/>
  <c r="U101" i="15"/>
  <c r="T101" i="15"/>
  <c r="S101" i="15"/>
  <c r="R101" i="15"/>
  <c r="Q101" i="15"/>
  <c r="P101" i="15"/>
  <c r="O101" i="15"/>
  <c r="A101" i="15"/>
  <c r="V100" i="15"/>
  <c r="U100" i="15"/>
  <c r="T100" i="15"/>
  <c r="S100" i="15"/>
  <c r="R100" i="15"/>
  <c r="Q100" i="15"/>
  <c r="P100" i="15"/>
  <c r="O100" i="15"/>
  <c r="A100" i="15"/>
  <c r="V99" i="15"/>
  <c r="U99" i="15"/>
  <c r="T99" i="15"/>
  <c r="S99" i="15"/>
  <c r="R99" i="15"/>
  <c r="Q99" i="15"/>
  <c r="P99" i="15"/>
  <c r="O99" i="15"/>
  <c r="A99" i="15"/>
  <c r="V98" i="15"/>
  <c r="U98" i="15"/>
  <c r="T98" i="15"/>
  <c r="S98" i="15"/>
  <c r="R98" i="15"/>
  <c r="Q98" i="15"/>
  <c r="P98" i="15"/>
  <c r="O98" i="15"/>
  <c r="A98" i="15"/>
  <c r="V97" i="15"/>
  <c r="U97" i="15"/>
  <c r="T97" i="15"/>
  <c r="S97" i="15"/>
  <c r="R97" i="15"/>
  <c r="Q97" i="15"/>
  <c r="P97" i="15"/>
  <c r="O97" i="15"/>
  <c r="A97" i="15"/>
  <c r="V96" i="15"/>
  <c r="U96" i="15"/>
  <c r="T96" i="15"/>
  <c r="S96" i="15"/>
  <c r="R96" i="15"/>
  <c r="Q96" i="15"/>
  <c r="P96" i="15"/>
  <c r="O96" i="15"/>
  <c r="A96" i="15"/>
  <c r="V95" i="15"/>
  <c r="U95" i="15"/>
  <c r="T95" i="15"/>
  <c r="S95" i="15"/>
  <c r="R95" i="15"/>
  <c r="Q95" i="15"/>
  <c r="P95" i="15"/>
  <c r="O95" i="15"/>
  <c r="A95" i="15"/>
  <c r="V94" i="15"/>
  <c r="U94" i="15"/>
  <c r="T94" i="15"/>
  <c r="S94" i="15"/>
  <c r="R94" i="15"/>
  <c r="Q94" i="15"/>
  <c r="P94" i="15"/>
  <c r="O94" i="15"/>
  <c r="A94" i="15"/>
  <c r="V93" i="15"/>
  <c r="U93" i="15"/>
  <c r="T93" i="15"/>
  <c r="S93" i="15"/>
  <c r="R93" i="15"/>
  <c r="Q93" i="15"/>
  <c r="P93" i="15"/>
  <c r="O93" i="15"/>
  <c r="A93" i="15"/>
  <c r="V92" i="15"/>
  <c r="U92" i="15"/>
  <c r="T92" i="15"/>
  <c r="S92" i="15"/>
  <c r="R92" i="15"/>
  <c r="Q92" i="15"/>
  <c r="P92" i="15"/>
  <c r="O92" i="15"/>
  <c r="A92" i="15"/>
  <c r="V91" i="15"/>
  <c r="U91" i="15"/>
  <c r="T91" i="15"/>
  <c r="S91" i="15"/>
  <c r="R91" i="15"/>
  <c r="Q91" i="15"/>
  <c r="P91" i="15"/>
  <c r="O91" i="15"/>
  <c r="A91" i="15"/>
  <c r="V90" i="15"/>
  <c r="U90" i="15"/>
  <c r="T90" i="15"/>
  <c r="S90" i="15"/>
  <c r="R90" i="15"/>
  <c r="Q90" i="15"/>
  <c r="P90" i="15"/>
  <c r="O90" i="15"/>
  <c r="A90" i="15"/>
  <c r="V89" i="15"/>
  <c r="U89" i="15"/>
  <c r="T89" i="15"/>
  <c r="S89" i="15"/>
  <c r="R89" i="15"/>
  <c r="Q89" i="15"/>
  <c r="P89" i="15"/>
  <c r="O89" i="15"/>
  <c r="A89" i="15"/>
  <c r="V88" i="15"/>
  <c r="U88" i="15"/>
  <c r="T88" i="15"/>
  <c r="S88" i="15"/>
  <c r="R88" i="15"/>
  <c r="Q88" i="15"/>
  <c r="P88" i="15"/>
  <c r="O88" i="15"/>
  <c r="A88" i="15"/>
  <c r="V87" i="15"/>
  <c r="U87" i="15"/>
  <c r="T87" i="15"/>
  <c r="S87" i="15"/>
  <c r="R87" i="15"/>
  <c r="Q87" i="15"/>
  <c r="P87" i="15"/>
  <c r="O87" i="15"/>
  <c r="A87" i="15"/>
  <c r="V86" i="15"/>
  <c r="U86" i="15"/>
  <c r="T86" i="15"/>
  <c r="S86" i="15"/>
  <c r="R86" i="15"/>
  <c r="Q86" i="15"/>
  <c r="P86" i="15"/>
  <c r="O86" i="15"/>
  <c r="A86" i="15"/>
  <c r="V85" i="15"/>
  <c r="U85" i="15"/>
  <c r="T85" i="15"/>
  <c r="S85" i="15"/>
  <c r="R85" i="15"/>
  <c r="Q85" i="15"/>
  <c r="P85" i="15"/>
  <c r="O85" i="15"/>
  <c r="A85" i="15"/>
  <c r="V84" i="15"/>
  <c r="U84" i="15"/>
  <c r="T84" i="15"/>
  <c r="S84" i="15"/>
  <c r="R84" i="15"/>
  <c r="Q84" i="15"/>
  <c r="P84" i="15"/>
  <c r="O84" i="15"/>
  <c r="A84" i="15"/>
  <c r="V83" i="15"/>
  <c r="U83" i="15"/>
  <c r="T83" i="15"/>
  <c r="S83" i="15"/>
  <c r="R83" i="15"/>
  <c r="Q83" i="15"/>
  <c r="P83" i="15"/>
  <c r="O83" i="15"/>
  <c r="A83" i="15"/>
  <c r="V82" i="15"/>
  <c r="U82" i="15"/>
  <c r="T82" i="15"/>
  <c r="S82" i="15"/>
  <c r="R82" i="15"/>
  <c r="Q82" i="15"/>
  <c r="P82" i="15"/>
  <c r="O82" i="15"/>
  <c r="L82" i="15"/>
  <c r="K82" i="15"/>
  <c r="J82" i="15"/>
  <c r="I82" i="15"/>
  <c r="H82" i="15"/>
  <c r="G82" i="15"/>
  <c r="F82" i="15"/>
  <c r="A82" i="15"/>
  <c r="V81" i="15"/>
  <c r="U81" i="15"/>
  <c r="T81" i="15"/>
  <c r="S81" i="15"/>
  <c r="R81" i="15"/>
  <c r="Q81" i="15"/>
  <c r="P81" i="15"/>
  <c r="O81" i="15"/>
  <c r="A81" i="15"/>
  <c r="V80" i="15"/>
  <c r="U80" i="15"/>
  <c r="T80" i="15"/>
  <c r="S80" i="15"/>
  <c r="R80" i="15"/>
  <c r="Q80" i="15"/>
  <c r="P80" i="15"/>
  <c r="O80" i="15"/>
  <c r="D80" i="15"/>
  <c r="A80" i="15"/>
  <c r="V79" i="15"/>
  <c r="U79" i="15"/>
  <c r="T79" i="15"/>
  <c r="S79" i="15"/>
  <c r="R79" i="15"/>
  <c r="Q79" i="15"/>
  <c r="P79" i="15"/>
  <c r="O79" i="15"/>
  <c r="D79" i="15"/>
  <c r="A79" i="15"/>
  <c r="V78" i="15"/>
  <c r="U78" i="15"/>
  <c r="T78" i="15"/>
  <c r="S78" i="15"/>
  <c r="R78" i="15"/>
  <c r="Q78" i="15"/>
  <c r="P78" i="15"/>
  <c r="O78" i="15"/>
  <c r="D78" i="15"/>
  <c r="A78" i="15"/>
  <c r="V77" i="15"/>
  <c r="U77" i="15"/>
  <c r="T77" i="15"/>
  <c r="S77" i="15"/>
  <c r="R77" i="15"/>
  <c r="Q77" i="15"/>
  <c r="P77" i="15"/>
  <c r="O77" i="15"/>
  <c r="D77" i="15"/>
  <c r="A77" i="15"/>
  <c r="V76" i="15"/>
  <c r="U76" i="15"/>
  <c r="T76" i="15"/>
  <c r="S76" i="15"/>
  <c r="R76" i="15"/>
  <c r="Q76" i="15"/>
  <c r="P76" i="15"/>
  <c r="O76" i="15"/>
  <c r="A76" i="15"/>
  <c r="V75" i="15"/>
  <c r="U75" i="15"/>
  <c r="T75" i="15"/>
  <c r="S75" i="15"/>
  <c r="R75" i="15"/>
  <c r="Q75" i="15"/>
  <c r="P75" i="15"/>
  <c r="O75" i="15"/>
  <c r="A75" i="15"/>
  <c r="V74" i="15"/>
  <c r="U74" i="15"/>
  <c r="T74" i="15"/>
  <c r="S74" i="15"/>
  <c r="R74" i="15"/>
  <c r="Q74" i="15"/>
  <c r="P74" i="15"/>
  <c r="O74" i="15"/>
  <c r="A74" i="15"/>
  <c r="V73" i="15"/>
  <c r="U73" i="15"/>
  <c r="T73" i="15"/>
  <c r="S73" i="15"/>
  <c r="R73" i="15"/>
  <c r="Q73" i="15"/>
  <c r="P73" i="15"/>
  <c r="O73" i="15"/>
  <c r="A73" i="15"/>
  <c r="V72" i="15"/>
  <c r="U72" i="15"/>
  <c r="T72" i="15"/>
  <c r="S72" i="15"/>
  <c r="R72" i="15"/>
  <c r="Q72" i="15"/>
  <c r="P72" i="15"/>
  <c r="O72" i="15"/>
  <c r="A72" i="15"/>
  <c r="V71" i="15"/>
  <c r="U71" i="15"/>
  <c r="T71" i="15"/>
  <c r="S71" i="15"/>
  <c r="R71" i="15"/>
  <c r="Q71" i="15"/>
  <c r="P71" i="15"/>
  <c r="O71" i="15"/>
  <c r="L71" i="15"/>
  <c r="K71" i="15"/>
  <c r="J71" i="15"/>
  <c r="I71" i="15"/>
  <c r="H71" i="15"/>
  <c r="G71" i="15"/>
  <c r="F71" i="15"/>
  <c r="E71" i="15"/>
  <c r="D71" i="15"/>
  <c r="C71" i="15"/>
  <c r="A71" i="15"/>
  <c r="V70" i="15"/>
  <c r="U70" i="15"/>
  <c r="T70" i="15"/>
  <c r="S70" i="15"/>
  <c r="R70" i="15"/>
  <c r="Q70" i="15"/>
  <c r="P70" i="15"/>
  <c r="O70" i="15"/>
  <c r="A70" i="15"/>
  <c r="L69" i="15"/>
  <c r="K69" i="15"/>
  <c r="J69" i="15"/>
  <c r="I69" i="15"/>
  <c r="H69" i="15"/>
  <c r="G69" i="15"/>
  <c r="F69" i="15"/>
  <c r="E69" i="15"/>
  <c r="D69" i="15"/>
  <c r="C69" i="15"/>
  <c r="A69" i="15"/>
  <c r="V68" i="15"/>
  <c r="U68" i="15"/>
  <c r="T68" i="15"/>
  <c r="S68" i="15"/>
  <c r="R68" i="15"/>
  <c r="Q68" i="15"/>
  <c r="P68" i="15"/>
  <c r="O68" i="15"/>
  <c r="D68" i="15"/>
  <c r="C68" i="15"/>
  <c r="A68" i="15"/>
  <c r="V67" i="15"/>
  <c r="U67" i="15"/>
  <c r="T67" i="15"/>
  <c r="S67" i="15"/>
  <c r="R67" i="15"/>
  <c r="Q67" i="15"/>
  <c r="P67" i="15"/>
  <c r="O67" i="15"/>
  <c r="A67" i="15"/>
  <c r="V66" i="15"/>
  <c r="U66" i="15"/>
  <c r="T66" i="15"/>
  <c r="S66" i="15"/>
  <c r="R66" i="15"/>
  <c r="Q66" i="15"/>
  <c r="P66" i="15"/>
  <c r="O66" i="15"/>
  <c r="A66" i="15"/>
  <c r="D65" i="15"/>
  <c r="C65" i="15"/>
  <c r="A65" i="15"/>
  <c r="V64" i="15"/>
  <c r="U64" i="15"/>
  <c r="T64" i="15"/>
  <c r="S64" i="15"/>
  <c r="R64" i="15"/>
  <c r="Q64" i="15"/>
  <c r="P64" i="15"/>
  <c r="O64" i="15"/>
  <c r="D64" i="15"/>
  <c r="C64" i="15"/>
  <c r="A64" i="15"/>
  <c r="V63" i="15"/>
  <c r="U63" i="15"/>
  <c r="T63" i="15"/>
  <c r="S63" i="15"/>
  <c r="R63" i="15"/>
  <c r="Q63" i="15"/>
  <c r="P63" i="15"/>
  <c r="O63" i="15"/>
  <c r="A63" i="15"/>
  <c r="V62" i="15"/>
  <c r="U62" i="15"/>
  <c r="T62" i="15"/>
  <c r="S62" i="15"/>
  <c r="R62" i="15"/>
  <c r="Q62" i="15"/>
  <c r="P62" i="15"/>
  <c r="O62" i="15"/>
  <c r="A62" i="15"/>
  <c r="V61" i="15"/>
  <c r="U61" i="15"/>
  <c r="T61" i="15"/>
  <c r="S61" i="15"/>
  <c r="R61" i="15"/>
  <c r="Q61" i="15"/>
  <c r="P61" i="15"/>
  <c r="O61" i="15"/>
  <c r="A61" i="15"/>
  <c r="V60" i="15"/>
  <c r="U60" i="15"/>
  <c r="T60" i="15"/>
  <c r="S60" i="15"/>
  <c r="R60" i="15"/>
  <c r="Q60" i="15"/>
  <c r="P60" i="15"/>
  <c r="O60" i="15"/>
  <c r="A60" i="15"/>
  <c r="V59" i="15"/>
  <c r="U59" i="15"/>
  <c r="T59" i="15"/>
  <c r="S59" i="15"/>
  <c r="R59" i="15"/>
  <c r="Q59" i="15"/>
  <c r="P59" i="15"/>
  <c r="O59" i="15"/>
  <c r="A59" i="15"/>
  <c r="V58" i="15"/>
  <c r="U58" i="15"/>
  <c r="T58" i="15"/>
  <c r="S58" i="15"/>
  <c r="R58" i="15"/>
  <c r="Q58" i="15"/>
  <c r="P58" i="15"/>
  <c r="O58" i="15"/>
  <c r="C58" i="15"/>
  <c r="A58" i="15"/>
  <c r="V57" i="15"/>
  <c r="U57" i="15"/>
  <c r="T57" i="15"/>
  <c r="S57" i="15"/>
  <c r="R57" i="15"/>
  <c r="Q57" i="15"/>
  <c r="P57" i="15"/>
  <c r="O57" i="15"/>
  <c r="C57" i="15"/>
  <c r="A57" i="15"/>
  <c r="V56" i="15"/>
  <c r="U56" i="15"/>
  <c r="T56" i="15"/>
  <c r="S56" i="15"/>
  <c r="R56" i="15"/>
  <c r="Q56" i="15"/>
  <c r="P56" i="15"/>
  <c r="O56" i="15"/>
  <c r="A56" i="15"/>
  <c r="V55" i="15"/>
  <c r="U55" i="15"/>
  <c r="T55" i="15"/>
  <c r="S55" i="15"/>
  <c r="R55" i="15"/>
  <c r="Q55" i="15"/>
  <c r="P55" i="15"/>
  <c r="O55" i="15"/>
  <c r="A55" i="15"/>
  <c r="V54" i="15"/>
  <c r="U54" i="15"/>
  <c r="T54" i="15"/>
  <c r="S54" i="15"/>
  <c r="R54" i="15"/>
  <c r="Q54" i="15"/>
  <c r="P54" i="15"/>
  <c r="O54" i="15"/>
  <c r="D54" i="15"/>
  <c r="C54" i="15"/>
  <c r="A54" i="15"/>
  <c r="V53" i="15"/>
  <c r="U53" i="15"/>
  <c r="T53" i="15"/>
  <c r="S53" i="15"/>
  <c r="R53" i="15"/>
  <c r="Q53" i="15"/>
  <c r="P53" i="15"/>
  <c r="O53" i="15"/>
  <c r="L53" i="15"/>
  <c r="K53" i="15"/>
  <c r="J53" i="15"/>
  <c r="I53" i="15"/>
  <c r="H53" i="15"/>
  <c r="G53" i="15"/>
  <c r="F53" i="15"/>
  <c r="E53" i="15"/>
  <c r="D53" i="15"/>
  <c r="C53" i="15"/>
  <c r="A53" i="15"/>
  <c r="V52" i="15"/>
  <c r="U52" i="15"/>
  <c r="T52" i="15"/>
  <c r="S52" i="15"/>
  <c r="R52" i="15"/>
  <c r="Q52" i="15"/>
  <c r="P52" i="15"/>
  <c r="O52" i="15"/>
  <c r="L52" i="15"/>
  <c r="K52" i="15"/>
  <c r="J52" i="15"/>
  <c r="I52" i="15"/>
  <c r="H52" i="15"/>
  <c r="G52" i="15"/>
  <c r="F52" i="15"/>
  <c r="E52" i="15"/>
  <c r="D52" i="15"/>
  <c r="C52" i="15"/>
  <c r="A52" i="15"/>
  <c r="V51" i="15"/>
  <c r="U51" i="15"/>
  <c r="T51" i="15"/>
  <c r="S51" i="15"/>
  <c r="R51" i="15"/>
  <c r="Q51" i="15"/>
  <c r="P51" i="15"/>
  <c r="O51" i="15"/>
  <c r="A51" i="15"/>
  <c r="V50" i="15"/>
  <c r="U50" i="15"/>
  <c r="T50" i="15"/>
  <c r="S50" i="15"/>
  <c r="R50" i="15"/>
  <c r="Q50" i="15"/>
  <c r="P50" i="15"/>
  <c r="O50" i="15"/>
  <c r="A50" i="15"/>
  <c r="V49" i="15"/>
  <c r="U49" i="15"/>
  <c r="T49" i="15"/>
  <c r="S49" i="15"/>
  <c r="R49" i="15"/>
  <c r="Q49" i="15"/>
  <c r="P49" i="15"/>
  <c r="O49" i="15"/>
  <c r="A49" i="15"/>
  <c r="V48" i="15"/>
  <c r="U48" i="15"/>
  <c r="T48" i="15"/>
  <c r="S48" i="15"/>
  <c r="R48" i="15"/>
  <c r="Q48" i="15"/>
  <c r="P48" i="15"/>
  <c r="O48" i="15"/>
  <c r="A48" i="15"/>
  <c r="V47" i="15"/>
  <c r="U47" i="15"/>
  <c r="T47" i="15"/>
  <c r="S47" i="15"/>
  <c r="R47" i="15"/>
  <c r="Q47" i="15"/>
  <c r="P47" i="15"/>
  <c r="O47" i="15"/>
  <c r="A47" i="15"/>
  <c r="V46" i="15"/>
  <c r="U46" i="15"/>
  <c r="T46" i="15"/>
  <c r="S46" i="15"/>
  <c r="R46" i="15"/>
  <c r="Q46" i="15"/>
  <c r="P46" i="15"/>
  <c r="O46" i="15"/>
  <c r="A46" i="15"/>
  <c r="V45" i="15"/>
  <c r="U45" i="15"/>
  <c r="T45" i="15"/>
  <c r="S45" i="15"/>
  <c r="R45" i="15"/>
  <c r="Q45" i="15"/>
  <c r="P45" i="15"/>
  <c r="O45" i="15"/>
  <c r="A45" i="15"/>
  <c r="V44" i="15"/>
  <c r="U44" i="15"/>
  <c r="T44" i="15"/>
  <c r="S44" i="15"/>
  <c r="R44" i="15"/>
  <c r="Q44" i="15"/>
  <c r="P44" i="15"/>
  <c r="O44" i="15"/>
  <c r="A44" i="15"/>
  <c r="V43" i="15"/>
  <c r="U43" i="15"/>
  <c r="T43" i="15"/>
  <c r="S43" i="15"/>
  <c r="R43" i="15"/>
  <c r="Q43" i="15"/>
  <c r="P43" i="15"/>
  <c r="O43" i="15"/>
  <c r="L43" i="15"/>
  <c r="K43" i="15"/>
  <c r="J43" i="15"/>
  <c r="I43" i="15"/>
  <c r="H43" i="15"/>
  <c r="G43" i="15"/>
  <c r="F43" i="15"/>
  <c r="E43" i="15"/>
  <c r="D43" i="15"/>
  <c r="C43" i="15"/>
  <c r="A43" i="15"/>
  <c r="V42" i="15"/>
  <c r="U42" i="15"/>
  <c r="T42" i="15"/>
  <c r="S42" i="15"/>
  <c r="R42" i="15"/>
  <c r="Q42" i="15"/>
  <c r="P42" i="15"/>
  <c r="O42" i="15"/>
  <c r="L42" i="15"/>
  <c r="K42" i="15"/>
  <c r="J42" i="15"/>
  <c r="I42" i="15"/>
  <c r="H42" i="15"/>
  <c r="G42" i="15"/>
  <c r="F42" i="15"/>
  <c r="E42" i="15"/>
  <c r="D42" i="15"/>
  <c r="C42" i="15"/>
  <c r="A42" i="15"/>
  <c r="V41" i="15"/>
  <c r="U41" i="15"/>
  <c r="T41" i="15"/>
  <c r="S41" i="15"/>
  <c r="R41" i="15"/>
  <c r="Q41" i="15"/>
  <c r="P41" i="15"/>
  <c r="O41" i="15"/>
  <c r="L41" i="15"/>
  <c r="K41" i="15"/>
  <c r="J41" i="15"/>
  <c r="I41" i="15"/>
  <c r="H41" i="15"/>
  <c r="G41" i="15"/>
  <c r="F41" i="15"/>
  <c r="E41" i="15"/>
  <c r="D41" i="15"/>
  <c r="C41" i="15"/>
  <c r="A41" i="15"/>
  <c r="V40" i="15"/>
  <c r="U40" i="15"/>
  <c r="T40" i="15"/>
  <c r="S40" i="15"/>
  <c r="R40" i="15"/>
  <c r="Q40" i="15"/>
  <c r="P40" i="15"/>
  <c r="O40" i="15"/>
  <c r="A40" i="15"/>
  <c r="V39" i="15"/>
  <c r="U39" i="15"/>
  <c r="T39" i="15"/>
  <c r="S39" i="15"/>
  <c r="R39" i="15"/>
  <c r="Q39" i="15"/>
  <c r="P39" i="15"/>
  <c r="O39" i="15"/>
  <c r="L39" i="15"/>
  <c r="K39" i="15"/>
  <c r="J39" i="15"/>
  <c r="I39" i="15"/>
  <c r="H39" i="15"/>
  <c r="G39" i="15"/>
  <c r="F39" i="15"/>
  <c r="E39" i="15"/>
  <c r="D39" i="15"/>
  <c r="C39" i="15"/>
  <c r="A39" i="15"/>
  <c r="V38" i="15"/>
  <c r="U38" i="15"/>
  <c r="T38" i="15"/>
  <c r="S38" i="15"/>
  <c r="R38" i="15"/>
  <c r="Q38" i="15"/>
  <c r="P38" i="15"/>
  <c r="O38" i="15"/>
  <c r="A38" i="15"/>
  <c r="V37" i="15"/>
  <c r="U37" i="15"/>
  <c r="T37" i="15"/>
  <c r="S37" i="15"/>
  <c r="R37" i="15"/>
  <c r="Q37" i="15"/>
  <c r="P37" i="15"/>
  <c r="O37" i="15"/>
  <c r="L37" i="15"/>
  <c r="K37" i="15"/>
  <c r="J37" i="15"/>
  <c r="I37" i="15"/>
  <c r="H37" i="15"/>
  <c r="G37" i="15"/>
  <c r="F37" i="15"/>
  <c r="E37" i="15"/>
  <c r="D37" i="15"/>
  <c r="C37" i="15"/>
  <c r="A37" i="15"/>
  <c r="V36" i="15"/>
  <c r="U36" i="15"/>
  <c r="T36" i="15"/>
  <c r="S36" i="15"/>
  <c r="R36" i="15"/>
  <c r="Q36" i="15"/>
  <c r="P36" i="15"/>
  <c r="O36" i="15"/>
  <c r="D36" i="15"/>
  <c r="C36" i="15"/>
  <c r="A36" i="15"/>
  <c r="V35" i="15"/>
  <c r="U35" i="15"/>
  <c r="T35" i="15"/>
  <c r="S35" i="15"/>
  <c r="R35" i="15"/>
  <c r="Q35" i="15"/>
  <c r="P35" i="15"/>
  <c r="O35" i="15"/>
  <c r="A35" i="15"/>
  <c r="V34" i="15"/>
  <c r="U34" i="15"/>
  <c r="T34" i="15"/>
  <c r="S34" i="15"/>
  <c r="R34" i="15"/>
  <c r="Q34" i="15"/>
  <c r="P34" i="15"/>
  <c r="O34" i="15"/>
  <c r="L34" i="15"/>
  <c r="K34" i="15"/>
  <c r="J34" i="15"/>
  <c r="I34" i="15"/>
  <c r="H34" i="15"/>
  <c r="G34" i="15"/>
  <c r="F34" i="15"/>
  <c r="E34" i="15"/>
  <c r="D34" i="15"/>
  <c r="C34" i="15"/>
  <c r="A34" i="15"/>
  <c r="V33" i="15"/>
  <c r="U33" i="15"/>
  <c r="T33" i="15"/>
  <c r="S33" i="15"/>
  <c r="R33" i="15"/>
  <c r="Q33" i="15"/>
  <c r="P33" i="15"/>
  <c r="O33" i="15"/>
  <c r="L33" i="15"/>
  <c r="K33" i="15"/>
  <c r="J33" i="15"/>
  <c r="I33" i="15"/>
  <c r="H33" i="15"/>
  <c r="G33" i="15"/>
  <c r="F33" i="15"/>
  <c r="E33" i="15"/>
  <c r="T32" i="15"/>
  <c r="S32" i="15"/>
  <c r="V31" i="15"/>
  <c r="U31" i="15"/>
  <c r="T31" i="15"/>
  <c r="S31" i="15"/>
  <c r="R31" i="15"/>
  <c r="Q31" i="15"/>
  <c r="P31" i="15"/>
  <c r="O31" i="15"/>
  <c r="N31" i="15"/>
  <c r="M31" i="15"/>
  <c r="J20" i="15"/>
  <c r="I20" i="15"/>
  <c r="H20" i="15"/>
  <c r="G20" i="15"/>
  <c r="J19" i="15"/>
  <c r="I19" i="15"/>
  <c r="H19" i="15"/>
  <c r="G19" i="15"/>
  <c r="J18" i="15"/>
  <c r="I18" i="15"/>
  <c r="H18" i="15"/>
  <c r="G18" i="15"/>
  <c r="J17" i="15"/>
  <c r="I17" i="15"/>
  <c r="H17" i="15"/>
  <c r="G17" i="15"/>
  <c r="J16" i="15"/>
  <c r="I16" i="15"/>
  <c r="H16" i="15"/>
  <c r="G16" i="15"/>
  <c r="J15" i="15"/>
  <c r="I15" i="15"/>
  <c r="H15" i="15"/>
  <c r="G15" i="15"/>
  <c r="J14" i="15"/>
  <c r="I14" i="15"/>
  <c r="H14" i="15"/>
  <c r="G14" i="15"/>
  <c r="J13" i="15"/>
  <c r="I13" i="15"/>
  <c r="H13" i="15"/>
  <c r="G13" i="15"/>
  <c r="J12" i="15"/>
  <c r="H12" i="15"/>
  <c r="G12" i="15"/>
  <c r="J11" i="15"/>
  <c r="H11" i="15"/>
  <c r="G11" i="15"/>
  <c r="E7" i="15"/>
  <c r="B7" i="15"/>
  <c r="I12" i="15" s="1"/>
  <c r="D33" i="15" s="1"/>
  <c r="R136" i="89"/>
  <c r="Q136" i="89"/>
  <c r="P136" i="89"/>
  <c r="O136" i="89"/>
  <c r="N136" i="89"/>
  <c r="S135" i="89"/>
  <c r="P135" i="89"/>
  <c r="O135" i="89"/>
  <c r="N135" i="89"/>
  <c r="F135" i="89"/>
  <c r="E135" i="89"/>
  <c r="S134" i="89"/>
  <c r="P134" i="89"/>
  <c r="O134" i="89"/>
  <c r="N134" i="89"/>
  <c r="D134" i="89"/>
  <c r="S133" i="89"/>
  <c r="P133" i="89"/>
  <c r="O133" i="89"/>
  <c r="N133" i="89"/>
  <c r="F133" i="89"/>
  <c r="E133" i="89"/>
  <c r="S132" i="89"/>
  <c r="P132" i="89"/>
  <c r="O132" i="89"/>
  <c r="N132" i="89"/>
  <c r="F132" i="89"/>
  <c r="E132" i="89"/>
  <c r="D132" i="89"/>
  <c r="S131" i="89"/>
  <c r="P131" i="89"/>
  <c r="O131" i="89"/>
  <c r="N131" i="89"/>
  <c r="E131" i="89"/>
  <c r="D131" i="89"/>
  <c r="R128" i="89"/>
  <c r="Q128" i="89"/>
  <c r="P128" i="89"/>
  <c r="O128" i="89"/>
  <c r="N128" i="89"/>
  <c r="S127" i="89"/>
  <c r="R127" i="89"/>
  <c r="P127" i="89"/>
  <c r="O127" i="89"/>
  <c r="N127" i="89"/>
  <c r="F127" i="89"/>
  <c r="E127" i="89"/>
  <c r="S126" i="89"/>
  <c r="R126" i="89"/>
  <c r="P126" i="89"/>
  <c r="O126" i="89"/>
  <c r="N126" i="89"/>
  <c r="D126" i="89"/>
  <c r="S125" i="89"/>
  <c r="R125" i="89"/>
  <c r="P125" i="89"/>
  <c r="O125" i="89"/>
  <c r="N125" i="89"/>
  <c r="F125" i="89"/>
  <c r="E125" i="89"/>
  <c r="S124" i="89"/>
  <c r="R124" i="89"/>
  <c r="P124" i="89"/>
  <c r="O124" i="89"/>
  <c r="N124" i="89"/>
  <c r="F124" i="89"/>
  <c r="E124" i="89"/>
  <c r="D124" i="89"/>
  <c r="S123" i="89"/>
  <c r="R123" i="89"/>
  <c r="P123" i="89"/>
  <c r="O123" i="89"/>
  <c r="N123" i="89"/>
  <c r="E123" i="89"/>
  <c r="D123" i="89"/>
  <c r="V103" i="89"/>
  <c r="U103" i="89"/>
  <c r="T103" i="89"/>
  <c r="S103" i="89"/>
  <c r="R103" i="89"/>
  <c r="Q103" i="89"/>
  <c r="P103" i="89"/>
  <c r="O103" i="89"/>
  <c r="A103" i="89"/>
  <c r="V102" i="89"/>
  <c r="U102" i="89"/>
  <c r="T102" i="89"/>
  <c r="S102" i="89"/>
  <c r="R102" i="89"/>
  <c r="Q102" i="89"/>
  <c r="P102" i="89"/>
  <c r="O102" i="89"/>
  <c r="A102" i="89"/>
  <c r="V101" i="89"/>
  <c r="U101" i="89"/>
  <c r="T101" i="89"/>
  <c r="S101" i="89"/>
  <c r="R101" i="89"/>
  <c r="Q101" i="89"/>
  <c r="P101" i="89"/>
  <c r="O101" i="89"/>
  <c r="A101" i="89"/>
  <c r="V100" i="89"/>
  <c r="U100" i="89"/>
  <c r="T100" i="89"/>
  <c r="S100" i="89"/>
  <c r="R100" i="89"/>
  <c r="Q100" i="89"/>
  <c r="P100" i="89"/>
  <c r="O100" i="89"/>
  <c r="A100" i="89"/>
  <c r="V99" i="89"/>
  <c r="U99" i="89"/>
  <c r="T99" i="89"/>
  <c r="S99" i="89"/>
  <c r="R99" i="89"/>
  <c r="Q99" i="89"/>
  <c r="P99" i="89"/>
  <c r="O99" i="89"/>
  <c r="A99" i="89"/>
  <c r="V98" i="89"/>
  <c r="U98" i="89"/>
  <c r="T98" i="89"/>
  <c r="S98" i="89"/>
  <c r="R98" i="89"/>
  <c r="Q98" i="89"/>
  <c r="P98" i="89"/>
  <c r="O98" i="89"/>
  <c r="A98" i="89"/>
  <c r="V97" i="89"/>
  <c r="U97" i="89"/>
  <c r="T97" i="89"/>
  <c r="S97" i="89"/>
  <c r="R97" i="89"/>
  <c r="Q97" i="89"/>
  <c r="P97" i="89"/>
  <c r="O97" i="89"/>
  <c r="A97" i="89"/>
  <c r="V96" i="89"/>
  <c r="U96" i="89"/>
  <c r="T96" i="89"/>
  <c r="S96" i="89"/>
  <c r="R96" i="89"/>
  <c r="Q96" i="89"/>
  <c r="P96" i="89"/>
  <c r="O96" i="89"/>
  <c r="A96" i="89"/>
  <c r="V95" i="89"/>
  <c r="U95" i="89"/>
  <c r="T95" i="89"/>
  <c r="S95" i="89"/>
  <c r="R95" i="89"/>
  <c r="Q95" i="89"/>
  <c r="P95" i="89"/>
  <c r="O95" i="89"/>
  <c r="A95" i="89"/>
  <c r="V94" i="89"/>
  <c r="U94" i="89"/>
  <c r="T94" i="89"/>
  <c r="S94" i="89"/>
  <c r="R94" i="89"/>
  <c r="Q94" i="89"/>
  <c r="P94" i="89"/>
  <c r="O94" i="89"/>
  <c r="A94" i="89"/>
  <c r="V93" i="89"/>
  <c r="U93" i="89"/>
  <c r="T93" i="89"/>
  <c r="S93" i="89"/>
  <c r="R93" i="89"/>
  <c r="Q93" i="89"/>
  <c r="P93" i="89"/>
  <c r="O93" i="89"/>
  <c r="A93" i="89"/>
  <c r="V92" i="89"/>
  <c r="U92" i="89"/>
  <c r="T92" i="89"/>
  <c r="S92" i="89"/>
  <c r="R92" i="89"/>
  <c r="Q92" i="89"/>
  <c r="P92" i="89"/>
  <c r="O92" i="89"/>
  <c r="A92" i="89"/>
  <c r="V91" i="89"/>
  <c r="U91" i="89"/>
  <c r="T91" i="89"/>
  <c r="S91" i="89"/>
  <c r="R91" i="89"/>
  <c r="Q91" i="89"/>
  <c r="P91" i="89"/>
  <c r="O91" i="89"/>
  <c r="A91" i="89"/>
  <c r="V90" i="89"/>
  <c r="U90" i="89"/>
  <c r="T90" i="89"/>
  <c r="S90" i="89"/>
  <c r="R90" i="89"/>
  <c r="Q90" i="89"/>
  <c r="P90" i="89"/>
  <c r="O90" i="89"/>
  <c r="A90" i="89"/>
  <c r="V89" i="89"/>
  <c r="U89" i="89"/>
  <c r="T89" i="89"/>
  <c r="S89" i="89"/>
  <c r="R89" i="89"/>
  <c r="Q89" i="89"/>
  <c r="P89" i="89"/>
  <c r="O89" i="89"/>
  <c r="A89" i="89"/>
  <c r="V88" i="89"/>
  <c r="U88" i="89"/>
  <c r="T88" i="89"/>
  <c r="S88" i="89"/>
  <c r="R88" i="89"/>
  <c r="Q88" i="89"/>
  <c r="P88" i="89"/>
  <c r="O88" i="89"/>
  <c r="A88" i="89"/>
  <c r="V87" i="89"/>
  <c r="U87" i="89"/>
  <c r="T87" i="89"/>
  <c r="S87" i="89"/>
  <c r="R87" i="89"/>
  <c r="Q87" i="89"/>
  <c r="P87" i="89"/>
  <c r="O87" i="89"/>
  <c r="A87" i="89"/>
  <c r="V86" i="89"/>
  <c r="U86" i="89"/>
  <c r="T86" i="89"/>
  <c r="S86" i="89"/>
  <c r="R86" i="89"/>
  <c r="Q86" i="89"/>
  <c r="P86" i="89"/>
  <c r="O86" i="89"/>
  <c r="A86" i="89"/>
  <c r="V85" i="89"/>
  <c r="U85" i="89"/>
  <c r="T85" i="89"/>
  <c r="S85" i="89"/>
  <c r="R85" i="89"/>
  <c r="Q85" i="89"/>
  <c r="P85" i="89"/>
  <c r="O85" i="89"/>
  <c r="A85" i="89"/>
  <c r="V84" i="89"/>
  <c r="U84" i="89"/>
  <c r="T84" i="89"/>
  <c r="S84" i="89"/>
  <c r="R84" i="89"/>
  <c r="Q84" i="89"/>
  <c r="P84" i="89"/>
  <c r="O84" i="89"/>
  <c r="A84" i="89"/>
  <c r="V83" i="89"/>
  <c r="U83" i="89"/>
  <c r="T83" i="89"/>
  <c r="S83" i="89"/>
  <c r="R83" i="89"/>
  <c r="Q83" i="89"/>
  <c r="P83" i="89"/>
  <c r="O83" i="89"/>
  <c r="A83" i="89"/>
  <c r="V82" i="89"/>
  <c r="U82" i="89"/>
  <c r="T82" i="89"/>
  <c r="S82" i="89"/>
  <c r="R82" i="89"/>
  <c r="Q82" i="89"/>
  <c r="P82" i="89"/>
  <c r="O82" i="89"/>
  <c r="L82" i="89"/>
  <c r="K82" i="89"/>
  <c r="J82" i="89"/>
  <c r="I82" i="89"/>
  <c r="H82" i="89"/>
  <c r="G82" i="89"/>
  <c r="F82" i="89"/>
  <c r="A82" i="89"/>
  <c r="V81" i="89"/>
  <c r="U81" i="89"/>
  <c r="T81" i="89"/>
  <c r="S81" i="89"/>
  <c r="R81" i="89"/>
  <c r="Q81" i="89"/>
  <c r="P81" i="89"/>
  <c r="O81" i="89"/>
  <c r="A81" i="89"/>
  <c r="V80" i="89"/>
  <c r="U80" i="89"/>
  <c r="T80" i="89"/>
  <c r="S80" i="89"/>
  <c r="R80" i="89"/>
  <c r="Q80" i="89"/>
  <c r="P80" i="89"/>
  <c r="O80" i="89"/>
  <c r="D80" i="89"/>
  <c r="A80" i="89"/>
  <c r="V79" i="89"/>
  <c r="U79" i="89"/>
  <c r="T79" i="89"/>
  <c r="S79" i="89"/>
  <c r="R79" i="89"/>
  <c r="Q79" i="89"/>
  <c r="P79" i="89"/>
  <c r="O79" i="89"/>
  <c r="D79" i="89"/>
  <c r="A79" i="89"/>
  <c r="V78" i="89"/>
  <c r="U78" i="89"/>
  <c r="T78" i="89"/>
  <c r="S78" i="89"/>
  <c r="R78" i="89"/>
  <c r="Q78" i="89"/>
  <c r="P78" i="89"/>
  <c r="O78" i="89"/>
  <c r="D78" i="89"/>
  <c r="A78" i="89"/>
  <c r="V77" i="89"/>
  <c r="U77" i="89"/>
  <c r="T77" i="89"/>
  <c r="S77" i="89"/>
  <c r="R77" i="89"/>
  <c r="Q77" i="89"/>
  <c r="P77" i="89"/>
  <c r="O77" i="89"/>
  <c r="D77" i="89"/>
  <c r="A77" i="89"/>
  <c r="V76" i="89"/>
  <c r="U76" i="89"/>
  <c r="T76" i="89"/>
  <c r="S76" i="89"/>
  <c r="R76" i="89"/>
  <c r="Q76" i="89"/>
  <c r="P76" i="89"/>
  <c r="O76" i="89"/>
  <c r="D76" i="89"/>
  <c r="A76" i="89"/>
  <c r="V75" i="89"/>
  <c r="U75" i="89"/>
  <c r="T75" i="89"/>
  <c r="S75" i="89"/>
  <c r="R75" i="89"/>
  <c r="Q75" i="89"/>
  <c r="P75" i="89"/>
  <c r="O75" i="89"/>
  <c r="A75" i="89"/>
  <c r="V74" i="89"/>
  <c r="U74" i="89"/>
  <c r="T74" i="89"/>
  <c r="S74" i="89"/>
  <c r="R74" i="89"/>
  <c r="Q74" i="89"/>
  <c r="P74" i="89"/>
  <c r="O74" i="89"/>
  <c r="A74" i="89"/>
  <c r="V73" i="89"/>
  <c r="U73" i="89"/>
  <c r="T73" i="89"/>
  <c r="S73" i="89"/>
  <c r="R73" i="89"/>
  <c r="Q73" i="89"/>
  <c r="P73" i="89"/>
  <c r="O73" i="89"/>
  <c r="A73" i="89"/>
  <c r="V72" i="89"/>
  <c r="U72" i="89"/>
  <c r="T72" i="89"/>
  <c r="S72" i="89"/>
  <c r="R72" i="89"/>
  <c r="Q72" i="89"/>
  <c r="P72" i="89"/>
  <c r="O72" i="89"/>
  <c r="A72" i="89"/>
  <c r="V71" i="89"/>
  <c r="U71" i="89"/>
  <c r="T71" i="89"/>
  <c r="S71" i="89"/>
  <c r="R71" i="89"/>
  <c r="Q71" i="89"/>
  <c r="P71" i="89"/>
  <c r="O71" i="89"/>
  <c r="L71" i="89"/>
  <c r="K71" i="89"/>
  <c r="J71" i="89"/>
  <c r="I71" i="89"/>
  <c r="H71" i="89"/>
  <c r="G71" i="89"/>
  <c r="F71" i="89"/>
  <c r="E71" i="89"/>
  <c r="D71" i="89"/>
  <c r="C71" i="89"/>
  <c r="A71" i="89"/>
  <c r="V70" i="89"/>
  <c r="U70" i="89"/>
  <c r="T70" i="89"/>
  <c r="S70" i="89"/>
  <c r="R70" i="89"/>
  <c r="Q70" i="89"/>
  <c r="P70" i="89"/>
  <c r="O70" i="89"/>
  <c r="A70" i="89"/>
  <c r="L69" i="89"/>
  <c r="K69" i="89"/>
  <c r="J69" i="89"/>
  <c r="I69" i="89"/>
  <c r="H69" i="89"/>
  <c r="G69" i="89"/>
  <c r="F69" i="89"/>
  <c r="E69" i="89"/>
  <c r="C69" i="89"/>
  <c r="A69" i="89"/>
  <c r="V68" i="89"/>
  <c r="U68" i="89"/>
  <c r="T68" i="89"/>
  <c r="S68" i="89"/>
  <c r="R68" i="89"/>
  <c r="Q68" i="89"/>
  <c r="P68" i="89"/>
  <c r="O68" i="89"/>
  <c r="C68" i="89"/>
  <c r="A68" i="89"/>
  <c r="V67" i="89"/>
  <c r="U67" i="89"/>
  <c r="T67" i="89"/>
  <c r="S67" i="89"/>
  <c r="R67" i="89"/>
  <c r="Q67" i="89"/>
  <c r="P67" i="89"/>
  <c r="O67" i="89"/>
  <c r="A67" i="89"/>
  <c r="V66" i="89"/>
  <c r="U66" i="89"/>
  <c r="T66" i="89"/>
  <c r="S66" i="89"/>
  <c r="R66" i="89"/>
  <c r="Q66" i="89"/>
  <c r="P66" i="89"/>
  <c r="O66" i="89"/>
  <c r="A66" i="89"/>
  <c r="D65" i="89"/>
  <c r="C65" i="89"/>
  <c r="A65" i="89"/>
  <c r="V64" i="89"/>
  <c r="U64" i="89"/>
  <c r="T64" i="89"/>
  <c r="S64" i="89"/>
  <c r="R64" i="89"/>
  <c r="Q64" i="89"/>
  <c r="P64" i="89"/>
  <c r="O64" i="89"/>
  <c r="D64" i="89"/>
  <c r="C64" i="89"/>
  <c r="A64" i="89"/>
  <c r="V63" i="89"/>
  <c r="U63" i="89"/>
  <c r="T63" i="89"/>
  <c r="S63" i="89"/>
  <c r="R63" i="89"/>
  <c r="Q63" i="89"/>
  <c r="P63" i="89"/>
  <c r="O63" i="89"/>
  <c r="A63" i="89"/>
  <c r="V62" i="89"/>
  <c r="U62" i="89"/>
  <c r="T62" i="89"/>
  <c r="S62" i="89"/>
  <c r="R62" i="89"/>
  <c r="Q62" i="89"/>
  <c r="P62" i="89"/>
  <c r="O62" i="89"/>
  <c r="A62" i="89"/>
  <c r="V61" i="89"/>
  <c r="U61" i="89"/>
  <c r="T61" i="89"/>
  <c r="S61" i="89"/>
  <c r="R61" i="89"/>
  <c r="Q61" i="89"/>
  <c r="P61" i="89"/>
  <c r="O61" i="89"/>
  <c r="A61" i="89"/>
  <c r="V60" i="89"/>
  <c r="U60" i="89"/>
  <c r="T60" i="89"/>
  <c r="S60" i="89"/>
  <c r="R60" i="89"/>
  <c r="Q60" i="89"/>
  <c r="P60" i="89"/>
  <c r="O60" i="89"/>
  <c r="A60" i="89"/>
  <c r="V59" i="89"/>
  <c r="U59" i="89"/>
  <c r="T59" i="89"/>
  <c r="S59" i="89"/>
  <c r="R59" i="89"/>
  <c r="Q59" i="89"/>
  <c r="P59" i="89"/>
  <c r="O59" i="89"/>
  <c r="A59" i="89"/>
  <c r="V58" i="89"/>
  <c r="U58" i="89"/>
  <c r="T58" i="89"/>
  <c r="S58" i="89"/>
  <c r="R58" i="89"/>
  <c r="Q58" i="89"/>
  <c r="P58" i="89"/>
  <c r="O58" i="89"/>
  <c r="C58" i="89"/>
  <c r="A58" i="89"/>
  <c r="V57" i="89"/>
  <c r="U57" i="89"/>
  <c r="T57" i="89"/>
  <c r="S57" i="89"/>
  <c r="R57" i="89"/>
  <c r="Q57" i="89"/>
  <c r="P57" i="89"/>
  <c r="O57" i="89"/>
  <c r="C57" i="89"/>
  <c r="A57" i="89"/>
  <c r="V56" i="89"/>
  <c r="U56" i="89"/>
  <c r="T56" i="89"/>
  <c r="S56" i="89"/>
  <c r="R56" i="89"/>
  <c r="Q56" i="89"/>
  <c r="P56" i="89"/>
  <c r="O56" i="89"/>
  <c r="A56" i="89"/>
  <c r="V55" i="89"/>
  <c r="U55" i="89"/>
  <c r="T55" i="89"/>
  <c r="S55" i="89"/>
  <c r="R55" i="89"/>
  <c r="Q55" i="89"/>
  <c r="P55" i="89"/>
  <c r="O55" i="89"/>
  <c r="A55" i="89"/>
  <c r="V54" i="89"/>
  <c r="U54" i="89"/>
  <c r="T54" i="89"/>
  <c r="S54" i="89"/>
  <c r="R54" i="89"/>
  <c r="Q54" i="89"/>
  <c r="P54" i="89"/>
  <c r="O54" i="89"/>
  <c r="D54" i="89"/>
  <c r="C54" i="89"/>
  <c r="A54" i="89"/>
  <c r="V53" i="89"/>
  <c r="U53" i="89"/>
  <c r="T53" i="89"/>
  <c r="S53" i="89"/>
  <c r="R53" i="89"/>
  <c r="Q53" i="89"/>
  <c r="P53" i="89"/>
  <c r="O53" i="89"/>
  <c r="L53" i="89"/>
  <c r="K53" i="89"/>
  <c r="J53" i="89"/>
  <c r="I53" i="89"/>
  <c r="H53" i="89"/>
  <c r="G53" i="89"/>
  <c r="F53" i="89"/>
  <c r="E53" i="89"/>
  <c r="D53" i="89"/>
  <c r="C53" i="89"/>
  <c r="A53" i="89"/>
  <c r="V52" i="89"/>
  <c r="U52" i="89"/>
  <c r="T52" i="89"/>
  <c r="S52" i="89"/>
  <c r="R52" i="89"/>
  <c r="Q52" i="89"/>
  <c r="P52" i="89"/>
  <c r="O52" i="89"/>
  <c r="L52" i="89"/>
  <c r="K52" i="89"/>
  <c r="J52" i="89"/>
  <c r="I52" i="89"/>
  <c r="H52" i="89"/>
  <c r="G52" i="89"/>
  <c r="F52" i="89"/>
  <c r="E52" i="89"/>
  <c r="D52" i="89"/>
  <c r="C52" i="89"/>
  <c r="A52" i="89"/>
  <c r="V51" i="89"/>
  <c r="U51" i="89"/>
  <c r="T51" i="89"/>
  <c r="S51" i="89"/>
  <c r="R51" i="89"/>
  <c r="Q51" i="89"/>
  <c r="P51" i="89"/>
  <c r="O51" i="89"/>
  <c r="A51" i="89"/>
  <c r="V50" i="89"/>
  <c r="U50" i="89"/>
  <c r="T50" i="89"/>
  <c r="S50" i="89"/>
  <c r="R50" i="89"/>
  <c r="Q50" i="89"/>
  <c r="P50" i="89"/>
  <c r="O50" i="89"/>
  <c r="A50" i="89"/>
  <c r="V49" i="89"/>
  <c r="U49" i="89"/>
  <c r="T49" i="89"/>
  <c r="S49" i="89"/>
  <c r="R49" i="89"/>
  <c r="Q49" i="89"/>
  <c r="P49" i="89"/>
  <c r="O49" i="89"/>
  <c r="A49" i="89"/>
  <c r="V48" i="89"/>
  <c r="U48" i="89"/>
  <c r="T48" i="89"/>
  <c r="S48" i="89"/>
  <c r="R48" i="89"/>
  <c r="Q48" i="89"/>
  <c r="P48" i="89"/>
  <c r="O48" i="89"/>
  <c r="A48" i="89"/>
  <c r="V47" i="89"/>
  <c r="U47" i="89"/>
  <c r="T47" i="89"/>
  <c r="S47" i="89"/>
  <c r="R47" i="89"/>
  <c r="Q47" i="89"/>
  <c r="P47" i="89"/>
  <c r="O47" i="89"/>
  <c r="A47" i="89"/>
  <c r="V46" i="89"/>
  <c r="U46" i="89"/>
  <c r="T46" i="89"/>
  <c r="S46" i="89"/>
  <c r="R46" i="89"/>
  <c r="Q46" i="89"/>
  <c r="P46" i="89"/>
  <c r="O46" i="89"/>
  <c r="A46" i="89"/>
  <c r="V45" i="89"/>
  <c r="U45" i="89"/>
  <c r="T45" i="89"/>
  <c r="S45" i="89"/>
  <c r="R45" i="89"/>
  <c r="Q45" i="89"/>
  <c r="P45" i="89"/>
  <c r="O45" i="89"/>
  <c r="A45" i="89"/>
  <c r="V44" i="89"/>
  <c r="U44" i="89"/>
  <c r="T44" i="89"/>
  <c r="S44" i="89"/>
  <c r="R44" i="89"/>
  <c r="Q44" i="89"/>
  <c r="P44" i="89"/>
  <c r="O44" i="89"/>
  <c r="A44" i="89"/>
  <c r="V43" i="89"/>
  <c r="U43" i="89"/>
  <c r="T43" i="89"/>
  <c r="S43" i="89"/>
  <c r="R43" i="89"/>
  <c r="Q43" i="89"/>
  <c r="P43" i="89"/>
  <c r="O43" i="89"/>
  <c r="L43" i="89"/>
  <c r="K43" i="89"/>
  <c r="J43" i="89"/>
  <c r="I43" i="89"/>
  <c r="H43" i="89"/>
  <c r="G43" i="89"/>
  <c r="F43" i="89"/>
  <c r="E43" i="89"/>
  <c r="D43" i="89"/>
  <c r="C43" i="89"/>
  <c r="A43" i="89"/>
  <c r="V42" i="89"/>
  <c r="U42" i="89"/>
  <c r="T42" i="89"/>
  <c r="S42" i="89"/>
  <c r="R42" i="89"/>
  <c r="Q42" i="89"/>
  <c r="P42" i="89"/>
  <c r="O42" i="89"/>
  <c r="L42" i="89"/>
  <c r="K42" i="89"/>
  <c r="J42" i="89"/>
  <c r="I42" i="89"/>
  <c r="H42" i="89"/>
  <c r="G42" i="89"/>
  <c r="F42" i="89"/>
  <c r="E42" i="89"/>
  <c r="D42" i="89"/>
  <c r="C42" i="89"/>
  <c r="A42" i="89"/>
  <c r="V41" i="89"/>
  <c r="U41" i="89"/>
  <c r="T41" i="89"/>
  <c r="S41" i="89"/>
  <c r="R41" i="89"/>
  <c r="Q41" i="89"/>
  <c r="P41" i="89"/>
  <c r="O41" i="89"/>
  <c r="L41" i="89"/>
  <c r="K41" i="89"/>
  <c r="J41" i="89"/>
  <c r="I41" i="89"/>
  <c r="H41" i="89"/>
  <c r="G41" i="89"/>
  <c r="F41" i="89"/>
  <c r="E41" i="89"/>
  <c r="D41" i="89"/>
  <c r="C41" i="89"/>
  <c r="A41" i="89"/>
  <c r="V40" i="89"/>
  <c r="U40" i="89"/>
  <c r="T40" i="89"/>
  <c r="S40" i="89"/>
  <c r="R40" i="89"/>
  <c r="Q40" i="89"/>
  <c r="P40" i="89"/>
  <c r="O40" i="89"/>
  <c r="A40" i="89"/>
  <c r="V39" i="89"/>
  <c r="U39" i="89"/>
  <c r="T39" i="89"/>
  <c r="S39" i="89"/>
  <c r="R39" i="89"/>
  <c r="Q39" i="89"/>
  <c r="P39" i="89"/>
  <c r="O39" i="89"/>
  <c r="L39" i="89"/>
  <c r="K39" i="89"/>
  <c r="J39" i="89"/>
  <c r="I39" i="89"/>
  <c r="H39" i="89"/>
  <c r="G39" i="89"/>
  <c r="F39" i="89"/>
  <c r="E39" i="89"/>
  <c r="D39" i="89"/>
  <c r="C39" i="89"/>
  <c r="A39" i="89"/>
  <c r="V38" i="89"/>
  <c r="U38" i="89"/>
  <c r="T38" i="89"/>
  <c r="S38" i="89"/>
  <c r="R38" i="89"/>
  <c r="Q38" i="89"/>
  <c r="P38" i="89"/>
  <c r="O38" i="89"/>
  <c r="A38" i="89"/>
  <c r="V37" i="89"/>
  <c r="U37" i="89"/>
  <c r="T37" i="89"/>
  <c r="S37" i="89"/>
  <c r="R37" i="89"/>
  <c r="Q37" i="89"/>
  <c r="P37" i="89"/>
  <c r="O37" i="89"/>
  <c r="L37" i="89"/>
  <c r="K37" i="89"/>
  <c r="J37" i="89"/>
  <c r="I37" i="89"/>
  <c r="H37" i="89"/>
  <c r="G37" i="89"/>
  <c r="F37" i="89"/>
  <c r="E37" i="89"/>
  <c r="D37" i="89"/>
  <c r="C37" i="89"/>
  <c r="A37" i="89"/>
  <c r="V36" i="89"/>
  <c r="U36" i="89"/>
  <c r="T36" i="89"/>
  <c r="S36" i="89"/>
  <c r="R36" i="89"/>
  <c r="Q36" i="89"/>
  <c r="P36" i="89"/>
  <c r="O36" i="89"/>
  <c r="D36" i="89"/>
  <c r="C36" i="89"/>
  <c r="A36" i="89"/>
  <c r="V35" i="89"/>
  <c r="U35" i="89"/>
  <c r="T35" i="89"/>
  <c r="S35" i="89"/>
  <c r="R35" i="89"/>
  <c r="Q35" i="89"/>
  <c r="P35" i="89"/>
  <c r="O35" i="89"/>
  <c r="A35" i="89"/>
  <c r="V34" i="89"/>
  <c r="U34" i="89"/>
  <c r="T34" i="89"/>
  <c r="S34" i="89"/>
  <c r="R34" i="89"/>
  <c r="Q34" i="89"/>
  <c r="P34" i="89"/>
  <c r="O34" i="89"/>
  <c r="L34" i="89"/>
  <c r="K34" i="89"/>
  <c r="J34" i="89"/>
  <c r="I34" i="89"/>
  <c r="H34" i="89"/>
  <c r="G34" i="89"/>
  <c r="F34" i="89"/>
  <c r="E34" i="89"/>
  <c r="D34" i="89"/>
  <c r="C34" i="89"/>
  <c r="A34" i="89"/>
  <c r="V33" i="89"/>
  <c r="U33" i="89"/>
  <c r="T33" i="89"/>
  <c r="S33" i="89"/>
  <c r="R33" i="89"/>
  <c r="Q33" i="89"/>
  <c r="P33" i="89"/>
  <c r="O33" i="89"/>
  <c r="L33" i="89"/>
  <c r="K33" i="89"/>
  <c r="J33" i="89"/>
  <c r="I33" i="89"/>
  <c r="H33" i="89"/>
  <c r="G33" i="89"/>
  <c r="F33" i="89"/>
  <c r="E33" i="89"/>
  <c r="T32" i="89"/>
  <c r="S32" i="89"/>
  <c r="V31" i="89"/>
  <c r="U31" i="89"/>
  <c r="T31" i="89"/>
  <c r="S31" i="89"/>
  <c r="R31" i="89"/>
  <c r="Q31" i="89"/>
  <c r="P31" i="89"/>
  <c r="O31" i="89"/>
  <c r="N31" i="89"/>
  <c r="M3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H12" i="89"/>
  <c r="G12" i="89"/>
  <c r="J11" i="89"/>
  <c r="H11" i="89"/>
  <c r="G11" i="89"/>
  <c r="E7" i="89"/>
  <c r="B7" i="89"/>
  <c r="I11" i="89" s="1"/>
  <c r="C33" i="89" s="1"/>
  <c r="I130" i="67"/>
  <c r="H130" i="67"/>
  <c r="G130" i="67"/>
  <c r="J129" i="67"/>
  <c r="I129" i="67"/>
  <c r="H129" i="67"/>
  <c r="G129" i="67"/>
  <c r="J128" i="67"/>
  <c r="I128" i="67"/>
  <c r="H128" i="67"/>
  <c r="G128" i="67"/>
  <c r="J127" i="67"/>
  <c r="I127" i="67"/>
  <c r="H127" i="67"/>
  <c r="G127" i="67"/>
  <c r="J126" i="67"/>
  <c r="I126" i="67"/>
  <c r="H126" i="67"/>
  <c r="G126" i="67"/>
  <c r="J125" i="67"/>
  <c r="I125" i="67"/>
  <c r="H125" i="67"/>
  <c r="G125" i="67"/>
  <c r="V103" i="67"/>
  <c r="U103" i="67"/>
  <c r="T103" i="67"/>
  <c r="S103" i="67"/>
  <c r="R103" i="67"/>
  <c r="Q103" i="67"/>
  <c r="P103" i="67"/>
  <c r="O103" i="67"/>
  <c r="N103" i="67"/>
  <c r="A103" i="67"/>
  <c r="V102" i="67"/>
  <c r="U102" i="67"/>
  <c r="T102" i="67"/>
  <c r="S102" i="67"/>
  <c r="R102" i="67"/>
  <c r="Q102" i="67"/>
  <c r="P102" i="67"/>
  <c r="O102" i="67"/>
  <c r="N102" i="67"/>
  <c r="A102" i="67"/>
  <c r="V101" i="67"/>
  <c r="U101" i="67"/>
  <c r="T101" i="67"/>
  <c r="S101" i="67"/>
  <c r="R101" i="67"/>
  <c r="Q101" i="67"/>
  <c r="P101" i="67"/>
  <c r="O101" i="67"/>
  <c r="N101" i="67"/>
  <c r="A101" i="67"/>
  <c r="V100" i="67"/>
  <c r="U100" i="67"/>
  <c r="T100" i="67"/>
  <c r="S100" i="67"/>
  <c r="R100" i="67"/>
  <c r="Q100" i="67"/>
  <c r="P100" i="67"/>
  <c r="O100" i="67"/>
  <c r="N100" i="67"/>
  <c r="A100" i="67"/>
  <c r="V99" i="67"/>
  <c r="U99" i="67"/>
  <c r="T99" i="67"/>
  <c r="S99" i="67"/>
  <c r="R99" i="67"/>
  <c r="Q99" i="67"/>
  <c r="P99" i="67"/>
  <c r="O99" i="67"/>
  <c r="N99" i="67"/>
  <c r="A99" i="67"/>
  <c r="V98" i="67"/>
  <c r="U98" i="67"/>
  <c r="T98" i="67"/>
  <c r="S98" i="67"/>
  <c r="R98" i="67"/>
  <c r="Q98" i="67"/>
  <c r="P98" i="67"/>
  <c r="O98" i="67"/>
  <c r="N98" i="67"/>
  <c r="A98" i="67"/>
  <c r="V97" i="67"/>
  <c r="U97" i="67"/>
  <c r="T97" i="67"/>
  <c r="S97" i="67"/>
  <c r="R97" i="67"/>
  <c r="Q97" i="67"/>
  <c r="P97" i="67"/>
  <c r="O97" i="67"/>
  <c r="N97" i="67"/>
  <c r="A97" i="67"/>
  <c r="V96" i="67"/>
  <c r="U96" i="67"/>
  <c r="T96" i="67"/>
  <c r="S96" i="67"/>
  <c r="R96" i="67"/>
  <c r="Q96" i="67"/>
  <c r="P96" i="67"/>
  <c r="O96" i="67"/>
  <c r="N96" i="67"/>
  <c r="A96" i="67"/>
  <c r="V95" i="67"/>
  <c r="U95" i="67"/>
  <c r="T95" i="67"/>
  <c r="S95" i="67"/>
  <c r="R95" i="67"/>
  <c r="Q95" i="67"/>
  <c r="P95" i="67"/>
  <c r="O95" i="67"/>
  <c r="N95" i="67"/>
  <c r="A95" i="67"/>
  <c r="V94" i="67"/>
  <c r="U94" i="67"/>
  <c r="T94" i="67"/>
  <c r="S94" i="67"/>
  <c r="R94" i="67"/>
  <c r="Q94" i="67"/>
  <c r="P94" i="67"/>
  <c r="O94" i="67"/>
  <c r="N94" i="67"/>
  <c r="A94" i="67"/>
  <c r="V93" i="67"/>
  <c r="U93" i="67"/>
  <c r="T93" i="67"/>
  <c r="S93" i="67"/>
  <c r="R93" i="67"/>
  <c r="Q93" i="67"/>
  <c r="P93" i="67"/>
  <c r="O93" i="67"/>
  <c r="N93" i="67"/>
  <c r="A93" i="67"/>
  <c r="V92" i="67"/>
  <c r="U92" i="67"/>
  <c r="T92" i="67"/>
  <c r="S92" i="67"/>
  <c r="R92" i="67"/>
  <c r="Q92" i="67"/>
  <c r="P92" i="67"/>
  <c r="O92" i="67"/>
  <c r="N92" i="67"/>
  <c r="A92" i="67"/>
  <c r="V91" i="67"/>
  <c r="U91" i="67"/>
  <c r="T91" i="67"/>
  <c r="S91" i="67"/>
  <c r="R91" i="67"/>
  <c r="Q91" i="67"/>
  <c r="P91" i="67"/>
  <c r="O91" i="67"/>
  <c r="N91" i="67"/>
  <c r="A91" i="67"/>
  <c r="V90" i="67"/>
  <c r="U90" i="67"/>
  <c r="T90" i="67"/>
  <c r="S90" i="67"/>
  <c r="R90" i="67"/>
  <c r="Q90" i="67"/>
  <c r="P90" i="67"/>
  <c r="O90" i="67"/>
  <c r="N90" i="67"/>
  <c r="A90" i="67"/>
  <c r="V89" i="67"/>
  <c r="U89" i="67"/>
  <c r="T89" i="67"/>
  <c r="S89" i="67"/>
  <c r="R89" i="67"/>
  <c r="Q89" i="67"/>
  <c r="P89" i="67"/>
  <c r="O89" i="67"/>
  <c r="N89" i="67"/>
  <c r="A89" i="67"/>
  <c r="V88" i="67"/>
  <c r="U88" i="67"/>
  <c r="T88" i="67"/>
  <c r="S88" i="67"/>
  <c r="R88" i="67"/>
  <c r="Q88" i="67"/>
  <c r="P88" i="67"/>
  <c r="O88" i="67"/>
  <c r="N88" i="67"/>
  <c r="A88" i="67"/>
  <c r="V87" i="67"/>
  <c r="U87" i="67"/>
  <c r="T87" i="67"/>
  <c r="S87" i="67"/>
  <c r="R87" i="67"/>
  <c r="Q87" i="67"/>
  <c r="P87" i="67"/>
  <c r="O87" i="67"/>
  <c r="N87" i="67"/>
  <c r="A87" i="67"/>
  <c r="V86" i="67"/>
  <c r="U86" i="67"/>
  <c r="T86" i="67"/>
  <c r="S86" i="67"/>
  <c r="R86" i="67"/>
  <c r="Q86" i="67"/>
  <c r="P86" i="67"/>
  <c r="O86" i="67"/>
  <c r="N86" i="67"/>
  <c r="A86" i="67"/>
  <c r="V85" i="67"/>
  <c r="U85" i="67"/>
  <c r="T85" i="67"/>
  <c r="S85" i="67"/>
  <c r="R85" i="67"/>
  <c r="Q85" i="67"/>
  <c r="P85" i="67"/>
  <c r="O85" i="67"/>
  <c r="N85" i="67"/>
  <c r="A85" i="67"/>
  <c r="V84" i="67"/>
  <c r="U84" i="67"/>
  <c r="T84" i="67"/>
  <c r="S84" i="67"/>
  <c r="R84" i="67"/>
  <c r="Q84" i="67"/>
  <c r="P84" i="67"/>
  <c r="O84" i="67"/>
  <c r="N84" i="67"/>
  <c r="A84" i="67"/>
  <c r="V83" i="67"/>
  <c r="U83" i="67"/>
  <c r="T83" i="67"/>
  <c r="S83" i="67"/>
  <c r="R83" i="67"/>
  <c r="Q83" i="67"/>
  <c r="P83" i="67"/>
  <c r="O83" i="67"/>
  <c r="N83" i="67"/>
  <c r="A83" i="67"/>
  <c r="V82" i="67"/>
  <c r="U82" i="67"/>
  <c r="T82" i="67"/>
  <c r="S82" i="67"/>
  <c r="R82" i="67"/>
  <c r="Q82" i="67"/>
  <c r="P82" i="67"/>
  <c r="O82" i="67"/>
  <c r="N82" i="67"/>
  <c r="L82" i="67"/>
  <c r="K82" i="67"/>
  <c r="J82" i="67"/>
  <c r="I82" i="67"/>
  <c r="H82" i="67"/>
  <c r="G82" i="67"/>
  <c r="F82" i="67"/>
  <c r="A82" i="67"/>
  <c r="V81" i="67"/>
  <c r="U81" i="67"/>
  <c r="T81" i="67"/>
  <c r="S81" i="67"/>
  <c r="R81" i="67"/>
  <c r="Q81" i="67"/>
  <c r="P81" i="67"/>
  <c r="O81" i="67"/>
  <c r="N81" i="67"/>
  <c r="A81" i="67"/>
  <c r="V80" i="67"/>
  <c r="U80" i="67"/>
  <c r="T80" i="67"/>
  <c r="S80" i="67"/>
  <c r="R80" i="67"/>
  <c r="Q80" i="67"/>
  <c r="P80" i="67"/>
  <c r="O80" i="67"/>
  <c r="N80" i="67"/>
  <c r="A80" i="67"/>
  <c r="V79" i="67"/>
  <c r="U79" i="67"/>
  <c r="T79" i="67"/>
  <c r="S79" i="67"/>
  <c r="R79" i="67"/>
  <c r="Q79" i="67"/>
  <c r="P79" i="67"/>
  <c r="O79" i="67"/>
  <c r="N79" i="67"/>
  <c r="A79" i="67"/>
  <c r="V78" i="67"/>
  <c r="U78" i="67"/>
  <c r="T78" i="67"/>
  <c r="S78" i="67"/>
  <c r="R78" i="67"/>
  <c r="Q78" i="67"/>
  <c r="P78" i="67"/>
  <c r="O78" i="67"/>
  <c r="N78" i="67"/>
  <c r="A78" i="67"/>
  <c r="V77" i="67"/>
  <c r="U77" i="67"/>
  <c r="T77" i="67"/>
  <c r="S77" i="67"/>
  <c r="R77" i="67"/>
  <c r="Q77" i="67"/>
  <c r="P77" i="67"/>
  <c r="O77" i="67"/>
  <c r="N77" i="67"/>
  <c r="A77" i="67"/>
  <c r="V76" i="67"/>
  <c r="U76" i="67"/>
  <c r="T76" i="67"/>
  <c r="S76" i="67"/>
  <c r="R76" i="67"/>
  <c r="Q76" i="67"/>
  <c r="P76" i="67"/>
  <c r="O76" i="67"/>
  <c r="N76" i="67"/>
  <c r="A76" i="67"/>
  <c r="V75" i="67"/>
  <c r="U75" i="67"/>
  <c r="T75" i="67"/>
  <c r="S75" i="67"/>
  <c r="R75" i="67"/>
  <c r="Q75" i="67"/>
  <c r="P75" i="67"/>
  <c r="O75" i="67"/>
  <c r="N75" i="67"/>
  <c r="A75" i="67"/>
  <c r="V74" i="67"/>
  <c r="U74" i="67"/>
  <c r="T74" i="67"/>
  <c r="S74" i="67"/>
  <c r="R74" i="67"/>
  <c r="Q74" i="67"/>
  <c r="P74" i="67"/>
  <c r="O74" i="67"/>
  <c r="N74" i="67"/>
  <c r="A74" i="67"/>
  <c r="V73" i="67"/>
  <c r="U73" i="67"/>
  <c r="T73" i="67"/>
  <c r="S73" i="67"/>
  <c r="R73" i="67"/>
  <c r="Q73" i="67"/>
  <c r="P73" i="67"/>
  <c r="O73" i="67"/>
  <c r="N73" i="67"/>
  <c r="A73" i="67"/>
  <c r="V72" i="67"/>
  <c r="U72" i="67"/>
  <c r="T72" i="67"/>
  <c r="S72" i="67"/>
  <c r="R72" i="67"/>
  <c r="Q72" i="67"/>
  <c r="P72" i="67"/>
  <c r="O72" i="67"/>
  <c r="N72" i="67"/>
  <c r="A72" i="67"/>
  <c r="V71" i="67"/>
  <c r="U71" i="67"/>
  <c r="T71" i="67"/>
  <c r="S71" i="67"/>
  <c r="R71" i="67"/>
  <c r="Q71" i="67"/>
  <c r="P71" i="67"/>
  <c r="O71" i="67"/>
  <c r="N71" i="67"/>
  <c r="L71" i="67"/>
  <c r="K71" i="67"/>
  <c r="J71" i="67"/>
  <c r="I71" i="67"/>
  <c r="H71" i="67"/>
  <c r="G71" i="67"/>
  <c r="F71" i="67"/>
  <c r="E71" i="67"/>
  <c r="D71" i="67"/>
  <c r="C71" i="67"/>
  <c r="A71" i="67"/>
  <c r="V70" i="67"/>
  <c r="U70" i="67"/>
  <c r="T70" i="67"/>
  <c r="S70" i="67"/>
  <c r="R70" i="67"/>
  <c r="Q70" i="67"/>
  <c r="P70" i="67"/>
  <c r="O70" i="67"/>
  <c r="N70" i="67"/>
  <c r="A70" i="67"/>
  <c r="L69" i="67"/>
  <c r="K69" i="67"/>
  <c r="J69" i="67"/>
  <c r="I69" i="67"/>
  <c r="H69" i="67"/>
  <c r="G69" i="67"/>
  <c r="F69" i="67"/>
  <c r="E69" i="67"/>
  <c r="D69" i="67"/>
  <c r="C69" i="67"/>
  <c r="A69" i="67"/>
  <c r="V68" i="67"/>
  <c r="U68" i="67"/>
  <c r="T68" i="67"/>
  <c r="S68" i="67"/>
  <c r="R68" i="67"/>
  <c r="Q68" i="67"/>
  <c r="P68" i="67"/>
  <c r="O68" i="67"/>
  <c r="N68" i="67"/>
  <c r="A68" i="67"/>
  <c r="V67" i="67"/>
  <c r="U67" i="67"/>
  <c r="T67" i="67"/>
  <c r="S67" i="67"/>
  <c r="R67" i="67"/>
  <c r="Q67" i="67"/>
  <c r="P67" i="67"/>
  <c r="O67" i="67"/>
  <c r="N67" i="67"/>
  <c r="A67" i="67"/>
  <c r="V66" i="67"/>
  <c r="U66" i="67"/>
  <c r="T66" i="67"/>
  <c r="S66" i="67"/>
  <c r="R66" i="67"/>
  <c r="Q66" i="67"/>
  <c r="P66" i="67"/>
  <c r="O66" i="67"/>
  <c r="N66" i="67"/>
  <c r="A66" i="67"/>
  <c r="C65" i="67"/>
  <c r="A65" i="67"/>
  <c r="V64" i="67"/>
  <c r="U64" i="67"/>
  <c r="T64" i="67"/>
  <c r="S64" i="67"/>
  <c r="R64" i="67"/>
  <c r="Q64" i="67"/>
  <c r="P64" i="67"/>
  <c r="O64" i="67"/>
  <c r="N64" i="67"/>
  <c r="C64" i="67"/>
  <c r="A64" i="67"/>
  <c r="V63" i="67"/>
  <c r="U63" i="67"/>
  <c r="T63" i="67"/>
  <c r="S63" i="67"/>
  <c r="R63" i="67"/>
  <c r="Q63" i="67"/>
  <c r="P63" i="67"/>
  <c r="O63" i="67"/>
  <c r="N63" i="67"/>
  <c r="A63" i="67"/>
  <c r="V62" i="67"/>
  <c r="U62" i="67"/>
  <c r="T62" i="67"/>
  <c r="S62" i="67"/>
  <c r="R62" i="67"/>
  <c r="Q62" i="67"/>
  <c r="P62" i="67"/>
  <c r="O62" i="67"/>
  <c r="N62" i="67"/>
  <c r="A62" i="67"/>
  <c r="V61" i="67"/>
  <c r="U61" i="67"/>
  <c r="T61" i="67"/>
  <c r="S61" i="67"/>
  <c r="R61" i="67"/>
  <c r="Q61" i="67"/>
  <c r="P61" i="67"/>
  <c r="O61" i="67"/>
  <c r="N61" i="67"/>
  <c r="A61" i="67"/>
  <c r="V60" i="67"/>
  <c r="U60" i="67"/>
  <c r="T60" i="67"/>
  <c r="S60" i="67"/>
  <c r="R60" i="67"/>
  <c r="Q60" i="67"/>
  <c r="P60" i="67"/>
  <c r="O60" i="67"/>
  <c r="N60" i="67"/>
  <c r="A60" i="67"/>
  <c r="V59" i="67"/>
  <c r="U59" i="67"/>
  <c r="T59" i="67"/>
  <c r="S59" i="67"/>
  <c r="R59" i="67"/>
  <c r="Q59" i="67"/>
  <c r="P59" i="67"/>
  <c r="O59" i="67"/>
  <c r="N59" i="67"/>
  <c r="A59" i="67"/>
  <c r="V58" i="67"/>
  <c r="U58" i="67"/>
  <c r="T58" i="67"/>
  <c r="S58" i="67"/>
  <c r="R58" i="67"/>
  <c r="Q58" i="67"/>
  <c r="P58" i="67"/>
  <c r="O58" i="67"/>
  <c r="N58" i="67"/>
  <c r="C58" i="67"/>
  <c r="A58" i="67"/>
  <c r="V57" i="67"/>
  <c r="U57" i="67"/>
  <c r="T57" i="67"/>
  <c r="S57" i="67"/>
  <c r="R57" i="67"/>
  <c r="Q57" i="67"/>
  <c r="P57" i="67"/>
  <c r="O57" i="67"/>
  <c r="N57" i="67"/>
  <c r="C57" i="67"/>
  <c r="A57" i="67"/>
  <c r="V56" i="67"/>
  <c r="U56" i="67"/>
  <c r="T56" i="67"/>
  <c r="S56" i="67"/>
  <c r="R56" i="67"/>
  <c r="Q56" i="67"/>
  <c r="P56" i="67"/>
  <c r="O56" i="67"/>
  <c r="N56" i="67"/>
  <c r="A56" i="67"/>
  <c r="V55" i="67"/>
  <c r="U55" i="67"/>
  <c r="T55" i="67"/>
  <c r="S55" i="67"/>
  <c r="R55" i="67"/>
  <c r="Q55" i="67"/>
  <c r="P55" i="67"/>
  <c r="O55" i="67"/>
  <c r="N55" i="67"/>
  <c r="A55" i="67"/>
  <c r="V54" i="67"/>
  <c r="U54" i="67"/>
  <c r="T54" i="67"/>
  <c r="S54" i="67"/>
  <c r="R54" i="67"/>
  <c r="Q54" i="67"/>
  <c r="P54" i="67"/>
  <c r="O54" i="67"/>
  <c r="N54" i="67"/>
  <c r="C54" i="67"/>
  <c r="A54" i="67"/>
  <c r="V53" i="67"/>
  <c r="U53" i="67"/>
  <c r="T53" i="67"/>
  <c r="S53" i="67"/>
  <c r="R53" i="67"/>
  <c r="Q53" i="67"/>
  <c r="P53" i="67"/>
  <c r="O53" i="67"/>
  <c r="N53" i="67"/>
  <c r="L53" i="67"/>
  <c r="K53" i="67"/>
  <c r="J53" i="67"/>
  <c r="I53" i="67"/>
  <c r="H53" i="67"/>
  <c r="G53" i="67"/>
  <c r="F53" i="67"/>
  <c r="E53" i="67"/>
  <c r="D53" i="67"/>
  <c r="C53" i="67"/>
  <c r="A53" i="67"/>
  <c r="V52" i="67"/>
  <c r="U52" i="67"/>
  <c r="T52" i="67"/>
  <c r="S52" i="67"/>
  <c r="R52" i="67"/>
  <c r="Q52" i="67"/>
  <c r="P52" i="67"/>
  <c r="O52" i="67"/>
  <c r="N52" i="67"/>
  <c r="L52" i="67"/>
  <c r="K52" i="67"/>
  <c r="J52" i="67"/>
  <c r="I52" i="67"/>
  <c r="H52" i="67"/>
  <c r="G52" i="67"/>
  <c r="F52" i="67"/>
  <c r="E52" i="67"/>
  <c r="D52" i="67"/>
  <c r="C52" i="67"/>
  <c r="A52" i="67"/>
  <c r="V51" i="67"/>
  <c r="U51" i="67"/>
  <c r="T51" i="67"/>
  <c r="S51" i="67"/>
  <c r="R51" i="67"/>
  <c r="Q51" i="67"/>
  <c r="P51" i="67"/>
  <c r="O51" i="67"/>
  <c r="N51" i="67"/>
  <c r="A51" i="67"/>
  <c r="V50" i="67"/>
  <c r="U50" i="67"/>
  <c r="T50" i="67"/>
  <c r="S50" i="67"/>
  <c r="R50" i="67"/>
  <c r="Q50" i="67"/>
  <c r="P50" i="67"/>
  <c r="O50" i="67"/>
  <c r="N50" i="67"/>
  <c r="A50" i="67"/>
  <c r="V49" i="67"/>
  <c r="U49" i="67"/>
  <c r="T49" i="67"/>
  <c r="S49" i="67"/>
  <c r="R49" i="67"/>
  <c r="Q49" i="67"/>
  <c r="P49" i="67"/>
  <c r="O49" i="67"/>
  <c r="N49" i="67"/>
  <c r="A49" i="67"/>
  <c r="V48" i="67"/>
  <c r="U48" i="67"/>
  <c r="T48" i="67"/>
  <c r="S48" i="67"/>
  <c r="R48" i="67"/>
  <c r="Q48" i="67"/>
  <c r="P48" i="67"/>
  <c r="O48" i="67"/>
  <c r="N48" i="67"/>
  <c r="A48" i="67"/>
  <c r="V47" i="67"/>
  <c r="U47" i="67"/>
  <c r="T47" i="67"/>
  <c r="S47" i="67"/>
  <c r="R47" i="67"/>
  <c r="Q47" i="67"/>
  <c r="P47" i="67"/>
  <c r="O47" i="67"/>
  <c r="N47" i="67"/>
  <c r="A47" i="67"/>
  <c r="V46" i="67"/>
  <c r="U46" i="67"/>
  <c r="T46" i="67"/>
  <c r="S46" i="67"/>
  <c r="R46" i="67"/>
  <c r="Q46" i="67"/>
  <c r="P46" i="67"/>
  <c r="O46" i="67"/>
  <c r="N46" i="67"/>
  <c r="A46" i="67"/>
  <c r="V45" i="67"/>
  <c r="U45" i="67"/>
  <c r="T45" i="67"/>
  <c r="S45" i="67"/>
  <c r="R45" i="67"/>
  <c r="Q45" i="67"/>
  <c r="P45" i="67"/>
  <c r="O45" i="67"/>
  <c r="N45" i="67"/>
  <c r="A45" i="67"/>
  <c r="V44" i="67"/>
  <c r="U44" i="67"/>
  <c r="T44" i="67"/>
  <c r="S44" i="67"/>
  <c r="R44" i="67"/>
  <c r="Q44" i="67"/>
  <c r="P44" i="67"/>
  <c r="O44" i="67"/>
  <c r="N44" i="67"/>
  <c r="A44" i="67"/>
  <c r="V43" i="67"/>
  <c r="U43" i="67"/>
  <c r="T43" i="67"/>
  <c r="S43" i="67"/>
  <c r="R43" i="67"/>
  <c r="Q43" i="67"/>
  <c r="P43" i="67"/>
  <c r="O43" i="67"/>
  <c r="N43" i="67"/>
  <c r="L43" i="67"/>
  <c r="K43" i="67"/>
  <c r="J43" i="67"/>
  <c r="I43" i="67"/>
  <c r="H43" i="67"/>
  <c r="G43" i="67"/>
  <c r="F43" i="67"/>
  <c r="E43" i="67"/>
  <c r="D43" i="67"/>
  <c r="C43" i="67"/>
  <c r="A43" i="67"/>
  <c r="V42" i="67"/>
  <c r="U42" i="67"/>
  <c r="T42" i="67"/>
  <c r="S42" i="67"/>
  <c r="R42" i="67"/>
  <c r="Q42" i="67"/>
  <c r="P42" i="67"/>
  <c r="O42" i="67"/>
  <c r="N42" i="67"/>
  <c r="L42" i="67"/>
  <c r="K42" i="67"/>
  <c r="J42" i="67"/>
  <c r="I42" i="67"/>
  <c r="H42" i="67"/>
  <c r="G42" i="67"/>
  <c r="F42" i="67"/>
  <c r="E42" i="67"/>
  <c r="D42" i="67"/>
  <c r="C42" i="67"/>
  <c r="A42" i="67"/>
  <c r="V41" i="67"/>
  <c r="U41" i="67"/>
  <c r="T41" i="67"/>
  <c r="S41" i="67"/>
  <c r="R41" i="67"/>
  <c r="Q41" i="67"/>
  <c r="P41" i="67"/>
  <c r="O41" i="67"/>
  <c r="N41" i="67"/>
  <c r="L41" i="67"/>
  <c r="K41" i="67"/>
  <c r="J41" i="67"/>
  <c r="I41" i="67"/>
  <c r="H41" i="67"/>
  <c r="G41" i="67"/>
  <c r="F41" i="67"/>
  <c r="E41" i="67"/>
  <c r="D41" i="67"/>
  <c r="C41" i="67"/>
  <c r="A41" i="67"/>
  <c r="V40" i="67"/>
  <c r="U40" i="67"/>
  <c r="T40" i="67"/>
  <c r="S40" i="67"/>
  <c r="R40" i="67"/>
  <c r="Q40" i="67"/>
  <c r="P40" i="67"/>
  <c r="O40" i="67"/>
  <c r="N40" i="67"/>
  <c r="A40" i="67"/>
  <c r="V39" i="67"/>
  <c r="U39" i="67"/>
  <c r="T39" i="67"/>
  <c r="S39" i="67"/>
  <c r="R39" i="67"/>
  <c r="Q39" i="67"/>
  <c r="P39" i="67"/>
  <c r="O39" i="67"/>
  <c r="N39" i="67"/>
  <c r="L39" i="67"/>
  <c r="K39" i="67"/>
  <c r="J39" i="67"/>
  <c r="I39" i="67"/>
  <c r="H39" i="67"/>
  <c r="G39" i="67"/>
  <c r="F39" i="67"/>
  <c r="E39" i="67"/>
  <c r="D39" i="67"/>
  <c r="C39" i="67"/>
  <c r="A39" i="67"/>
  <c r="V38" i="67"/>
  <c r="U38" i="67"/>
  <c r="T38" i="67"/>
  <c r="S38" i="67"/>
  <c r="R38" i="67"/>
  <c r="Q38" i="67"/>
  <c r="P38" i="67"/>
  <c r="O38" i="67"/>
  <c r="N38" i="67"/>
  <c r="A38" i="67"/>
  <c r="V37" i="67"/>
  <c r="U37" i="67"/>
  <c r="T37" i="67"/>
  <c r="S37" i="67"/>
  <c r="R37" i="67"/>
  <c r="Q37" i="67"/>
  <c r="P37" i="67"/>
  <c r="O37" i="67"/>
  <c r="N37" i="67"/>
  <c r="L37" i="67"/>
  <c r="K37" i="67"/>
  <c r="J37" i="67"/>
  <c r="I37" i="67"/>
  <c r="H37" i="67"/>
  <c r="G37" i="67"/>
  <c r="F37" i="67"/>
  <c r="E37" i="67"/>
  <c r="D37" i="67"/>
  <c r="C37" i="67"/>
  <c r="A37" i="67"/>
  <c r="V36" i="67"/>
  <c r="U36" i="67"/>
  <c r="T36" i="67"/>
  <c r="S36" i="67"/>
  <c r="R36" i="67"/>
  <c r="Q36" i="67"/>
  <c r="P36" i="67"/>
  <c r="O36" i="67"/>
  <c r="N36" i="67"/>
  <c r="C36" i="67"/>
  <c r="A36" i="67"/>
  <c r="V35" i="67"/>
  <c r="U35" i="67"/>
  <c r="T35" i="67"/>
  <c r="S35" i="67"/>
  <c r="R35" i="67"/>
  <c r="Q35" i="67"/>
  <c r="P35" i="67"/>
  <c r="O35" i="67"/>
  <c r="N35" i="67"/>
  <c r="A35" i="67"/>
  <c r="V34" i="67"/>
  <c r="U34" i="67"/>
  <c r="T34" i="67"/>
  <c r="S34" i="67"/>
  <c r="R34" i="67"/>
  <c r="Q34" i="67"/>
  <c r="P34" i="67"/>
  <c r="O34" i="67"/>
  <c r="N34" i="67"/>
  <c r="L34" i="67"/>
  <c r="K34" i="67"/>
  <c r="J34" i="67"/>
  <c r="I34" i="67"/>
  <c r="H34" i="67"/>
  <c r="G34" i="67"/>
  <c r="F34" i="67"/>
  <c r="E34" i="67"/>
  <c r="D34" i="67"/>
  <c r="C34" i="67"/>
  <c r="A34" i="67"/>
  <c r="V33" i="67"/>
  <c r="U33" i="67"/>
  <c r="T33" i="67"/>
  <c r="S33" i="67"/>
  <c r="R33" i="67"/>
  <c r="Q33" i="67"/>
  <c r="P33" i="67"/>
  <c r="O33" i="67"/>
  <c r="N33" i="67"/>
  <c r="L33" i="67"/>
  <c r="K33" i="67"/>
  <c r="J33" i="67"/>
  <c r="I33" i="67"/>
  <c r="H33" i="67"/>
  <c r="G33" i="67"/>
  <c r="F33" i="67"/>
  <c r="E33" i="67"/>
  <c r="D33" i="67"/>
  <c r="T32" i="67"/>
  <c r="S32" i="67"/>
  <c r="V31" i="67"/>
  <c r="U31" i="67"/>
  <c r="T31" i="67"/>
  <c r="S31" i="67"/>
  <c r="R31" i="67"/>
  <c r="Q31" i="67"/>
  <c r="P31" i="67"/>
  <c r="O31" i="67"/>
  <c r="N31" i="67"/>
  <c r="M31" i="67"/>
  <c r="J20" i="67"/>
  <c r="I20" i="67"/>
  <c r="H20" i="67"/>
  <c r="G20" i="67"/>
  <c r="J19" i="67"/>
  <c r="I19" i="67"/>
  <c r="H19" i="67"/>
  <c r="G19" i="67"/>
  <c r="J18" i="67"/>
  <c r="I18" i="67"/>
  <c r="H18" i="67"/>
  <c r="G18" i="67"/>
  <c r="J17" i="67"/>
  <c r="I17" i="67"/>
  <c r="H17" i="67"/>
  <c r="G17" i="67"/>
  <c r="J16" i="67"/>
  <c r="I16" i="67"/>
  <c r="H16" i="67"/>
  <c r="G16" i="67"/>
  <c r="J15" i="67"/>
  <c r="I15" i="67"/>
  <c r="H15" i="67"/>
  <c r="G15" i="67"/>
  <c r="J14" i="67"/>
  <c r="I14" i="67"/>
  <c r="H14" i="67"/>
  <c r="G14" i="67"/>
  <c r="J13" i="67"/>
  <c r="I13" i="67"/>
  <c r="H13" i="67"/>
  <c r="G13" i="67"/>
  <c r="J12" i="67"/>
  <c r="I12" i="67"/>
  <c r="H12" i="67"/>
  <c r="G12" i="67"/>
  <c r="J11" i="67"/>
  <c r="H11" i="67"/>
  <c r="G11" i="67"/>
  <c r="E7" i="67"/>
  <c r="B7" i="67"/>
  <c r="I11" i="67" s="1"/>
  <c r="C33" i="67" s="1"/>
  <c r="R136" i="11"/>
  <c r="Q136" i="11"/>
  <c r="P136" i="11"/>
  <c r="O136" i="11"/>
  <c r="N136" i="11"/>
  <c r="S135" i="11"/>
  <c r="P135" i="11"/>
  <c r="O135" i="11"/>
  <c r="N135" i="11"/>
  <c r="F135" i="11"/>
  <c r="E135" i="11"/>
  <c r="S134" i="11"/>
  <c r="P134" i="11"/>
  <c r="O134" i="11"/>
  <c r="N134" i="11"/>
  <c r="D134" i="11"/>
  <c r="S133" i="11"/>
  <c r="P133" i="11"/>
  <c r="O133" i="11"/>
  <c r="N133" i="11"/>
  <c r="F133" i="11"/>
  <c r="E133" i="11"/>
  <c r="S132" i="11"/>
  <c r="P132" i="11"/>
  <c r="O132" i="11"/>
  <c r="N132" i="11"/>
  <c r="F132" i="11"/>
  <c r="E132" i="11"/>
  <c r="D132" i="11"/>
  <c r="S131" i="11"/>
  <c r="P131" i="11"/>
  <c r="O131" i="11"/>
  <c r="N131" i="11"/>
  <c r="E131" i="11"/>
  <c r="D131" i="11"/>
  <c r="R128" i="11"/>
  <c r="Q128" i="11"/>
  <c r="P128" i="11"/>
  <c r="O128" i="11"/>
  <c r="N128" i="11"/>
  <c r="S127" i="11"/>
  <c r="R127" i="11"/>
  <c r="P127" i="11"/>
  <c r="O127" i="11"/>
  <c r="N127" i="11"/>
  <c r="F127" i="11"/>
  <c r="E127" i="11"/>
  <c r="S126" i="11"/>
  <c r="R126" i="11"/>
  <c r="P126" i="11"/>
  <c r="O126" i="11"/>
  <c r="N126" i="11"/>
  <c r="D126" i="11"/>
  <c r="S125" i="11"/>
  <c r="R125" i="11"/>
  <c r="P125" i="11"/>
  <c r="O125" i="11"/>
  <c r="N125" i="11"/>
  <c r="F125" i="11"/>
  <c r="E125" i="11"/>
  <c r="S124" i="11"/>
  <c r="R124" i="11"/>
  <c r="P124" i="11"/>
  <c r="O124" i="11"/>
  <c r="N124" i="11"/>
  <c r="F124" i="11"/>
  <c r="E124" i="11"/>
  <c r="D124" i="11"/>
  <c r="S123" i="11"/>
  <c r="R123" i="11"/>
  <c r="P123" i="11"/>
  <c r="O123" i="11"/>
  <c r="N123" i="11"/>
  <c r="E123" i="11"/>
  <c r="D123" i="11"/>
  <c r="V103" i="11"/>
  <c r="U103" i="11"/>
  <c r="T103" i="11"/>
  <c r="S103" i="11"/>
  <c r="R103" i="11"/>
  <c r="Q103" i="11"/>
  <c r="P103" i="11"/>
  <c r="O103" i="11"/>
  <c r="A103" i="11"/>
  <c r="V102" i="11"/>
  <c r="U102" i="11"/>
  <c r="T102" i="11"/>
  <c r="S102" i="11"/>
  <c r="R102" i="11"/>
  <c r="Q102" i="11"/>
  <c r="P102" i="11"/>
  <c r="O102" i="11"/>
  <c r="A102" i="11"/>
  <c r="V101" i="11"/>
  <c r="U101" i="11"/>
  <c r="T101" i="11"/>
  <c r="S101" i="11"/>
  <c r="R101" i="11"/>
  <c r="Q101" i="11"/>
  <c r="P101" i="11"/>
  <c r="O101" i="11"/>
  <c r="A101" i="11"/>
  <c r="V100" i="11"/>
  <c r="U100" i="11"/>
  <c r="T100" i="11"/>
  <c r="S100" i="11"/>
  <c r="R100" i="11"/>
  <c r="Q100" i="11"/>
  <c r="P100" i="11"/>
  <c r="O100" i="11"/>
  <c r="A100" i="11"/>
  <c r="V99" i="11"/>
  <c r="U99" i="11"/>
  <c r="T99" i="11"/>
  <c r="S99" i="11"/>
  <c r="R99" i="11"/>
  <c r="Q99" i="11"/>
  <c r="P99" i="11"/>
  <c r="O99" i="11"/>
  <c r="A99" i="11"/>
  <c r="V98" i="11"/>
  <c r="U98" i="11"/>
  <c r="T98" i="11"/>
  <c r="S98" i="11"/>
  <c r="R98" i="11"/>
  <c r="Q98" i="11"/>
  <c r="P98" i="11"/>
  <c r="O98" i="11"/>
  <c r="A98" i="11"/>
  <c r="V97" i="11"/>
  <c r="U97" i="11"/>
  <c r="T97" i="11"/>
  <c r="S97" i="11"/>
  <c r="R97" i="11"/>
  <c r="Q97" i="11"/>
  <c r="P97" i="11"/>
  <c r="O97" i="11"/>
  <c r="A97" i="11"/>
  <c r="V96" i="11"/>
  <c r="U96" i="11"/>
  <c r="T96" i="11"/>
  <c r="S96" i="11"/>
  <c r="R96" i="11"/>
  <c r="Q96" i="11"/>
  <c r="P96" i="11"/>
  <c r="O96" i="11"/>
  <c r="A96" i="11"/>
  <c r="V95" i="11"/>
  <c r="U95" i="11"/>
  <c r="T95" i="11"/>
  <c r="S95" i="11"/>
  <c r="R95" i="11"/>
  <c r="Q95" i="11"/>
  <c r="P95" i="11"/>
  <c r="O95" i="11"/>
  <c r="A95" i="11"/>
  <c r="V94" i="11"/>
  <c r="U94" i="11"/>
  <c r="T94" i="11"/>
  <c r="S94" i="11"/>
  <c r="R94" i="11"/>
  <c r="Q94" i="11"/>
  <c r="P94" i="11"/>
  <c r="O94" i="11"/>
  <c r="A94" i="11"/>
  <c r="V93" i="11"/>
  <c r="U93" i="11"/>
  <c r="T93" i="11"/>
  <c r="S93" i="11"/>
  <c r="R93" i="11"/>
  <c r="Q93" i="11"/>
  <c r="P93" i="11"/>
  <c r="O93" i="11"/>
  <c r="A93" i="11"/>
  <c r="V92" i="11"/>
  <c r="U92" i="11"/>
  <c r="T92" i="11"/>
  <c r="S92" i="11"/>
  <c r="R92" i="11"/>
  <c r="Q92" i="11"/>
  <c r="P92" i="11"/>
  <c r="O92" i="11"/>
  <c r="A92" i="11"/>
  <c r="V91" i="11"/>
  <c r="U91" i="11"/>
  <c r="T91" i="11"/>
  <c r="S91" i="11"/>
  <c r="R91" i="11"/>
  <c r="Q91" i="11"/>
  <c r="P91" i="11"/>
  <c r="O91" i="11"/>
  <c r="A91" i="11"/>
  <c r="V90" i="11"/>
  <c r="U90" i="11"/>
  <c r="T90" i="11"/>
  <c r="S90" i="11"/>
  <c r="R90" i="11"/>
  <c r="Q90" i="11"/>
  <c r="P90" i="11"/>
  <c r="O90" i="11"/>
  <c r="A90" i="11"/>
  <c r="V89" i="11"/>
  <c r="U89" i="11"/>
  <c r="T89" i="11"/>
  <c r="S89" i="11"/>
  <c r="R89" i="11"/>
  <c r="Q89" i="11"/>
  <c r="P89" i="11"/>
  <c r="O89" i="11"/>
  <c r="A89" i="11"/>
  <c r="V88" i="11"/>
  <c r="U88" i="11"/>
  <c r="T88" i="11"/>
  <c r="S88" i="11"/>
  <c r="R88" i="11"/>
  <c r="Q88" i="11"/>
  <c r="P88" i="11"/>
  <c r="O88" i="11"/>
  <c r="A88" i="11"/>
  <c r="V87" i="11"/>
  <c r="U87" i="11"/>
  <c r="T87" i="11"/>
  <c r="S87" i="11"/>
  <c r="R87" i="11"/>
  <c r="Q87" i="11"/>
  <c r="P87" i="11"/>
  <c r="O87" i="11"/>
  <c r="A87" i="11"/>
  <c r="V86" i="11"/>
  <c r="U86" i="11"/>
  <c r="T86" i="11"/>
  <c r="S86" i="11"/>
  <c r="R86" i="11"/>
  <c r="Q86" i="11"/>
  <c r="P86" i="11"/>
  <c r="O86" i="11"/>
  <c r="A86" i="11"/>
  <c r="V85" i="11"/>
  <c r="U85" i="11"/>
  <c r="T85" i="11"/>
  <c r="S85" i="11"/>
  <c r="R85" i="11"/>
  <c r="Q85" i="11"/>
  <c r="P85" i="11"/>
  <c r="O85" i="11"/>
  <c r="A85" i="11"/>
  <c r="V84" i="11"/>
  <c r="U84" i="11"/>
  <c r="T84" i="11"/>
  <c r="S84" i="11"/>
  <c r="R84" i="11"/>
  <c r="Q84" i="11"/>
  <c r="P84" i="11"/>
  <c r="O84" i="11"/>
  <c r="A84" i="11"/>
  <c r="V83" i="11"/>
  <c r="U83" i="11"/>
  <c r="T83" i="11"/>
  <c r="S83" i="11"/>
  <c r="R83" i="11"/>
  <c r="Q83" i="11"/>
  <c r="P83" i="11"/>
  <c r="O83" i="11"/>
  <c r="A83" i="11"/>
  <c r="V82" i="11"/>
  <c r="U82" i="11"/>
  <c r="T82" i="11"/>
  <c r="S82" i="11"/>
  <c r="R82" i="11"/>
  <c r="Q82" i="11"/>
  <c r="P82" i="11"/>
  <c r="O82" i="11"/>
  <c r="L82" i="11"/>
  <c r="K82" i="11"/>
  <c r="J82" i="11"/>
  <c r="I82" i="11"/>
  <c r="H82" i="11"/>
  <c r="G82" i="11"/>
  <c r="F82" i="11"/>
  <c r="A82" i="11"/>
  <c r="V81" i="11"/>
  <c r="U81" i="11"/>
  <c r="T81" i="11"/>
  <c r="S81" i="11"/>
  <c r="R81" i="11"/>
  <c r="Q81" i="11"/>
  <c r="P81" i="11"/>
  <c r="O81" i="11"/>
  <c r="A81" i="11"/>
  <c r="V80" i="11"/>
  <c r="U80" i="11"/>
  <c r="T80" i="11"/>
  <c r="S80" i="11"/>
  <c r="R80" i="11"/>
  <c r="Q80" i="11"/>
  <c r="P80" i="11"/>
  <c r="O80" i="11"/>
  <c r="D80" i="11"/>
  <c r="A80" i="11"/>
  <c r="V79" i="11"/>
  <c r="U79" i="11"/>
  <c r="T79" i="11"/>
  <c r="S79" i="11"/>
  <c r="R79" i="11"/>
  <c r="Q79" i="11"/>
  <c r="P79" i="11"/>
  <c r="O79" i="11"/>
  <c r="D79" i="11"/>
  <c r="A79" i="11"/>
  <c r="V78" i="11"/>
  <c r="U78" i="11"/>
  <c r="T78" i="11"/>
  <c r="S78" i="11"/>
  <c r="R78" i="11"/>
  <c r="Q78" i="11"/>
  <c r="P78" i="11"/>
  <c r="O78" i="11"/>
  <c r="D78" i="11"/>
  <c r="A78" i="11"/>
  <c r="V77" i="11"/>
  <c r="U77" i="11"/>
  <c r="T77" i="11"/>
  <c r="S77" i="11"/>
  <c r="R77" i="11"/>
  <c r="Q77" i="11"/>
  <c r="P77" i="11"/>
  <c r="O77" i="11"/>
  <c r="D77" i="11"/>
  <c r="A77" i="11"/>
  <c r="V76" i="11"/>
  <c r="U76" i="11"/>
  <c r="T76" i="11"/>
  <c r="S76" i="11"/>
  <c r="R76" i="11"/>
  <c r="Q76" i="11"/>
  <c r="P76" i="11"/>
  <c r="O76" i="11"/>
  <c r="D76" i="11"/>
  <c r="A76" i="11"/>
  <c r="V75" i="11"/>
  <c r="U75" i="11"/>
  <c r="T75" i="11"/>
  <c r="S75" i="11"/>
  <c r="R75" i="11"/>
  <c r="Q75" i="11"/>
  <c r="P75" i="11"/>
  <c r="O75" i="11"/>
  <c r="A75" i="11"/>
  <c r="V74" i="11"/>
  <c r="U74" i="11"/>
  <c r="T74" i="11"/>
  <c r="S74" i="11"/>
  <c r="R74" i="11"/>
  <c r="Q74" i="11"/>
  <c r="P74" i="11"/>
  <c r="O74" i="11"/>
  <c r="A74" i="11"/>
  <c r="V73" i="11"/>
  <c r="U73" i="11"/>
  <c r="T73" i="11"/>
  <c r="S73" i="11"/>
  <c r="R73" i="11"/>
  <c r="Q73" i="11"/>
  <c r="P73" i="11"/>
  <c r="O73" i="11"/>
  <c r="A73" i="11"/>
  <c r="V72" i="11"/>
  <c r="U72" i="11"/>
  <c r="T72" i="11"/>
  <c r="S72" i="11"/>
  <c r="R72" i="11"/>
  <c r="Q72" i="11"/>
  <c r="P72" i="11"/>
  <c r="O72" i="11"/>
  <c r="A72" i="11"/>
  <c r="V71" i="11"/>
  <c r="U71" i="11"/>
  <c r="T71" i="11"/>
  <c r="S71" i="11"/>
  <c r="R71" i="11"/>
  <c r="Q71" i="11"/>
  <c r="P71" i="11"/>
  <c r="O71" i="11"/>
  <c r="L71" i="11"/>
  <c r="K71" i="11"/>
  <c r="J71" i="11"/>
  <c r="I71" i="11"/>
  <c r="H71" i="11"/>
  <c r="G71" i="11"/>
  <c r="F71" i="11"/>
  <c r="E71" i="11"/>
  <c r="D71" i="11"/>
  <c r="C71" i="11"/>
  <c r="A71" i="11"/>
  <c r="V70" i="11"/>
  <c r="U70" i="11"/>
  <c r="T70" i="11"/>
  <c r="S70" i="11"/>
  <c r="R70" i="11"/>
  <c r="Q70" i="11"/>
  <c r="P70" i="11"/>
  <c r="O70" i="11"/>
  <c r="A70" i="11"/>
  <c r="L69" i="11"/>
  <c r="K69" i="11"/>
  <c r="J69" i="11"/>
  <c r="I69" i="11"/>
  <c r="H69" i="11"/>
  <c r="G69" i="11"/>
  <c r="F69" i="11"/>
  <c r="E69" i="11"/>
  <c r="C69" i="11"/>
  <c r="A69" i="11"/>
  <c r="V68" i="11"/>
  <c r="U68" i="11"/>
  <c r="T68" i="11"/>
  <c r="S68" i="11"/>
  <c r="R68" i="11"/>
  <c r="Q68" i="11"/>
  <c r="P68" i="11"/>
  <c r="O68" i="11"/>
  <c r="C68" i="11"/>
  <c r="A68" i="11"/>
  <c r="V67" i="11"/>
  <c r="U67" i="11"/>
  <c r="T67" i="11"/>
  <c r="S67" i="11"/>
  <c r="R67" i="11"/>
  <c r="Q67" i="11"/>
  <c r="P67" i="11"/>
  <c r="O67" i="11"/>
  <c r="A67" i="11"/>
  <c r="V66" i="11"/>
  <c r="U66" i="11"/>
  <c r="T66" i="11"/>
  <c r="S66" i="11"/>
  <c r="R66" i="11"/>
  <c r="Q66" i="11"/>
  <c r="P66" i="11"/>
  <c r="O66" i="11"/>
  <c r="A66" i="11"/>
  <c r="D65" i="11"/>
  <c r="C65" i="11"/>
  <c r="A65" i="11"/>
  <c r="V64" i="11"/>
  <c r="U64" i="11"/>
  <c r="T64" i="11"/>
  <c r="S64" i="11"/>
  <c r="R64" i="11"/>
  <c r="Q64" i="11"/>
  <c r="P64" i="11"/>
  <c r="O64" i="11"/>
  <c r="D64" i="11"/>
  <c r="C64" i="11"/>
  <c r="A64" i="11"/>
  <c r="V63" i="11"/>
  <c r="U63" i="11"/>
  <c r="T63" i="11"/>
  <c r="S63" i="11"/>
  <c r="R63" i="11"/>
  <c r="Q63" i="11"/>
  <c r="P63" i="11"/>
  <c r="O63" i="11"/>
  <c r="A63" i="11"/>
  <c r="V62" i="11"/>
  <c r="U62" i="11"/>
  <c r="T62" i="11"/>
  <c r="S62" i="11"/>
  <c r="R62" i="11"/>
  <c r="Q62" i="11"/>
  <c r="P62" i="11"/>
  <c r="O62" i="11"/>
  <c r="A62" i="11"/>
  <c r="V61" i="11"/>
  <c r="U61" i="11"/>
  <c r="T61" i="11"/>
  <c r="S61" i="11"/>
  <c r="R61" i="11"/>
  <c r="Q61" i="11"/>
  <c r="P61" i="11"/>
  <c r="O61" i="11"/>
  <c r="A61" i="11"/>
  <c r="V60" i="11"/>
  <c r="U60" i="11"/>
  <c r="T60" i="11"/>
  <c r="S60" i="11"/>
  <c r="R60" i="11"/>
  <c r="Q60" i="11"/>
  <c r="P60" i="11"/>
  <c r="O60" i="11"/>
  <c r="A60" i="11"/>
  <c r="V59" i="11"/>
  <c r="U59" i="11"/>
  <c r="T59" i="11"/>
  <c r="S59" i="11"/>
  <c r="R59" i="11"/>
  <c r="Q59" i="11"/>
  <c r="P59" i="11"/>
  <c r="O59" i="11"/>
  <c r="A59" i="11"/>
  <c r="V58" i="11"/>
  <c r="U58" i="11"/>
  <c r="T58" i="11"/>
  <c r="S58" i="11"/>
  <c r="R58" i="11"/>
  <c r="Q58" i="11"/>
  <c r="P58" i="11"/>
  <c r="O58" i="11"/>
  <c r="C58" i="11"/>
  <c r="A58" i="11"/>
  <c r="V57" i="11"/>
  <c r="U57" i="11"/>
  <c r="T57" i="11"/>
  <c r="S57" i="11"/>
  <c r="R57" i="11"/>
  <c r="Q57" i="11"/>
  <c r="P57" i="11"/>
  <c r="O57" i="11"/>
  <c r="C57" i="11"/>
  <c r="A57" i="11"/>
  <c r="V56" i="11"/>
  <c r="U56" i="11"/>
  <c r="T56" i="11"/>
  <c r="S56" i="11"/>
  <c r="R56" i="11"/>
  <c r="Q56" i="11"/>
  <c r="P56" i="11"/>
  <c r="O56" i="11"/>
  <c r="A56" i="11"/>
  <c r="V55" i="11"/>
  <c r="U55" i="11"/>
  <c r="T55" i="11"/>
  <c r="S55" i="11"/>
  <c r="R55" i="11"/>
  <c r="Q55" i="11"/>
  <c r="P55" i="11"/>
  <c r="O55" i="11"/>
  <c r="A55" i="11"/>
  <c r="V54" i="11"/>
  <c r="U54" i="11"/>
  <c r="T54" i="11"/>
  <c r="S54" i="11"/>
  <c r="R54" i="11"/>
  <c r="Q54" i="11"/>
  <c r="P54" i="11"/>
  <c r="O54" i="11"/>
  <c r="D54" i="11"/>
  <c r="C54" i="11"/>
  <c r="A54" i="11"/>
  <c r="V53" i="11"/>
  <c r="U53" i="11"/>
  <c r="T53" i="11"/>
  <c r="S53" i="11"/>
  <c r="R53" i="11"/>
  <c r="Q53" i="11"/>
  <c r="P53" i="11"/>
  <c r="O53" i="11"/>
  <c r="L53" i="11"/>
  <c r="K53" i="11"/>
  <c r="J53" i="11"/>
  <c r="I53" i="11"/>
  <c r="H53" i="11"/>
  <c r="G53" i="11"/>
  <c r="F53" i="11"/>
  <c r="E53" i="11"/>
  <c r="D53" i="11"/>
  <c r="C53" i="11"/>
  <c r="A53" i="11"/>
  <c r="V52" i="11"/>
  <c r="U52" i="11"/>
  <c r="T52" i="11"/>
  <c r="S52" i="11"/>
  <c r="R52" i="11"/>
  <c r="Q52" i="11"/>
  <c r="P52" i="11"/>
  <c r="O52" i="11"/>
  <c r="L52" i="11"/>
  <c r="K52" i="11"/>
  <c r="J52" i="11"/>
  <c r="I52" i="11"/>
  <c r="H52" i="11"/>
  <c r="G52" i="11"/>
  <c r="F52" i="11"/>
  <c r="E52" i="11"/>
  <c r="D52" i="11"/>
  <c r="C52" i="11"/>
  <c r="A52" i="11"/>
  <c r="V51" i="11"/>
  <c r="U51" i="11"/>
  <c r="T51" i="11"/>
  <c r="S51" i="11"/>
  <c r="R51" i="11"/>
  <c r="Q51" i="11"/>
  <c r="P51" i="11"/>
  <c r="O51" i="11"/>
  <c r="A51" i="11"/>
  <c r="V50" i="11"/>
  <c r="U50" i="11"/>
  <c r="T50" i="11"/>
  <c r="S50" i="11"/>
  <c r="R50" i="11"/>
  <c r="Q50" i="11"/>
  <c r="P50" i="11"/>
  <c r="O50" i="11"/>
  <c r="A50" i="11"/>
  <c r="V49" i="11"/>
  <c r="U49" i="11"/>
  <c r="T49" i="11"/>
  <c r="S49" i="11"/>
  <c r="R49" i="11"/>
  <c r="Q49" i="11"/>
  <c r="P49" i="11"/>
  <c r="O49" i="11"/>
  <c r="A49" i="11"/>
  <c r="V48" i="11"/>
  <c r="U48" i="11"/>
  <c r="T48" i="11"/>
  <c r="S48" i="11"/>
  <c r="R48" i="11"/>
  <c r="Q48" i="11"/>
  <c r="P48" i="11"/>
  <c r="O48" i="11"/>
  <c r="A48" i="11"/>
  <c r="V47" i="11"/>
  <c r="U47" i="11"/>
  <c r="T47" i="11"/>
  <c r="S47" i="11"/>
  <c r="R47" i="11"/>
  <c r="Q47" i="11"/>
  <c r="P47" i="11"/>
  <c r="O47" i="11"/>
  <c r="A47" i="11"/>
  <c r="V46" i="11"/>
  <c r="U46" i="11"/>
  <c r="T46" i="11"/>
  <c r="S46" i="11"/>
  <c r="R46" i="11"/>
  <c r="Q46" i="11"/>
  <c r="P46" i="11"/>
  <c r="O46" i="11"/>
  <c r="A46" i="11"/>
  <c r="V45" i="11"/>
  <c r="U45" i="11"/>
  <c r="T45" i="11"/>
  <c r="S45" i="11"/>
  <c r="R45" i="11"/>
  <c r="Q45" i="11"/>
  <c r="P45" i="11"/>
  <c r="O45" i="11"/>
  <c r="A45" i="11"/>
  <c r="V44" i="11"/>
  <c r="U44" i="11"/>
  <c r="T44" i="11"/>
  <c r="S44" i="11"/>
  <c r="R44" i="11"/>
  <c r="Q44" i="11"/>
  <c r="P44" i="11"/>
  <c r="O44" i="11"/>
  <c r="A44" i="11"/>
  <c r="V43" i="11"/>
  <c r="U43" i="11"/>
  <c r="T43" i="11"/>
  <c r="S43" i="11"/>
  <c r="R43" i="11"/>
  <c r="Q43" i="11"/>
  <c r="P43" i="11"/>
  <c r="O43" i="11"/>
  <c r="L43" i="11"/>
  <c r="K43" i="11"/>
  <c r="J43" i="11"/>
  <c r="I43" i="11"/>
  <c r="H43" i="11"/>
  <c r="G43" i="11"/>
  <c r="F43" i="11"/>
  <c r="E43" i="11"/>
  <c r="D43" i="11"/>
  <c r="C43" i="11"/>
  <c r="A43" i="11"/>
  <c r="V42" i="11"/>
  <c r="U42" i="11"/>
  <c r="T42" i="11"/>
  <c r="S42" i="11"/>
  <c r="R42" i="11"/>
  <c r="Q42" i="11"/>
  <c r="P42" i="11"/>
  <c r="O42" i="11"/>
  <c r="L42" i="11"/>
  <c r="K42" i="11"/>
  <c r="J42" i="11"/>
  <c r="I42" i="11"/>
  <c r="H42" i="11"/>
  <c r="G42" i="11"/>
  <c r="F42" i="11"/>
  <c r="E42" i="11"/>
  <c r="D42" i="11"/>
  <c r="C42" i="11"/>
  <c r="A42" i="11"/>
  <c r="V41" i="11"/>
  <c r="U41" i="11"/>
  <c r="T41" i="11"/>
  <c r="S41" i="11"/>
  <c r="R41" i="11"/>
  <c r="Q41" i="11"/>
  <c r="P41" i="11"/>
  <c r="O41" i="11"/>
  <c r="L41" i="11"/>
  <c r="K41" i="11"/>
  <c r="J41" i="11"/>
  <c r="I41" i="11"/>
  <c r="H41" i="11"/>
  <c r="G41" i="11"/>
  <c r="F41" i="11"/>
  <c r="E41" i="11"/>
  <c r="D41" i="11"/>
  <c r="C41" i="11"/>
  <c r="A41" i="11"/>
  <c r="V40" i="11"/>
  <c r="U40" i="11"/>
  <c r="T40" i="11"/>
  <c r="S40" i="11"/>
  <c r="R40" i="11"/>
  <c r="Q40" i="11"/>
  <c r="P40" i="11"/>
  <c r="O40" i="11"/>
  <c r="A40" i="11"/>
  <c r="V39" i="11"/>
  <c r="U39" i="11"/>
  <c r="T39" i="11"/>
  <c r="S39" i="11"/>
  <c r="R39" i="11"/>
  <c r="Q39" i="11"/>
  <c r="P39" i="11"/>
  <c r="O39" i="11"/>
  <c r="L39" i="11"/>
  <c r="K39" i="11"/>
  <c r="J39" i="11"/>
  <c r="I39" i="11"/>
  <c r="H39" i="11"/>
  <c r="G39" i="11"/>
  <c r="F39" i="11"/>
  <c r="E39" i="11"/>
  <c r="D39" i="11"/>
  <c r="C39" i="11"/>
  <c r="A39" i="11"/>
  <c r="V38" i="11"/>
  <c r="U38" i="11"/>
  <c r="T38" i="11"/>
  <c r="S38" i="11"/>
  <c r="R38" i="11"/>
  <c r="Q38" i="11"/>
  <c r="P38" i="11"/>
  <c r="O38" i="11"/>
  <c r="A38" i="11"/>
  <c r="V37" i="11"/>
  <c r="U37" i="11"/>
  <c r="T37" i="11"/>
  <c r="S37" i="11"/>
  <c r="R37" i="11"/>
  <c r="Q37" i="11"/>
  <c r="P37" i="11"/>
  <c r="O37" i="11"/>
  <c r="L37" i="11"/>
  <c r="K37" i="11"/>
  <c r="J37" i="11"/>
  <c r="I37" i="11"/>
  <c r="H37" i="11"/>
  <c r="G37" i="11"/>
  <c r="F37" i="11"/>
  <c r="E37" i="11"/>
  <c r="D37" i="11"/>
  <c r="C37" i="11"/>
  <c r="A37" i="11"/>
  <c r="V36" i="11"/>
  <c r="U36" i="11"/>
  <c r="T36" i="11"/>
  <c r="S36" i="11"/>
  <c r="R36" i="11"/>
  <c r="Q36" i="11"/>
  <c r="P36" i="11"/>
  <c r="O36" i="11"/>
  <c r="D36" i="11"/>
  <c r="C36" i="11"/>
  <c r="A36" i="11"/>
  <c r="V35" i="11"/>
  <c r="U35" i="11"/>
  <c r="T35" i="11"/>
  <c r="S35" i="11"/>
  <c r="R35" i="11"/>
  <c r="Q35" i="11"/>
  <c r="P35" i="11"/>
  <c r="O35" i="11"/>
  <c r="A35" i="11"/>
  <c r="V34" i="11"/>
  <c r="U34" i="11"/>
  <c r="T34" i="11"/>
  <c r="S34" i="11"/>
  <c r="R34" i="11"/>
  <c r="Q34" i="11"/>
  <c r="P34" i="11"/>
  <c r="O34" i="11"/>
  <c r="L34" i="11"/>
  <c r="K34" i="11"/>
  <c r="J34" i="11"/>
  <c r="I34" i="11"/>
  <c r="H34" i="11"/>
  <c r="G34" i="11"/>
  <c r="F34" i="11"/>
  <c r="E34" i="11"/>
  <c r="D34" i="11"/>
  <c r="C34" i="11"/>
  <c r="A34" i="11"/>
  <c r="V33" i="11"/>
  <c r="U33" i="11"/>
  <c r="T33" i="11"/>
  <c r="S33" i="11"/>
  <c r="R33" i="11"/>
  <c r="Q33" i="11"/>
  <c r="P33" i="11"/>
  <c r="O33" i="11"/>
  <c r="L33" i="11"/>
  <c r="K33" i="11"/>
  <c r="J33" i="11"/>
  <c r="I33" i="11"/>
  <c r="H33" i="11"/>
  <c r="G33" i="11"/>
  <c r="F33" i="11"/>
  <c r="E33" i="11"/>
  <c r="T32" i="11"/>
  <c r="S32" i="11"/>
  <c r="V31" i="11"/>
  <c r="U31" i="11"/>
  <c r="T31" i="11"/>
  <c r="S31" i="11"/>
  <c r="R31" i="11"/>
  <c r="Q31" i="11"/>
  <c r="P31" i="11"/>
  <c r="O31" i="11"/>
  <c r="N31" i="11"/>
  <c r="M31" i="11"/>
  <c r="J20" i="11"/>
  <c r="I20" i="11"/>
  <c r="H20" i="11"/>
  <c r="G20" i="11"/>
  <c r="J19" i="11"/>
  <c r="I19" i="11"/>
  <c r="H19" i="11"/>
  <c r="G19" i="11"/>
  <c r="J18" i="11"/>
  <c r="I18" i="11"/>
  <c r="H18" i="11"/>
  <c r="G18" i="11"/>
  <c r="J17" i="11"/>
  <c r="I17" i="11"/>
  <c r="H17" i="11"/>
  <c r="G17" i="11"/>
  <c r="J16" i="11"/>
  <c r="I16" i="11"/>
  <c r="H16" i="11"/>
  <c r="G16" i="11"/>
  <c r="J15" i="11"/>
  <c r="I15" i="11"/>
  <c r="H15" i="11"/>
  <c r="G15" i="11"/>
  <c r="J14" i="11"/>
  <c r="I14" i="11"/>
  <c r="H14" i="11"/>
  <c r="G14" i="11"/>
  <c r="J13" i="11"/>
  <c r="I13" i="11"/>
  <c r="H13" i="11"/>
  <c r="G13" i="11"/>
  <c r="J12" i="11"/>
  <c r="H12" i="11"/>
  <c r="G12" i="11"/>
  <c r="J11" i="11"/>
  <c r="H11" i="11"/>
  <c r="G11" i="11"/>
  <c r="E7" i="11"/>
  <c r="B7" i="11"/>
  <c r="F159" i="10"/>
  <c r="E159" i="10"/>
  <c r="D159" i="10"/>
  <c r="C159" i="10"/>
  <c r="G158" i="10"/>
  <c r="F158" i="10"/>
  <c r="E158" i="10"/>
  <c r="D158" i="10"/>
  <c r="C158" i="10"/>
  <c r="G157" i="10"/>
  <c r="F157" i="10"/>
  <c r="E157" i="10"/>
  <c r="D157" i="10"/>
  <c r="C157" i="10"/>
  <c r="G156" i="10"/>
  <c r="F156" i="10"/>
  <c r="E156" i="10"/>
  <c r="D156" i="10"/>
  <c r="C156" i="10"/>
  <c r="G155" i="10"/>
  <c r="F155" i="10"/>
  <c r="E155" i="10"/>
  <c r="D155" i="10"/>
  <c r="C155" i="10"/>
  <c r="G154" i="10"/>
  <c r="F154" i="10"/>
  <c r="E154" i="10"/>
  <c r="D154" i="10"/>
  <c r="C154" i="10"/>
  <c r="G153" i="10"/>
  <c r="F153" i="10"/>
  <c r="E153" i="10"/>
  <c r="D153" i="10"/>
  <c r="C153" i="10"/>
  <c r="G152" i="10"/>
  <c r="F152" i="10"/>
  <c r="E152" i="10"/>
  <c r="D152" i="10"/>
  <c r="C152" i="10"/>
  <c r="G151" i="10"/>
  <c r="F151" i="10"/>
  <c r="E151" i="10"/>
  <c r="D151" i="10"/>
  <c r="C151" i="10"/>
  <c r="G150" i="10"/>
  <c r="F150" i="10"/>
  <c r="E150" i="10"/>
  <c r="D150" i="10"/>
  <c r="C150" i="10"/>
  <c r="G149" i="10"/>
  <c r="F149" i="10"/>
  <c r="E149" i="10"/>
  <c r="D149" i="10"/>
  <c r="C149" i="10"/>
  <c r="G148" i="10"/>
  <c r="F148" i="10"/>
  <c r="E148" i="10"/>
  <c r="D148" i="10"/>
  <c r="C148" i="10"/>
  <c r="G147" i="10"/>
  <c r="F147" i="10"/>
  <c r="E147" i="10"/>
  <c r="D147" i="10"/>
  <c r="C147" i="10"/>
  <c r="G146" i="10"/>
  <c r="F146" i="10"/>
  <c r="E146" i="10"/>
  <c r="D146" i="10"/>
  <c r="C146" i="10"/>
  <c r="G145" i="10"/>
  <c r="F145" i="10"/>
  <c r="E145" i="10"/>
  <c r="D145" i="10"/>
  <c r="C145" i="10"/>
  <c r="G144" i="10"/>
  <c r="F144" i="10"/>
  <c r="E144" i="10"/>
  <c r="D144" i="10"/>
  <c r="C144" i="10"/>
  <c r="G143" i="10"/>
  <c r="F143" i="10"/>
  <c r="E143" i="10"/>
  <c r="D143" i="10"/>
  <c r="C143" i="10"/>
  <c r="F138" i="10"/>
  <c r="F137" i="10"/>
  <c r="F136" i="10"/>
  <c r="F135" i="10"/>
  <c r="F134" i="10"/>
  <c r="F133" i="10"/>
  <c r="F132" i="10"/>
  <c r="F131" i="10"/>
  <c r="F130" i="10"/>
  <c r="F129" i="10"/>
  <c r="F128" i="10"/>
  <c r="F127" i="10"/>
  <c r="F126" i="10"/>
  <c r="F125" i="10"/>
  <c r="F124" i="10"/>
  <c r="F123" i="10"/>
  <c r="V103" i="10"/>
  <c r="U103" i="10"/>
  <c r="T103" i="10"/>
  <c r="S103" i="10"/>
  <c r="R103" i="10"/>
  <c r="Q103" i="10"/>
  <c r="P103" i="10"/>
  <c r="O103" i="10"/>
  <c r="N103" i="10"/>
  <c r="A103" i="10"/>
  <c r="V102" i="10"/>
  <c r="U102" i="10"/>
  <c r="T102" i="10"/>
  <c r="S102" i="10"/>
  <c r="R102" i="10"/>
  <c r="Q102" i="10"/>
  <c r="P102" i="10"/>
  <c r="O102" i="10"/>
  <c r="N102" i="10"/>
  <c r="A102" i="10"/>
  <c r="V101" i="10"/>
  <c r="U101" i="10"/>
  <c r="T101" i="10"/>
  <c r="S101" i="10"/>
  <c r="R101" i="10"/>
  <c r="Q101" i="10"/>
  <c r="P101" i="10"/>
  <c r="O101" i="10"/>
  <c r="N101" i="10"/>
  <c r="A101" i="10"/>
  <c r="V100" i="10"/>
  <c r="U100" i="10"/>
  <c r="T100" i="10"/>
  <c r="S100" i="10"/>
  <c r="R100" i="10"/>
  <c r="Q100" i="10"/>
  <c r="P100" i="10"/>
  <c r="O100" i="10"/>
  <c r="N100" i="10"/>
  <c r="A100" i="10"/>
  <c r="V99" i="10"/>
  <c r="U99" i="10"/>
  <c r="T99" i="10"/>
  <c r="S99" i="10"/>
  <c r="R99" i="10"/>
  <c r="Q99" i="10"/>
  <c r="P99" i="10"/>
  <c r="O99" i="10"/>
  <c r="N99" i="10"/>
  <c r="A99" i="10"/>
  <c r="V98" i="10"/>
  <c r="U98" i="10"/>
  <c r="T98" i="10"/>
  <c r="S98" i="10"/>
  <c r="R98" i="10"/>
  <c r="Q98" i="10"/>
  <c r="P98" i="10"/>
  <c r="O98" i="10"/>
  <c r="N98" i="10"/>
  <c r="A98" i="10"/>
  <c r="V97" i="10"/>
  <c r="U97" i="10"/>
  <c r="T97" i="10"/>
  <c r="S97" i="10"/>
  <c r="R97" i="10"/>
  <c r="Q97" i="10"/>
  <c r="P97" i="10"/>
  <c r="O97" i="10"/>
  <c r="N97" i="10"/>
  <c r="A97" i="10"/>
  <c r="V96" i="10"/>
  <c r="U96" i="10"/>
  <c r="T96" i="10"/>
  <c r="S96" i="10"/>
  <c r="R96" i="10"/>
  <c r="Q96" i="10"/>
  <c r="P96" i="10"/>
  <c r="O96" i="10"/>
  <c r="N96" i="10"/>
  <c r="A96" i="10"/>
  <c r="V95" i="10"/>
  <c r="U95" i="10"/>
  <c r="T95" i="10"/>
  <c r="S95" i="10"/>
  <c r="R95" i="10"/>
  <c r="Q95" i="10"/>
  <c r="P95" i="10"/>
  <c r="O95" i="10"/>
  <c r="N95" i="10"/>
  <c r="A95" i="10"/>
  <c r="V94" i="10"/>
  <c r="U94" i="10"/>
  <c r="T94" i="10"/>
  <c r="S94" i="10"/>
  <c r="R94" i="10"/>
  <c r="Q94" i="10"/>
  <c r="P94" i="10"/>
  <c r="O94" i="10"/>
  <c r="N94" i="10"/>
  <c r="A94" i="10"/>
  <c r="V93" i="10"/>
  <c r="U93" i="10"/>
  <c r="T93" i="10"/>
  <c r="S93" i="10"/>
  <c r="R93" i="10"/>
  <c r="Q93" i="10"/>
  <c r="P93" i="10"/>
  <c r="O93" i="10"/>
  <c r="N93" i="10"/>
  <c r="A93" i="10"/>
  <c r="V92" i="10"/>
  <c r="U92" i="10"/>
  <c r="T92" i="10"/>
  <c r="S92" i="10"/>
  <c r="R92" i="10"/>
  <c r="Q92" i="10"/>
  <c r="P92" i="10"/>
  <c r="O92" i="10"/>
  <c r="N92" i="10"/>
  <c r="A92" i="10"/>
  <c r="V91" i="10"/>
  <c r="U91" i="10"/>
  <c r="T91" i="10"/>
  <c r="S91" i="10"/>
  <c r="R91" i="10"/>
  <c r="Q91" i="10"/>
  <c r="P91" i="10"/>
  <c r="O91" i="10"/>
  <c r="N91" i="10"/>
  <c r="A91" i="10"/>
  <c r="V90" i="10"/>
  <c r="U90" i="10"/>
  <c r="T90" i="10"/>
  <c r="S90" i="10"/>
  <c r="R90" i="10"/>
  <c r="Q90" i="10"/>
  <c r="P90" i="10"/>
  <c r="O90" i="10"/>
  <c r="N90" i="10"/>
  <c r="A90" i="10"/>
  <c r="V89" i="10"/>
  <c r="U89" i="10"/>
  <c r="T89" i="10"/>
  <c r="S89" i="10"/>
  <c r="R89" i="10"/>
  <c r="Q89" i="10"/>
  <c r="P89" i="10"/>
  <c r="O89" i="10"/>
  <c r="N89" i="10"/>
  <c r="A89" i="10"/>
  <c r="V88" i="10"/>
  <c r="U88" i="10"/>
  <c r="T88" i="10"/>
  <c r="S88" i="10"/>
  <c r="R88" i="10"/>
  <c r="Q88" i="10"/>
  <c r="P88" i="10"/>
  <c r="O88" i="10"/>
  <c r="N88" i="10"/>
  <c r="A88" i="10"/>
  <c r="V87" i="10"/>
  <c r="U87" i="10"/>
  <c r="T87" i="10"/>
  <c r="S87" i="10"/>
  <c r="R87" i="10"/>
  <c r="Q87" i="10"/>
  <c r="P87" i="10"/>
  <c r="O87" i="10"/>
  <c r="N87" i="10"/>
  <c r="A87" i="10"/>
  <c r="V86" i="10"/>
  <c r="U86" i="10"/>
  <c r="T86" i="10"/>
  <c r="S86" i="10"/>
  <c r="R86" i="10"/>
  <c r="Q86" i="10"/>
  <c r="P86" i="10"/>
  <c r="O86" i="10"/>
  <c r="N86" i="10"/>
  <c r="A86" i="10"/>
  <c r="V85" i="10"/>
  <c r="U85" i="10"/>
  <c r="T85" i="10"/>
  <c r="S85" i="10"/>
  <c r="R85" i="10"/>
  <c r="Q85" i="10"/>
  <c r="P85" i="10"/>
  <c r="O85" i="10"/>
  <c r="N85" i="10"/>
  <c r="A85" i="10"/>
  <c r="V84" i="10"/>
  <c r="U84" i="10"/>
  <c r="T84" i="10"/>
  <c r="S84" i="10"/>
  <c r="R84" i="10"/>
  <c r="Q84" i="10"/>
  <c r="P84" i="10"/>
  <c r="O84" i="10"/>
  <c r="N84" i="10"/>
  <c r="A84" i="10"/>
  <c r="V83" i="10"/>
  <c r="U83" i="10"/>
  <c r="T83" i="10"/>
  <c r="S83" i="10"/>
  <c r="R83" i="10"/>
  <c r="Q83" i="10"/>
  <c r="P83" i="10"/>
  <c r="O83" i="10"/>
  <c r="N83" i="10"/>
  <c r="A83" i="10"/>
  <c r="V82" i="10"/>
  <c r="U82" i="10"/>
  <c r="T82" i="10"/>
  <c r="S82" i="10"/>
  <c r="R82" i="10"/>
  <c r="Q82" i="10"/>
  <c r="P82" i="10"/>
  <c r="O82" i="10"/>
  <c r="N82" i="10"/>
  <c r="L82" i="10"/>
  <c r="K82" i="10"/>
  <c r="J82" i="10"/>
  <c r="I82" i="10"/>
  <c r="H82" i="10"/>
  <c r="G82" i="10"/>
  <c r="F82" i="10"/>
  <c r="A82" i="10"/>
  <c r="V81" i="10"/>
  <c r="U81" i="10"/>
  <c r="T81" i="10"/>
  <c r="S81" i="10"/>
  <c r="R81" i="10"/>
  <c r="Q81" i="10"/>
  <c r="P81" i="10"/>
  <c r="O81" i="10"/>
  <c r="N81" i="10"/>
  <c r="A81" i="10"/>
  <c r="V80" i="10"/>
  <c r="U80" i="10"/>
  <c r="T80" i="10"/>
  <c r="S80" i="10"/>
  <c r="R80" i="10"/>
  <c r="Q80" i="10"/>
  <c r="P80" i="10"/>
  <c r="O80" i="10"/>
  <c r="N80" i="10"/>
  <c r="A80" i="10"/>
  <c r="V79" i="10"/>
  <c r="U79" i="10"/>
  <c r="T79" i="10"/>
  <c r="S79" i="10"/>
  <c r="R79" i="10"/>
  <c r="Q79" i="10"/>
  <c r="P79" i="10"/>
  <c r="O79" i="10"/>
  <c r="N79" i="10"/>
  <c r="A79" i="10"/>
  <c r="V78" i="10"/>
  <c r="U78" i="10"/>
  <c r="T78" i="10"/>
  <c r="S78" i="10"/>
  <c r="R78" i="10"/>
  <c r="Q78" i="10"/>
  <c r="P78" i="10"/>
  <c r="O78" i="10"/>
  <c r="N78" i="10"/>
  <c r="A78" i="10"/>
  <c r="V77" i="10"/>
  <c r="U77" i="10"/>
  <c r="T77" i="10"/>
  <c r="S77" i="10"/>
  <c r="R77" i="10"/>
  <c r="Q77" i="10"/>
  <c r="P77" i="10"/>
  <c r="O77" i="10"/>
  <c r="N77" i="10"/>
  <c r="A77" i="10"/>
  <c r="V76" i="10"/>
  <c r="U76" i="10"/>
  <c r="T76" i="10"/>
  <c r="S76" i="10"/>
  <c r="R76" i="10"/>
  <c r="Q76" i="10"/>
  <c r="P76" i="10"/>
  <c r="O76" i="10"/>
  <c r="N76" i="10"/>
  <c r="A76" i="10"/>
  <c r="V75" i="10"/>
  <c r="U75" i="10"/>
  <c r="T75" i="10"/>
  <c r="S75" i="10"/>
  <c r="R75" i="10"/>
  <c r="Q75" i="10"/>
  <c r="P75" i="10"/>
  <c r="O75" i="10"/>
  <c r="N75" i="10"/>
  <c r="A75" i="10"/>
  <c r="V74" i="10"/>
  <c r="U74" i="10"/>
  <c r="T74" i="10"/>
  <c r="S74" i="10"/>
  <c r="R74" i="10"/>
  <c r="Q74" i="10"/>
  <c r="P74" i="10"/>
  <c r="O74" i="10"/>
  <c r="N74" i="10"/>
  <c r="A74" i="10"/>
  <c r="V73" i="10"/>
  <c r="U73" i="10"/>
  <c r="T73" i="10"/>
  <c r="S73" i="10"/>
  <c r="R73" i="10"/>
  <c r="Q73" i="10"/>
  <c r="P73" i="10"/>
  <c r="O73" i="10"/>
  <c r="N73" i="10"/>
  <c r="A73" i="10"/>
  <c r="V72" i="10"/>
  <c r="U72" i="10"/>
  <c r="T72" i="10"/>
  <c r="S72" i="10"/>
  <c r="R72" i="10"/>
  <c r="Q72" i="10"/>
  <c r="P72" i="10"/>
  <c r="O72" i="10"/>
  <c r="N72" i="10"/>
  <c r="A72" i="10"/>
  <c r="V71" i="10"/>
  <c r="U71" i="10"/>
  <c r="T71" i="10"/>
  <c r="S71" i="10"/>
  <c r="R71" i="10"/>
  <c r="Q71" i="10"/>
  <c r="P71" i="10"/>
  <c r="O71" i="10"/>
  <c r="N71" i="10"/>
  <c r="L71" i="10"/>
  <c r="K71" i="10"/>
  <c r="J71" i="10"/>
  <c r="I71" i="10"/>
  <c r="H71" i="10"/>
  <c r="G71" i="10"/>
  <c r="F71" i="10"/>
  <c r="E71" i="10"/>
  <c r="D71" i="10"/>
  <c r="C71" i="10"/>
  <c r="A71" i="10"/>
  <c r="V70" i="10"/>
  <c r="U70" i="10"/>
  <c r="T70" i="10"/>
  <c r="S70" i="10"/>
  <c r="R70" i="10"/>
  <c r="Q70" i="10"/>
  <c r="P70" i="10"/>
  <c r="O70" i="10"/>
  <c r="N70" i="10"/>
  <c r="A70" i="10"/>
  <c r="L69" i="10"/>
  <c r="K69" i="10"/>
  <c r="J69" i="10"/>
  <c r="I69" i="10"/>
  <c r="H69" i="10"/>
  <c r="G69" i="10"/>
  <c r="F69" i="10"/>
  <c r="E69" i="10"/>
  <c r="D69" i="10"/>
  <c r="C69" i="10"/>
  <c r="A69" i="10"/>
  <c r="V68" i="10"/>
  <c r="U68" i="10"/>
  <c r="T68" i="10"/>
  <c r="S68" i="10"/>
  <c r="R68" i="10"/>
  <c r="Q68" i="10"/>
  <c r="P68" i="10"/>
  <c r="O68" i="10"/>
  <c r="N68" i="10"/>
  <c r="C68" i="10"/>
  <c r="A68" i="10"/>
  <c r="V67" i="10"/>
  <c r="U67" i="10"/>
  <c r="T67" i="10"/>
  <c r="S67" i="10"/>
  <c r="R67" i="10"/>
  <c r="Q67" i="10"/>
  <c r="P67" i="10"/>
  <c r="O67" i="10"/>
  <c r="N67" i="10"/>
  <c r="A67" i="10"/>
  <c r="V66" i="10"/>
  <c r="U66" i="10"/>
  <c r="T66" i="10"/>
  <c r="S66" i="10"/>
  <c r="R66" i="10"/>
  <c r="Q66" i="10"/>
  <c r="P66" i="10"/>
  <c r="O66" i="10"/>
  <c r="N66" i="10"/>
  <c r="A66" i="10"/>
  <c r="C65" i="10"/>
  <c r="A65" i="10"/>
  <c r="V64" i="10"/>
  <c r="U64" i="10"/>
  <c r="T64" i="10"/>
  <c r="S64" i="10"/>
  <c r="R64" i="10"/>
  <c r="Q64" i="10"/>
  <c r="P64" i="10"/>
  <c r="O64" i="10"/>
  <c r="N64" i="10"/>
  <c r="C64" i="10"/>
  <c r="A64" i="10"/>
  <c r="V63" i="10"/>
  <c r="U63" i="10"/>
  <c r="T63" i="10"/>
  <c r="S63" i="10"/>
  <c r="R63" i="10"/>
  <c r="Q63" i="10"/>
  <c r="P63" i="10"/>
  <c r="O63" i="10"/>
  <c r="N63" i="10"/>
  <c r="A63" i="10"/>
  <c r="V62" i="10"/>
  <c r="U62" i="10"/>
  <c r="T62" i="10"/>
  <c r="S62" i="10"/>
  <c r="R62" i="10"/>
  <c r="Q62" i="10"/>
  <c r="P62" i="10"/>
  <c r="O62" i="10"/>
  <c r="N62" i="10"/>
  <c r="A62" i="10"/>
  <c r="V61" i="10"/>
  <c r="U61" i="10"/>
  <c r="T61" i="10"/>
  <c r="S61" i="10"/>
  <c r="R61" i="10"/>
  <c r="Q61" i="10"/>
  <c r="P61" i="10"/>
  <c r="O61" i="10"/>
  <c r="N61" i="10"/>
  <c r="A61" i="10"/>
  <c r="V60" i="10"/>
  <c r="U60" i="10"/>
  <c r="T60" i="10"/>
  <c r="S60" i="10"/>
  <c r="R60" i="10"/>
  <c r="Q60" i="10"/>
  <c r="P60" i="10"/>
  <c r="O60" i="10"/>
  <c r="N60" i="10"/>
  <c r="A60" i="10"/>
  <c r="V59" i="10"/>
  <c r="U59" i="10"/>
  <c r="T59" i="10"/>
  <c r="S59" i="10"/>
  <c r="R59" i="10"/>
  <c r="Q59" i="10"/>
  <c r="P59" i="10"/>
  <c r="O59" i="10"/>
  <c r="N59" i="10"/>
  <c r="A59" i="10"/>
  <c r="V58" i="10"/>
  <c r="U58" i="10"/>
  <c r="T58" i="10"/>
  <c r="S58" i="10"/>
  <c r="R58" i="10"/>
  <c r="Q58" i="10"/>
  <c r="P58" i="10"/>
  <c r="O58" i="10"/>
  <c r="N58" i="10"/>
  <c r="C58" i="10"/>
  <c r="A58" i="10"/>
  <c r="V57" i="10"/>
  <c r="U57" i="10"/>
  <c r="T57" i="10"/>
  <c r="S57" i="10"/>
  <c r="R57" i="10"/>
  <c r="Q57" i="10"/>
  <c r="P57" i="10"/>
  <c r="O57" i="10"/>
  <c r="N57" i="10"/>
  <c r="C57" i="10"/>
  <c r="A57" i="10"/>
  <c r="V56" i="10"/>
  <c r="U56" i="10"/>
  <c r="T56" i="10"/>
  <c r="S56" i="10"/>
  <c r="R56" i="10"/>
  <c r="Q56" i="10"/>
  <c r="P56" i="10"/>
  <c r="O56" i="10"/>
  <c r="N56" i="10"/>
  <c r="A56" i="10"/>
  <c r="V55" i="10"/>
  <c r="U55" i="10"/>
  <c r="T55" i="10"/>
  <c r="S55" i="10"/>
  <c r="R55" i="10"/>
  <c r="Q55" i="10"/>
  <c r="P55" i="10"/>
  <c r="O55" i="10"/>
  <c r="N55" i="10"/>
  <c r="A55" i="10"/>
  <c r="V54" i="10"/>
  <c r="U54" i="10"/>
  <c r="T54" i="10"/>
  <c r="S54" i="10"/>
  <c r="R54" i="10"/>
  <c r="Q54" i="10"/>
  <c r="P54" i="10"/>
  <c r="O54" i="10"/>
  <c r="N54" i="10"/>
  <c r="C54" i="10"/>
  <c r="A54" i="10"/>
  <c r="V53" i="10"/>
  <c r="U53" i="10"/>
  <c r="T53" i="10"/>
  <c r="S53" i="10"/>
  <c r="R53" i="10"/>
  <c r="Q53" i="10"/>
  <c r="P53" i="10"/>
  <c r="O53" i="10"/>
  <c r="N53" i="10"/>
  <c r="L53" i="10"/>
  <c r="K53" i="10"/>
  <c r="J53" i="10"/>
  <c r="I53" i="10"/>
  <c r="H53" i="10"/>
  <c r="G53" i="10"/>
  <c r="F53" i="10"/>
  <c r="E53" i="10"/>
  <c r="D53" i="10"/>
  <c r="C53" i="10"/>
  <c r="A53" i="10"/>
  <c r="V52" i="10"/>
  <c r="U52" i="10"/>
  <c r="T52" i="10"/>
  <c r="S52" i="10"/>
  <c r="R52" i="10"/>
  <c r="Q52" i="10"/>
  <c r="P52" i="10"/>
  <c r="O52" i="10"/>
  <c r="N52" i="10"/>
  <c r="L52" i="10"/>
  <c r="K52" i="10"/>
  <c r="J52" i="10"/>
  <c r="I52" i="10"/>
  <c r="H52" i="10"/>
  <c r="G52" i="10"/>
  <c r="F52" i="10"/>
  <c r="E52" i="10"/>
  <c r="D52" i="10"/>
  <c r="C52" i="10"/>
  <c r="A52" i="10"/>
  <c r="V51" i="10"/>
  <c r="U51" i="10"/>
  <c r="T51" i="10"/>
  <c r="S51" i="10"/>
  <c r="R51" i="10"/>
  <c r="Q51" i="10"/>
  <c r="P51" i="10"/>
  <c r="O51" i="10"/>
  <c r="N51" i="10"/>
  <c r="A51" i="10"/>
  <c r="V50" i="10"/>
  <c r="U50" i="10"/>
  <c r="T50" i="10"/>
  <c r="S50" i="10"/>
  <c r="R50" i="10"/>
  <c r="Q50" i="10"/>
  <c r="P50" i="10"/>
  <c r="O50" i="10"/>
  <c r="N50" i="10"/>
  <c r="A50" i="10"/>
  <c r="V49" i="10"/>
  <c r="U49" i="10"/>
  <c r="T49" i="10"/>
  <c r="S49" i="10"/>
  <c r="R49" i="10"/>
  <c r="Q49" i="10"/>
  <c r="P49" i="10"/>
  <c r="O49" i="10"/>
  <c r="N49" i="10"/>
  <c r="A49" i="10"/>
  <c r="V48" i="10"/>
  <c r="U48" i="10"/>
  <c r="T48" i="10"/>
  <c r="S48" i="10"/>
  <c r="R48" i="10"/>
  <c r="Q48" i="10"/>
  <c r="P48" i="10"/>
  <c r="O48" i="10"/>
  <c r="N48" i="10"/>
  <c r="A48" i="10"/>
  <c r="V47" i="10"/>
  <c r="U47" i="10"/>
  <c r="T47" i="10"/>
  <c r="S47" i="10"/>
  <c r="R47" i="10"/>
  <c r="Q47" i="10"/>
  <c r="P47" i="10"/>
  <c r="O47" i="10"/>
  <c r="N47" i="10"/>
  <c r="A47" i="10"/>
  <c r="V46" i="10"/>
  <c r="U46" i="10"/>
  <c r="T46" i="10"/>
  <c r="S46" i="10"/>
  <c r="R46" i="10"/>
  <c r="Q46" i="10"/>
  <c r="P46" i="10"/>
  <c r="O46" i="10"/>
  <c r="N46" i="10"/>
  <c r="A46" i="10"/>
  <c r="V45" i="10"/>
  <c r="U45" i="10"/>
  <c r="T45" i="10"/>
  <c r="S45" i="10"/>
  <c r="R45" i="10"/>
  <c r="Q45" i="10"/>
  <c r="P45" i="10"/>
  <c r="O45" i="10"/>
  <c r="N45" i="10"/>
  <c r="A45" i="10"/>
  <c r="V44" i="10"/>
  <c r="U44" i="10"/>
  <c r="T44" i="10"/>
  <c r="S44" i="10"/>
  <c r="R44" i="10"/>
  <c r="Q44" i="10"/>
  <c r="P44" i="10"/>
  <c r="O44" i="10"/>
  <c r="N44" i="10"/>
  <c r="A44" i="10"/>
  <c r="V43" i="10"/>
  <c r="U43" i="10"/>
  <c r="T43" i="10"/>
  <c r="S43" i="10"/>
  <c r="R43" i="10"/>
  <c r="Q43" i="10"/>
  <c r="P43" i="10"/>
  <c r="O43" i="10"/>
  <c r="N43" i="10"/>
  <c r="L43" i="10"/>
  <c r="K43" i="10"/>
  <c r="J43" i="10"/>
  <c r="I43" i="10"/>
  <c r="H43" i="10"/>
  <c r="G43" i="10"/>
  <c r="F43" i="10"/>
  <c r="E43" i="10"/>
  <c r="D43" i="10"/>
  <c r="C43" i="10"/>
  <c r="A43" i="10"/>
  <c r="V42" i="10"/>
  <c r="U42" i="10"/>
  <c r="T42" i="10"/>
  <c r="S42" i="10"/>
  <c r="R42" i="10"/>
  <c r="Q42" i="10"/>
  <c r="P42" i="10"/>
  <c r="O42" i="10"/>
  <c r="N42" i="10"/>
  <c r="L42" i="10"/>
  <c r="K42" i="10"/>
  <c r="J42" i="10"/>
  <c r="I42" i="10"/>
  <c r="H42" i="10"/>
  <c r="G42" i="10"/>
  <c r="F42" i="10"/>
  <c r="E42" i="10"/>
  <c r="D42" i="10"/>
  <c r="C42" i="10"/>
  <c r="A42" i="10"/>
  <c r="V41" i="10"/>
  <c r="U41" i="10"/>
  <c r="T41" i="10"/>
  <c r="S41" i="10"/>
  <c r="R41" i="10"/>
  <c r="Q41" i="10"/>
  <c r="P41" i="10"/>
  <c r="O41" i="10"/>
  <c r="N41" i="10"/>
  <c r="L41" i="10"/>
  <c r="K41" i="10"/>
  <c r="J41" i="10"/>
  <c r="I41" i="10"/>
  <c r="H41" i="10"/>
  <c r="G41" i="10"/>
  <c r="F41" i="10"/>
  <c r="E41" i="10"/>
  <c r="D41" i="10"/>
  <c r="C41" i="10"/>
  <c r="A41" i="10"/>
  <c r="V40" i="10"/>
  <c r="U40" i="10"/>
  <c r="T40" i="10"/>
  <c r="S40" i="10"/>
  <c r="R40" i="10"/>
  <c r="Q40" i="10"/>
  <c r="P40" i="10"/>
  <c r="O40" i="10"/>
  <c r="N40" i="10"/>
  <c r="A40" i="10"/>
  <c r="V39" i="10"/>
  <c r="U39" i="10"/>
  <c r="T39" i="10"/>
  <c r="S39" i="10"/>
  <c r="R39" i="10"/>
  <c r="Q39" i="10"/>
  <c r="P39" i="10"/>
  <c r="O39" i="10"/>
  <c r="N39" i="10"/>
  <c r="L39" i="10"/>
  <c r="K39" i="10"/>
  <c r="J39" i="10"/>
  <c r="I39" i="10"/>
  <c r="H39" i="10"/>
  <c r="G39" i="10"/>
  <c r="F39" i="10"/>
  <c r="E39" i="10"/>
  <c r="D39" i="10"/>
  <c r="C39" i="10"/>
  <c r="A39" i="10"/>
  <c r="V38" i="10"/>
  <c r="U38" i="10"/>
  <c r="T38" i="10"/>
  <c r="S38" i="10"/>
  <c r="R38" i="10"/>
  <c r="Q38" i="10"/>
  <c r="P38" i="10"/>
  <c r="O38" i="10"/>
  <c r="N38" i="10"/>
  <c r="A38" i="10"/>
  <c r="V37" i="10"/>
  <c r="U37" i="10"/>
  <c r="T37" i="10"/>
  <c r="S37" i="10"/>
  <c r="R37" i="10"/>
  <c r="Q37" i="10"/>
  <c r="P37" i="10"/>
  <c r="O37" i="10"/>
  <c r="N37" i="10"/>
  <c r="L37" i="10"/>
  <c r="K37" i="10"/>
  <c r="J37" i="10"/>
  <c r="I37" i="10"/>
  <c r="H37" i="10"/>
  <c r="G37" i="10"/>
  <c r="F37" i="10"/>
  <c r="E37" i="10"/>
  <c r="D37" i="10"/>
  <c r="C37" i="10"/>
  <c r="A37" i="10"/>
  <c r="V36" i="10"/>
  <c r="U36" i="10"/>
  <c r="T36" i="10"/>
  <c r="S36" i="10"/>
  <c r="R36" i="10"/>
  <c r="Q36" i="10"/>
  <c r="P36" i="10"/>
  <c r="O36" i="10"/>
  <c r="N36" i="10"/>
  <c r="C36" i="10"/>
  <c r="A36" i="10"/>
  <c r="V35" i="10"/>
  <c r="U35" i="10"/>
  <c r="T35" i="10"/>
  <c r="S35" i="10"/>
  <c r="R35" i="10"/>
  <c r="Q35" i="10"/>
  <c r="P35" i="10"/>
  <c r="O35" i="10"/>
  <c r="N35" i="10"/>
  <c r="A35" i="10"/>
  <c r="V34" i="10"/>
  <c r="U34" i="10"/>
  <c r="T34" i="10"/>
  <c r="S34" i="10"/>
  <c r="R34" i="10"/>
  <c r="Q34" i="10"/>
  <c r="P34" i="10"/>
  <c r="O34" i="10"/>
  <c r="N34" i="10"/>
  <c r="L34" i="10"/>
  <c r="K34" i="10"/>
  <c r="J34" i="10"/>
  <c r="I34" i="10"/>
  <c r="H34" i="10"/>
  <c r="G34" i="10"/>
  <c r="F34" i="10"/>
  <c r="E34" i="10"/>
  <c r="D34" i="10"/>
  <c r="C34" i="10"/>
  <c r="A34" i="10"/>
  <c r="V33" i="10"/>
  <c r="U33" i="10"/>
  <c r="T33" i="10"/>
  <c r="S33" i="10"/>
  <c r="R33" i="10"/>
  <c r="Q33" i="10"/>
  <c r="P33" i="10"/>
  <c r="O33" i="10"/>
  <c r="N33" i="10"/>
  <c r="L33" i="10"/>
  <c r="K33" i="10"/>
  <c r="J33" i="10"/>
  <c r="I33" i="10"/>
  <c r="H33" i="10"/>
  <c r="G33" i="10"/>
  <c r="F33" i="10"/>
  <c r="E33" i="10"/>
  <c r="D33" i="10"/>
  <c r="T32" i="10"/>
  <c r="S32" i="10"/>
  <c r="V31" i="10"/>
  <c r="U31" i="10"/>
  <c r="T31" i="10"/>
  <c r="S31" i="10"/>
  <c r="R31" i="10"/>
  <c r="Q31" i="10"/>
  <c r="P31" i="10"/>
  <c r="O31" i="10"/>
  <c r="N31" i="10"/>
  <c r="M31" i="10"/>
  <c r="J20" i="10"/>
  <c r="I20" i="10"/>
  <c r="H20" i="10"/>
  <c r="G20" i="10"/>
  <c r="J19" i="10"/>
  <c r="I19" i="10"/>
  <c r="H19" i="10"/>
  <c r="G19" i="10"/>
  <c r="J18" i="10"/>
  <c r="I18" i="10"/>
  <c r="H18" i="10"/>
  <c r="G18" i="10"/>
  <c r="J17" i="10"/>
  <c r="I17" i="10"/>
  <c r="H17" i="10"/>
  <c r="G17" i="10"/>
  <c r="J16" i="10"/>
  <c r="I16" i="10"/>
  <c r="H16" i="10"/>
  <c r="G16" i="10"/>
  <c r="J15" i="10"/>
  <c r="I15" i="10"/>
  <c r="H15" i="10"/>
  <c r="G15" i="10"/>
  <c r="J14" i="10"/>
  <c r="I14" i="10"/>
  <c r="H14" i="10"/>
  <c r="G14" i="10"/>
  <c r="J13" i="10"/>
  <c r="I13" i="10"/>
  <c r="H13" i="10"/>
  <c r="G13" i="10"/>
  <c r="J12" i="10"/>
  <c r="I12" i="10"/>
  <c r="H12" i="10"/>
  <c r="G12" i="10"/>
  <c r="J11" i="10"/>
  <c r="H11" i="10"/>
  <c r="G11" i="10"/>
  <c r="E7" i="10"/>
  <c r="B7" i="10"/>
  <c r="I11" i="10" s="1"/>
  <c r="C33" i="10" s="1"/>
  <c r="F129" i="9"/>
  <c r="E129" i="9"/>
  <c r="D129" i="9"/>
  <c r="C129" i="9"/>
  <c r="G128" i="9"/>
  <c r="F128" i="9"/>
  <c r="E128" i="9"/>
  <c r="D128" i="9"/>
  <c r="C128" i="9"/>
  <c r="G127" i="9"/>
  <c r="F127" i="9"/>
  <c r="E127" i="9"/>
  <c r="D127" i="9"/>
  <c r="C127" i="9"/>
  <c r="V103" i="9"/>
  <c r="U103" i="9"/>
  <c r="T103" i="9"/>
  <c r="S103" i="9"/>
  <c r="R103" i="9"/>
  <c r="Q103" i="9"/>
  <c r="P103" i="9"/>
  <c r="O103" i="9"/>
  <c r="N103" i="9"/>
  <c r="A103" i="9"/>
  <c r="V102" i="9"/>
  <c r="U102" i="9"/>
  <c r="T102" i="9"/>
  <c r="S102" i="9"/>
  <c r="R102" i="9"/>
  <c r="Q102" i="9"/>
  <c r="P102" i="9"/>
  <c r="O102" i="9"/>
  <c r="N102" i="9"/>
  <c r="A102" i="9"/>
  <c r="V101" i="9"/>
  <c r="U101" i="9"/>
  <c r="T101" i="9"/>
  <c r="S101" i="9"/>
  <c r="R101" i="9"/>
  <c r="Q101" i="9"/>
  <c r="P101" i="9"/>
  <c r="O101" i="9"/>
  <c r="N101" i="9"/>
  <c r="A101" i="9"/>
  <c r="V100" i="9"/>
  <c r="U100" i="9"/>
  <c r="T100" i="9"/>
  <c r="S100" i="9"/>
  <c r="R100" i="9"/>
  <c r="Q100" i="9"/>
  <c r="P100" i="9"/>
  <c r="O100" i="9"/>
  <c r="N100" i="9"/>
  <c r="A100" i="9"/>
  <c r="V99" i="9"/>
  <c r="U99" i="9"/>
  <c r="T99" i="9"/>
  <c r="S99" i="9"/>
  <c r="R99" i="9"/>
  <c r="Q99" i="9"/>
  <c r="P99" i="9"/>
  <c r="O99" i="9"/>
  <c r="N99" i="9"/>
  <c r="A99" i="9"/>
  <c r="V98" i="9"/>
  <c r="U98" i="9"/>
  <c r="T98" i="9"/>
  <c r="S98" i="9"/>
  <c r="R98" i="9"/>
  <c r="Q98" i="9"/>
  <c r="P98" i="9"/>
  <c r="O98" i="9"/>
  <c r="N98" i="9"/>
  <c r="A98" i="9"/>
  <c r="V97" i="9"/>
  <c r="U97" i="9"/>
  <c r="T97" i="9"/>
  <c r="S97" i="9"/>
  <c r="R97" i="9"/>
  <c r="Q97" i="9"/>
  <c r="P97" i="9"/>
  <c r="O97" i="9"/>
  <c r="N97" i="9"/>
  <c r="A97" i="9"/>
  <c r="V96" i="9"/>
  <c r="U96" i="9"/>
  <c r="T96" i="9"/>
  <c r="S96" i="9"/>
  <c r="R96" i="9"/>
  <c r="Q96" i="9"/>
  <c r="P96" i="9"/>
  <c r="O96" i="9"/>
  <c r="N96" i="9"/>
  <c r="A96" i="9"/>
  <c r="V95" i="9"/>
  <c r="U95" i="9"/>
  <c r="T95" i="9"/>
  <c r="S95" i="9"/>
  <c r="R95" i="9"/>
  <c r="Q95" i="9"/>
  <c r="P95" i="9"/>
  <c r="O95" i="9"/>
  <c r="N95" i="9"/>
  <c r="A95" i="9"/>
  <c r="V94" i="9"/>
  <c r="U94" i="9"/>
  <c r="T94" i="9"/>
  <c r="S94" i="9"/>
  <c r="R94" i="9"/>
  <c r="Q94" i="9"/>
  <c r="P94" i="9"/>
  <c r="O94" i="9"/>
  <c r="N94" i="9"/>
  <c r="A94" i="9"/>
  <c r="V93" i="9"/>
  <c r="U93" i="9"/>
  <c r="T93" i="9"/>
  <c r="S93" i="9"/>
  <c r="R93" i="9"/>
  <c r="Q93" i="9"/>
  <c r="P93" i="9"/>
  <c r="O93" i="9"/>
  <c r="N93" i="9"/>
  <c r="A93" i="9"/>
  <c r="V92" i="9"/>
  <c r="U92" i="9"/>
  <c r="T92" i="9"/>
  <c r="S92" i="9"/>
  <c r="R92" i="9"/>
  <c r="Q92" i="9"/>
  <c r="P92" i="9"/>
  <c r="O92" i="9"/>
  <c r="N92" i="9"/>
  <c r="A92" i="9"/>
  <c r="V91" i="9"/>
  <c r="U91" i="9"/>
  <c r="T91" i="9"/>
  <c r="S91" i="9"/>
  <c r="R91" i="9"/>
  <c r="Q91" i="9"/>
  <c r="P91" i="9"/>
  <c r="O91" i="9"/>
  <c r="N91" i="9"/>
  <c r="A91" i="9"/>
  <c r="V90" i="9"/>
  <c r="U90" i="9"/>
  <c r="T90" i="9"/>
  <c r="S90" i="9"/>
  <c r="R90" i="9"/>
  <c r="Q90" i="9"/>
  <c r="P90" i="9"/>
  <c r="O90" i="9"/>
  <c r="N90" i="9"/>
  <c r="A90" i="9"/>
  <c r="V89" i="9"/>
  <c r="U89" i="9"/>
  <c r="T89" i="9"/>
  <c r="S89" i="9"/>
  <c r="R89" i="9"/>
  <c r="Q89" i="9"/>
  <c r="P89" i="9"/>
  <c r="O89" i="9"/>
  <c r="N89" i="9"/>
  <c r="A89" i="9"/>
  <c r="V88" i="9"/>
  <c r="U88" i="9"/>
  <c r="T88" i="9"/>
  <c r="S88" i="9"/>
  <c r="R88" i="9"/>
  <c r="Q88" i="9"/>
  <c r="P88" i="9"/>
  <c r="O88" i="9"/>
  <c r="N88" i="9"/>
  <c r="A88" i="9"/>
  <c r="V87" i="9"/>
  <c r="U87" i="9"/>
  <c r="T87" i="9"/>
  <c r="S87" i="9"/>
  <c r="R87" i="9"/>
  <c r="Q87" i="9"/>
  <c r="P87" i="9"/>
  <c r="O87" i="9"/>
  <c r="N87" i="9"/>
  <c r="A87" i="9"/>
  <c r="V86" i="9"/>
  <c r="U86" i="9"/>
  <c r="T86" i="9"/>
  <c r="S86" i="9"/>
  <c r="R86" i="9"/>
  <c r="Q86" i="9"/>
  <c r="P86" i="9"/>
  <c r="O86" i="9"/>
  <c r="N86" i="9"/>
  <c r="A86" i="9"/>
  <c r="V85" i="9"/>
  <c r="U85" i="9"/>
  <c r="T85" i="9"/>
  <c r="S85" i="9"/>
  <c r="R85" i="9"/>
  <c r="Q85" i="9"/>
  <c r="P85" i="9"/>
  <c r="O85" i="9"/>
  <c r="N85" i="9"/>
  <c r="A85" i="9"/>
  <c r="V84" i="9"/>
  <c r="U84" i="9"/>
  <c r="T84" i="9"/>
  <c r="S84" i="9"/>
  <c r="R84" i="9"/>
  <c r="Q84" i="9"/>
  <c r="P84" i="9"/>
  <c r="O84" i="9"/>
  <c r="N84" i="9"/>
  <c r="A84" i="9"/>
  <c r="V83" i="9"/>
  <c r="U83" i="9"/>
  <c r="T83" i="9"/>
  <c r="S83" i="9"/>
  <c r="R83" i="9"/>
  <c r="Q83" i="9"/>
  <c r="P83" i="9"/>
  <c r="O83" i="9"/>
  <c r="N83" i="9"/>
  <c r="A83" i="9"/>
  <c r="V82" i="9"/>
  <c r="U82" i="9"/>
  <c r="T82" i="9"/>
  <c r="S82" i="9"/>
  <c r="R82" i="9"/>
  <c r="Q82" i="9"/>
  <c r="P82" i="9"/>
  <c r="O82" i="9"/>
  <c r="N82" i="9"/>
  <c r="L82" i="9"/>
  <c r="K82" i="9"/>
  <c r="J82" i="9"/>
  <c r="I82" i="9"/>
  <c r="H82" i="9"/>
  <c r="G82" i="9"/>
  <c r="F82" i="9"/>
  <c r="A82" i="9"/>
  <c r="V81" i="9"/>
  <c r="U81" i="9"/>
  <c r="T81" i="9"/>
  <c r="S81" i="9"/>
  <c r="R81" i="9"/>
  <c r="Q81" i="9"/>
  <c r="P81" i="9"/>
  <c r="O81" i="9"/>
  <c r="N81" i="9"/>
  <c r="A81" i="9"/>
  <c r="V80" i="9"/>
  <c r="U80" i="9"/>
  <c r="T80" i="9"/>
  <c r="S80" i="9"/>
  <c r="R80" i="9"/>
  <c r="Q80" i="9"/>
  <c r="P80" i="9"/>
  <c r="O80" i="9"/>
  <c r="N80" i="9"/>
  <c r="A80" i="9"/>
  <c r="V79" i="9"/>
  <c r="U79" i="9"/>
  <c r="T79" i="9"/>
  <c r="S79" i="9"/>
  <c r="R79" i="9"/>
  <c r="Q79" i="9"/>
  <c r="P79" i="9"/>
  <c r="O79" i="9"/>
  <c r="N79" i="9"/>
  <c r="C79" i="9"/>
  <c r="A79" i="9"/>
  <c r="V78" i="9"/>
  <c r="U78" i="9"/>
  <c r="T78" i="9"/>
  <c r="S78" i="9"/>
  <c r="R78" i="9"/>
  <c r="Q78" i="9"/>
  <c r="P78" i="9"/>
  <c r="O78" i="9"/>
  <c r="N78" i="9"/>
  <c r="A78" i="9"/>
  <c r="V77" i="9"/>
  <c r="U77" i="9"/>
  <c r="T77" i="9"/>
  <c r="S77" i="9"/>
  <c r="R77" i="9"/>
  <c r="Q77" i="9"/>
  <c r="P77" i="9"/>
  <c r="O77" i="9"/>
  <c r="N77" i="9"/>
  <c r="C77" i="9"/>
  <c r="A77" i="9"/>
  <c r="V76" i="9"/>
  <c r="U76" i="9"/>
  <c r="T76" i="9"/>
  <c r="S76" i="9"/>
  <c r="R76" i="9"/>
  <c r="Q76" i="9"/>
  <c r="P76" i="9"/>
  <c r="O76" i="9"/>
  <c r="N76" i="9"/>
  <c r="A76" i="9"/>
  <c r="V75" i="9"/>
  <c r="U75" i="9"/>
  <c r="T75" i="9"/>
  <c r="S75" i="9"/>
  <c r="R75" i="9"/>
  <c r="Q75" i="9"/>
  <c r="P75" i="9"/>
  <c r="O75" i="9"/>
  <c r="N75" i="9"/>
  <c r="A75" i="9"/>
  <c r="V74" i="9"/>
  <c r="U74" i="9"/>
  <c r="T74" i="9"/>
  <c r="S74" i="9"/>
  <c r="R74" i="9"/>
  <c r="Q74" i="9"/>
  <c r="P74" i="9"/>
  <c r="O74" i="9"/>
  <c r="N74" i="9"/>
  <c r="A74" i="9"/>
  <c r="V73" i="9"/>
  <c r="U73" i="9"/>
  <c r="T73" i="9"/>
  <c r="S73" i="9"/>
  <c r="R73" i="9"/>
  <c r="Q73" i="9"/>
  <c r="P73" i="9"/>
  <c r="O73" i="9"/>
  <c r="N73" i="9"/>
  <c r="A73" i="9"/>
  <c r="V72" i="9"/>
  <c r="U72" i="9"/>
  <c r="T72" i="9"/>
  <c r="S72" i="9"/>
  <c r="R72" i="9"/>
  <c r="Q72" i="9"/>
  <c r="P72" i="9"/>
  <c r="O72" i="9"/>
  <c r="N72" i="9"/>
  <c r="A72" i="9"/>
  <c r="V71" i="9"/>
  <c r="U71" i="9"/>
  <c r="T71" i="9"/>
  <c r="S71" i="9"/>
  <c r="R71" i="9"/>
  <c r="Q71" i="9"/>
  <c r="P71" i="9"/>
  <c r="O71" i="9"/>
  <c r="N71" i="9"/>
  <c r="L71" i="9"/>
  <c r="K71" i="9"/>
  <c r="J71" i="9"/>
  <c r="I71" i="9"/>
  <c r="H71" i="9"/>
  <c r="G71" i="9"/>
  <c r="F71" i="9"/>
  <c r="E71" i="9"/>
  <c r="D71" i="9"/>
  <c r="C71" i="9"/>
  <c r="A71" i="9"/>
  <c r="V70" i="9"/>
  <c r="U70" i="9"/>
  <c r="T70" i="9"/>
  <c r="S70" i="9"/>
  <c r="R70" i="9"/>
  <c r="Q70" i="9"/>
  <c r="P70" i="9"/>
  <c r="O70" i="9"/>
  <c r="N70" i="9"/>
  <c r="A70" i="9"/>
  <c r="L69" i="9"/>
  <c r="K69" i="9"/>
  <c r="J69" i="9"/>
  <c r="I69" i="9"/>
  <c r="H69" i="9"/>
  <c r="G69" i="9"/>
  <c r="F69" i="9"/>
  <c r="E69" i="9"/>
  <c r="D69" i="9"/>
  <c r="C69" i="9"/>
  <c r="A69" i="9"/>
  <c r="V68" i="9"/>
  <c r="U68" i="9"/>
  <c r="T68" i="9"/>
  <c r="S68" i="9"/>
  <c r="R68" i="9"/>
  <c r="Q68" i="9"/>
  <c r="P68" i="9"/>
  <c r="O68" i="9"/>
  <c r="N68" i="9"/>
  <c r="C68" i="9"/>
  <c r="A68" i="9"/>
  <c r="V67" i="9"/>
  <c r="U67" i="9"/>
  <c r="T67" i="9"/>
  <c r="S67" i="9"/>
  <c r="R67" i="9"/>
  <c r="Q67" i="9"/>
  <c r="P67" i="9"/>
  <c r="O67" i="9"/>
  <c r="N67" i="9"/>
  <c r="A67" i="9"/>
  <c r="V66" i="9"/>
  <c r="U66" i="9"/>
  <c r="T66" i="9"/>
  <c r="S66" i="9"/>
  <c r="R66" i="9"/>
  <c r="Q66" i="9"/>
  <c r="P66" i="9"/>
  <c r="O66" i="9"/>
  <c r="N66" i="9"/>
  <c r="A66" i="9"/>
  <c r="C65" i="9"/>
  <c r="A65" i="9"/>
  <c r="V64" i="9"/>
  <c r="U64" i="9"/>
  <c r="T64" i="9"/>
  <c r="S64" i="9"/>
  <c r="R64" i="9"/>
  <c r="Q64" i="9"/>
  <c r="P64" i="9"/>
  <c r="O64" i="9"/>
  <c r="N64" i="9"/>
  <c r="C64" i="9"/>
  <c r="A64" i="9"/>
  <c r="V63" i="9"/>
  <c r="U63" i="9"/>
  <c r="T63" i="9"/>
  <c r="S63" i="9"/>
  <c r="R63" i="9"/>
  <c r="Q63" i="9"/>
  <c r="P63" i="9"/>
  <c r="O63" i="9"/>
  <c r="N63" i="9"/>
  <c r="A63" i="9"/>
  <c r="V62" i="9"/>
  <c r="U62" i="9"/>
  <c r="T62" i="9"/>
  <c r="S62" i="9"/>
  <c r="R62" i="9"/>
  <c r="Q62" i="9"/>
  <c r="P62" i="9"/>
  <c r="O62" i="9"/>
  <c r="N62" i="9"/>
  <c r="A62" i="9"/>
  <c r="V61" i="9"/>
  <c r="U61" i="9"/>
  <c r="T61" i="9"/>
  <c r="S61" i="9"/>
  <c r="R61" i="9"/>
  <c r="Q61" i="9"/>
  <c r="P61" i="9"/>
  <c r="O61" i="9"/>
  <c r="N61" i="9"/>
  <c r="A61" i="9"/>
  <c r="V60" i="9"/>
  <c r="U60" i="9"/>
  <c r="T60" i="9"/>
  <c r="S60" i="9"/>
  <c r="R60" i="9"/>
  <c r="Q60" i="9"/>
  <c r="P60" i="9"/>
  <c r="O60" i="9"/>
  <c r="N60" i="9"/>
  <c r="A60" i="9"/>
  <c r="V59" i="9"/>
  <c r="U59" i="9"/>
  <c r="T59" i="9"/>
  <c r="S59" i="9"/>
  <c r="R59" i="9"/>
  <c r="Q59" i="9"/>
  <c r="P59" i="9"/>
  <c r="O59" i="9"/>
  <c r="N59" i="9"/>
  <c r="A59" i="9"/>
  <c r="V58" i="9"/>
  <c r="U58" i="9"/>
  <c r="T58" i="9"/>
  <c r="S58" i="9"/>
  <c r="R58" i="9"/>
  <c r="Q58" i="9"/>
  <c r="P58" i="9"/>
  <c r="O58" i="9"/>
  <c r="N58" i="9"/>
  <c r="C58" i="9"/>
  <c r="A58" i="9"/>
  <c r="V57" i="9"/>
  <c r="U57" i="9"/>
  <c r="T57" i="9"/>
  <c r="S57" i="9"/>
  <c r="R57" i="9"/>
  <c r="Q57" i="9"/>
  <c r="P57" i="9"/>
  <c r="O57" i="9"/>
  <c r="N57" i="9"/>
  <c r="C57" i="9"/>
  <c r="A57" i="9"/>
  <c r="V56" i="9"/>
  <c r="U56" i="9"/>
  <c r="T56" i="9"/>
  <c r="S56" i="9"/>
  <c r="R56" i="9"/>
  <c r="Q56" i="9"/>
  <c r="P56" i="9"/>
  <c r="O56" i="9"/>
  <c r="N56" i="9"/>
  <c r="A56" i="9"/>
  <c r="V55" i="9"/>
  <c r="U55" i="9"/>
  <c r="T55" i="9"/>
  <c r="S55" i="9"/>
  <c r="R55" i="9"/>
  <c r="Q55" i="9"/>
  <c r="P55" i="9"/>
  <c r="O55" i="9"/>
  <c r="N55" i="9"/>
  <c r="A55" i="9"/>
  <c r="V54" i="9"/>
  <c r="U54" i="9"/>
  <c r="T54" i="9"/>
  <c r="S54" i="9"/>
  <c r="R54" i="9"/>
  <c r="Q54" i="9"/>
  <c r="P54" i="9"/>
  <c r="O54" i="9"/>
  <c r="N54" i="9"/>
  <c r="C54" i="9"/>
  <c r="A54" i="9"/>
  <c r="V53" i="9"/>
  <c r="U53" i="9"/>
  <c r="T53" i="9"/>
  <c r="S53" i="9"/>
  <c r="R53" i="9"/>
  <c r="Q53" i="9"/>
  <c r="P53" i="9"/>
  <c r="O53" i="9"/>
  <c r="N53" i="9"/>
  <c r="L53" i="9"/>
  <c r="K53" i="9"/>
  <c r="J53" i="9"/>
  <c r="I53" i="9"/>
  <c r="H53" i="9"/>
  <c r="G53" i="9"/>
  <c r="F53" i="9"/>
  <c r="E53" i="9"/>
  <c r="D53" i="9"/>
  <c r="C53" i="9"/>
  <c r="A53" i="9"/>
  <c r="V52" i="9"/>
  <c r="U52" i="9"/>
  <c r="T52" i="9"/>
  <c r="S52" i="9"/>
  <c r="R52" i="9"/>
  <c r="Q52" i="9"/>
  <c r="P52" i="9"/>
  <c r="O52" i="9"/>
  <c r="N52" i="9"/>
  <c r="L52" i="9"/>
  <c r="K52" i="9"/>
  <c r="J52" i="9"/>
  <c r="I52" i="9"/>
  <c r="H52" i="9"/>
  <c r="G52" i="9"/>
  <c r="F52" i="9"/>
  <c r="E52" i="9"/>
  <c r="D52" i="9"/>
  <c r="C52" i="9"/>
  <c r="A52" i="9"/>
  <c r="V51" i="9"/>
  <c r="U51" i="9"/>
  <c r="T51" i="9"/>
  <c r="S51" i="9"/>
  <c r="R51" i="9"/>
  <c r="Q51" i="9"/>
  <c r="P51" i="9"/>
  <c r="O51" i="9"/>
  <c r="N51" i="9"/>
  <c r="A51" i="9"/>
  <c r="V50" i="9"/>
  <c r="U50" i="9"/>
  <c r="T50" i="9"/>
  <c r="S50" i="9"/>
  <c r="R50" i="9"/>
  <c r="Q50" i="9"/>
  <c r="P50" i="9"/>
  <c r="O50" i="9"/>
  <c r="N50" i="9"/>
  <c r="A50" i="9"/>
  <c r="V49" i="9"/>
  <c r="U49" i="9"/>
  <c r="T49" i="9"/>
  <c r="S49" i="9"/>
  <c r="R49" i="9"/>
  <c r="Q49" i="9"/>
  <c r="P49" i="9"/>
  <c r="O49" i="9"/>
  <c r="N49" i="9"/>
  <c r="A49" i="9"/>
  <c r="V48" i="9"/>
  <c r="U48" i="9"/>
  <c r="T48" i="9"/>
  <c r="S48" i="9"/>
  <c r="R48" i="9"/>
  <c r="Q48" i="9"/>
  <c r="P48" i="9"/>
  <c r="O48" i="9"/>
  <c r="N48" i="9"/>
  <c r="A48" i="9"/>
  <c r="V47" i="9"/>
  <c r="U47" i="9"/>
  <c r="T47" i="9"/>
  <c r="S47" i="9"/>
  <c r="R47" i="9"/>
  <c r="Q47" i="9"/>
  <c r="P47" i="9"/>
  <c r="O47" i="9"/>
  <c r="N47" i="9"/>
  <c r="A47" i="9"/>
  <c r="V46" i="9"/>
  <c r="U46" i="9"/>
  <c r="T46" i="9"/>
  <c r="S46" i="9"/>
  <c r="R46" i="9"/>
  <c r="Q46" i="9"/>
  <c r="P46" i="9"/>
  <c r="O46" i="9"/>
  <c r="N46" i="9"/>
  <c r="A46" i="9"/>
  <c r="V45" i="9"/>
  <c r="U45" i="9"/>
  <c r="T45" i="9"/>
  <c r="S45" i="9"/>
  <c r="R45" i="9"/>
  <c r="Q45" i="9"/>
  <c r="P45" i="9"/>
  <c r="O45" i="9"/>
  <c r="N45" i="9"/>
  <c r="A45" i="9"/>
  <c r="V44" i="9"/>
  <c r="U44" i="9"/>
  <c r="T44" i="9"/>
  <c r="S44" i="9"/>
  <c r="R44" i="9"/>
  <c r="Q44" i="9"/>
  <c r="P44" i="9"/>
  <c r="O44" i="9"/>
  <c r="N44" i="9"/>
  <c r="A44" i="9"/>
  <c r="V43" i="9"/>
  <c r="U43" i="9"/>
  <c r="T43" i="9"/>
  <c r="S43" i="9"/>
  <c r="R43" i="9"/>
  <c r="Q43" i="9"/>
  <c r="P43" i="9"/>
  <c r="O43" i="9"/>
  <c r="N43" i="9"/>
  <c r="L43" i="9"/>
  <c r="K43" i="9"/>
  <c r="J43" i="9"/>
  <c r="I43" i="9"/>
  <c r="H43" i="9"/>
  <c r="G43" i="9"/>
  <c r="F43" i="9"/>
  <c r="E43" i="9"/>
  <c r="D43" i="9"/>
  <c r="C43" i="9"/>
  <c r="A43" i="9"/>
  <c r="V42" i="9"/>
  <c r="U42" i="9"/>
  <c r="T42" i="9"/>
  <c r="S42" i="9"/>
  <c r="R42" i="9"/>
  <c r="Q42" i="9"/>
  <c r="P42" i="9"/>
  <c r="O42" i="9"/>
  <c r="N42" i="9"/>
  <c r="L42" i="9"/>
  <c r="K42" i="9"/>
  <c r="J42" i="9"/>
  <c r="I42" i="9"/>
  <c r="H42" i="9"/>
  <c r="G42" i="9"/>
  <c r="F42" i="9"/>
  <c r="E42" i="9"/>
  <c r="D42" i="9"/>
  <c r="C42" i="9"/>
  <c r="A42" i="9"/>
  <c r="V41" i="9"/>
  <c r="U41" i="9"/>
  <c r="T41" i="9"/>
  <c r="S41" i="9"/>
  <c r="R41" i="9"/>
  <c r="Q41" i="9"/>
  <c r="P41" i="9"/>
  <c r="O41" i="9"/>
  <c r="N41" i="9"/>
  <c r="L41" i="9"/>
  <c r="K41" i="9"/>
  <c r="J41" i="9"/>
  <c r="I41" i="9"/>
  <c r="H41" i="9"/>
  <c r="G41" i="9"/>
  <c r="F41" i="9"/>
  <c r="E41" i="9"/>
  <c r="D41" i="9"/>
  <c r="C41" i="9"/>
  <c r="A41" i="9"/>
  <c r="V40" i="9"/>
  <c r="U40" i="9"/>
  <c r="T40" i="9"/>
  <c r="S40" i="9"/>
  <c r="R40" i="9"/>
  <c r="Q40" i="9"/>
  <c r="P40" i="9"/>
  <c r="O40" i="9"/>
  <c r="N40" i="9"/>
  <c r="A40" i="9"/>
  <c r="V39" i="9"/>
  <c r="U39" i="9"/>
  <c r="T39" i="9"/>
  <c r="S39" i="9"/>
  <c r="R39" i="9"/>
  <c r="Q39" i="9"/>
  <c r="P39" i="9"/>
  <c r="O39" i="9"/>
  <c r="N39" i="9"/>
  <c r="L39" i="9"/>
  <c r="K39" i="9"/>
  <c r="J39" i="9"/>
  <c r="I39" i="9"/>
  <c r="H39" i="9"/>
  <c r="G39" i="9"/>
  <c r="F39" i="9"/>
  <c r="E39" i="9"/>
  <c r="D39" i="9"/>
  <c r="C39" i="9"/>
  <c r="A39" i="9"/>
  <c r="V38" i="9"/>
  <c r="U38" i="9"/>
  <c r="T38" i="9"/>
  <c r="S38" i="9"/>
  <c r="R38" i="9"/>
  <c r="Q38" i="9"/>
  <c r="P38" i="9"/>
  <c r="O38" i="9"/>
  <c r="N38" i="9"/>
  <c r="A38" i="9"/>
  <c r="V37" i="9"/>
  <c r="U37" i="9"/>
  <c r="T37" i="9"/>
  <c r="S37" i="9"/>
  <c r="R37" i="9"/>
  <c r="Q37" i="9"/>
  <c r="P37" i="9"/>
  <c r="O37" i="9"/>
  <c r="N37" i="9"/>
  <c r="L37" i="9"/>
  <c r="K37" i="9"/>
  <c r="J37" i="9"/>
  <c r="I37" i="9"/>
  <c r="H37" i="9"/>
  <c r="G37" i="9"/>
  <c r="F37" i="9"/>
  <c r="E37" i="9"/>
  <c r="D37" i="9"/>
  <c r="C37" i="9"/>
  <c r="A37" i="9"/>
  <c r="V36" i="9"/>
  <c r="U36" i="9"/>
  <c r="T36" i="9"/>
  <c r="S36" i="9"/>
  <c r="R36" i="9"/>
  <c r="Q36" i="9"/>
  <c r="P36" i="9"/>
  <c r="O36" i="9"/>
  <c r="N36" i="9"/>
  <c r="C36" i="9"/>
  <c r="A36" i="9"/>
  <c r="V35" i="9"/>
  <c r="U35" i="9"/>
  <c r="T35" i="9"/>
  <c r="S35" i="9"/>
  <c r="R35" i="9"/>
  <c r="Q35" i="9"/>
  <c r="P35" i="9"/>
  <c r="O35" i="9"/>
  <c r="N35" i="9"/>
  <c r="A35" i="9"/>
  <c r="V34" i="9"/>
  <c r="U34" i="9"/>
  <c r="T34" i="9"/>
  <c r="S34" i="9"/>
  <c r="R34" i="9"/>
  <c r="Q34" i="9"/>
  <c r="P34" i="9"/>
  <c r="O34" i="9"/>
  <c r="N34" i="9"/>
  <c r="L34" i="9"/>
  <c r="K34" i="9"/>
  <c r="J34" i="9"/>
  <c r="I34" i="9"/>
  <c r="H34" i="9"/>
  <c r="G34" i="9"/>
  <c r="F34" i="9"/>
  <c r="E34" i="9"/>
  <c r="D34" i="9"/>
  <c r="C34" i="9"/>
  <c r="A34" i="9"/>
  <c r="V33" i="9"/>
  <c r="U33" i="9"/>
  <c r="T33" i="9"/>
  <c r="S33" i="9"/>
  <c r="R33" i="9"/>
  <c r="Q33" i="9"/>
  <c r="P33" i="9"/>
  <c r="O33" i="9"/>
  <c r="N33" i="9"/>
  <c r="L33" i="9"/>
  <c r="K33" i="9"/>
  <c r="J33" i="9"/>
  <c r="I33" i="9"/>
  <c r="H33" i="9"/>
  <c r="G33" i="9"/>
  <c r="F33" i="9"/>
  <c r="E33" i="9"/>
  <c r="D33" i="9"/>
  <c r="T32" i="9"/>
  <c r="S32" i="9"/>
  <c r="V31" i="9"/>
  <c r="U31" i="9"/>
  <c r="T31" i="9"/>
  <c r="S31" i="9"/>
  <c r="R31" i="9"/>
  <c r="Q31" i="9"/>
  <c r="P31" i="9"/>
  <c r="O31" i="9"/>
  <c r="N31" i="9"/>
  <c r="M31" i="9"/>
  <c r="J20" i="9"/>
  <c r="I20" i="9"/>
  <c r="H20" i="9"/>
  <c r="G20" i="9"/>
  <c r="J19" i="9"/>
  <c r="I19" i="9"/>
  <c r="H19" i="9"/>
  <c r="G19" i="9"/>
  <c r="J18" i="9"/>
  <c r="I18" i="9"/>
  <c r="H18" i="9"/>
  <c r="G18" i="9"/>
  <c r="J17" i="9"/>
  <c r="I17" i="9"/>
  <c r="H17" i="9"/>
  <c r="G17" i="9"/>
  <c r="J16" i="9"/>
  <c r="I16" i="9"/>
  <c r="H16" i="9"/>
  <c r="G16" i="9"/>
  <c r="J15" i="9"/>
  <c r="I15" i="9"/>
  <c r="H15" i="9"/>
  <c r="G15" i="9"/>
  <c r="J14" i="9"/>
  <c r="I14" i="9"/>
  <c r="H14" i="9"/>
  <c r="G14" i="9"/>
  <c r="J13" i="9"/>
  <c r="I13" i="9"/>
  <c r="H13" i="9"/>
  <c r="G13" i="9"/>
  <c r="J12" i="9"/>
  <c r="I12" i="9"/>
  <c r="H12" i="9"/>
  <c r="G12" i="9"/>
  <c r="J11" i="9"/>
  <c r="H11" i="9"/>
  <c r="G11" i="9"/>
  <c r="E7" i="9"/>
  <c r="B7" i="9"/>
  <c r="I11" i="9" s="1"/>
  <c r="C33" i="9" s="1"/>
  <c r="M33" i="9" s="1"/>
  <c r="M98" i="9" s="1"/>
  <c r="L126" i="8"/>
  <c r="J126" i="8"/>
  <c r="G126" i="8"/>
  <c r="F126" i="8"/>
  <c r="E126" i="8"/>
  <c r="D126" i="8"/>
  <c r="M125" i="8"/>
  <c r="L125" i="8"/>
  <c r="K125" i="8"/>
  <c r="J125" i="8"/>
  <c r="H125" i="8"/>
  <c r="G125" i="8"/>
  <c r="M124" i="8"/>
  <c r="L124" i="8"/>
  <c r="K124" i="8"/>
  <c r="J124" i="8"/>
  <c r="H124" i="8"/>
  <c r="G124" i="8"/>
  <c r="C113" i="8"/>
  <c r="C112" i="8"/>
  <c r="V103" i="8"/>
  <c r="U103" i="8"/>
  <c r="T103" i="8"/>
  <c r="S103" i="8"/>
  <c r="R103" i="8"/>
  <c r="Q103" i="8"/>
  <c r="P103" i="8"/>
  <c r="O103" i="8"/>
  <c r="N103" i="8"/>
  <c r="A103" i="8"/>
  <c r="V102" i="8"/>
  <c r="U102" i="8"/>
  <c r="T102" i="8"/>
  <c r="S102" i="8"/>
  <c r="R102" i="8"/>
  <c r="Q102" i="8"/>
  <c r="P102" i="8"/>
  <c r="O102" i="8"/>
  <c r="N102" i="8"/>
  <c r="A102" i="8"/>
  <c r="V101" i="8"/>
  <c r="U101" i="8"/>
  <c r="T101" i="8"/>
  <c r="S101" i="8"/>
  <c r="R101" i="8"/>
  <c r="Q101" i="8"/>
  <c r="P101" i="8"/>
  <c r="O101" i="8"/>
  <c r="N101" i="8"/>
  <c r="A101" i="8"/>
  <c r="V100" i="8"/>
  <c r="U100" i="8"/>
  <c r="T100" i="8"/>
  <c r="S100" i="8"/>
  <c r="R100" i="8"/>
  <c r="Q100" i="8"/>
  <c r="P100" i="8"/>
  <c r="O100" i="8"/>
  <c r="N100" i="8"/>
  <c r="A100" i="8"/>
  <c r="V99" i="8"/>
  <c r="U99" i="8"/>
  <c r="T99" i="8"/>
  <c r="S99" i="8"/>
  <c r="R99" i="8"/>
  <c r="Q99" i="8"/>
  <c r="P99" i="8"/>
  <c r="O99" i="8"/>
  <c r="N99" i="8"/>
  <c r="A99" i="8"/>
  <c r="V98" i="8"/>
  <c r="U98" i="8"/>
  <c r="T98" i="8"/>
  <c r="S98" i="8"/>
  <c r="R98" i="8"/>
  <c r="Q98" i="8"/>
  <c r="P98" i="8"/>
  <c r="O98" i="8"/>
  <c r="N98" i="8"/>
  <c r="A98" i="8"/>
  <c r="V97" i="8"/>
  <c r="U97" i="8"/>
  <c r="T97" i="8"/>
  <c r="S97" i="8"/>
  <c r="R97" i="8"/>
  <c r="Q97" i="8"/>
  <c r="P97" i="8"/>
  <c r="O97" i="8"/>
  <c r="N97" i="8"/>
  <c r="A97" i="8"/>
  <c r="V96" i="8"/>
  <c r="U96" i="8"/>
  <c r="T96" i="8"/>
  <c r="S96" i="8"/>
  <c r="R96" i="8"/>
  <c r="Q96" i="8"/>
  <c r="P96" i="8"/>
  <c r="O96" i="8"/>
  <c r="N96" i="8"/>
  <c r="A96" i="8"/>
  <c r="V95" i="8"/>
  <c r="U95" i="8"/>
  <c r="T95" i="8"/>
  <c r="S95" i="8"/>
  <c r="R95" i="8"/>
  <c r="Q95" i="8"/>
  <c r="P95" i="8"/>
  <c r="O95" i="8"/>
  <c r="N95" i="8"/>
  <c r="A95" i="8"/>
  <c r="V94" i="8"/>
  <c r="U94" i="8"/>
  <c r="T94" i="8"/>
  <c r="S94" i="8"/>
  <c r="R94" i="8"/>
  <c r="Q94" i="8"/>
  <c r="P94" i="8"/>
  <c r="O94" i="8"/>
  <c r="N94" i="8"/>
  <c r="A94" i="8"/>
  <c r="V93" i="8"/>
  <c r="U93" i="8"/>
  <c r="T93" i="8"/>
  <c r="S93" i="8"/>
  <c r="R93" i="8"/>
  <c r="Q93" i="8"/>
  <c r="P93" i="8"/>
  <c r="O93" i="8"/>
  <c r="N93" i="8"/>
  <c r="A93" i="8"/>
  <c r="V92" i="8"/>
  <c r="U92" i="8"/>
  <c r="T92" i="8"/>
  <c r="S92" i="8"/>
  <c r="R92" i="8"/>
  <c r="Q92" i="8"/>
  <c r="P92" i="8"/>
  <c r="O92" i="8"/>
  <c r="N92" i="8"/>
  <c r="A92" i="8"/>
  <c r="V91" i="8"/>
  <c r="U91" i="8"/>
  <c r="T91" i="8"/>
  <c r="S91" i="8"/>
  <c r="R91" i="8"/>
  <c r="Q91" i="8"/>
  <c r="P91" i="8"/>
  <c r="O91" i="8"/>
  <c r="N91" i="8"/>
  <c r="A91" i="8"/>
  <c r="V90" i="8"/>
  <c r="U90" i="8"/>
  <c r="T90" i="8"/>
  <c r="S90" i="8"/>
  <c r="R90" i="8"/>
  <c r="Q90" i="8"/>
  <c r="P90" i="8"/>
  <c r="O90" i="8"/>
  <c r="N90" i="8"/>
  <c r="A90" i="8"/>
  <c r="V89" i="8"/>
  <c r="U89" i="8"/>
  <c r="T89" i="8"/>
  <c r="S89" i="8"/>
  <c r="R89" i="8"/>
  <c r="Q89" i="8"/>
  <c r="P89" i="8"/>
  <c r="O89" i="8"/>
  <c r="N89" i="8"/>
  <c r="A89" i="8"/>
  <c r="V88" i="8"/>
  <c r="U88" i="8"/>
  <c r="T88" i="8"/>
  <c r="S88" i="8"/>
  <c r="R88" i="8"/>
  <c r="Q88" i="8"/>
  <c r="P88" i="8"/>
  <c r="O88" i="8"/>
  <c r="N88" i="8"/>
  <c r="A88" i="8"/>
  <c r="V87" i="8"/>
  <c r="U87" i="8"/>
  <c r="T87" i="8"/>
  <c r="S87" i="8"/>
  <c r="R87" i="8"/>
  <c r="Q87" i="8"/>
  <c r="P87" i="8"/>
  <c r="O87" i="8"/>
  <c r="N87" i="8"/>
  <c r="A87" i="8"/>
  <c r="V86" i="8"/>
  <c r="U86" i="8"/>
  <c r="T86" i="8"/>
  <c r="S86" i="8"/>
  <c r="R86" i="8"/>
  <c r="Q86" i="8"/>
  <c r="P86" i="8"/>
  <c r="O86" i="8"/>
  <c r="N86" i="8"/>
  <c r="A86" i="8"/>
  <c r="V85" i="8"/>
  <c r="U85" i="8"/>
  <c r="T85" i="8"/>
  <c r="S85" i="8"/>
  <c r="R85" i="8"/>
  <c r="Q85" i="8"/>
  <c r="P85" i="8"/>
  <c r="O85" i="8"/>
  <c r="N85" i="8"/>
  <c r="A85" i="8"/>
  <c r="V84" i="8"/>
  <c r="U84" i="8"/>
  <c r="T84" i="8"/>
  <c r="S84" i="8"/>
  <c r="R84" i="8"/>
  <c r="Q84" i="8"/>
  <c r="P84" i="8"/>
  <c r="O84" i="8"/>
  <c r="N84" i="8"/>
  <c r="A84" i="8"/>
  <c r="V83" i="8"/>
  <c r="U83" i="8"/>
  <c r="T83" i="8"/>
  <c r="S83" i="8"/>
  <c r="R83" i="8"/>
  <c r="Q83" i="8"/>
  <c r="P83" i="8"/>
  <c r="O83" i="8"/>
  <c r="N83" i="8"/>
  <c r="A83" i="8"/>
  <c r="V82" i="8"/>
  <c r="U82" i="8"/>
  <c r="T82" i="8"/>
  <c r="S82" i="8"/>
  <c r="R82" i="8"/>
  <c r="Q82" i="8"/>
  <c r="P82" i="8"/>
  <c r="O82" i="8"/>
  <c r="N82" i="8"/>
  <c r="L82" i="8"/>
  <c r="K82" i="8"/>
  <c r="J82" i="8"/>
  <c r="I82" i="8"/>
  <c r="H82" i="8"/>
  <c r="G82" i="8"/>
  <c r="F82" i="8"/>
  <c r="A82" i="8"/>
  <c r="V81" i="8"/>
  <c r="U81" i="8"/>
  <c r="T81" i="8"/>
  <c r="S81" i="8"/>
  <c r="R81" i="8"/>
  <c r="Q81" i="8"/>
  <c r="P81" i="8"/>
  <c r="O81" i="8"/>
  <c r="N81" i="8"/>
  <c r="A81" i="8"/>
  <c r="V80" i="8"/>
  <c r="U80" i="8"/>
  <c r="T80" i="8"/>
  <c r="S80" i="8"/>
  <c r="R80" i="8"/>
  <c r="Q80" i="8"/>
  <c r="P80" i="8"/>
  <c r="O80" i="8"/>
  <c r="N80" i="8"/>
  <c r="A80" i="8"/>
  <c r="V79" i="8"/>
  <c r="U79" i="8"/>
  <c r="T79" i="8"/>
  <c r="S79" i="8"/>
  <c r="R79" i="8"/>
  <c r="Q79" i="8"/>
  <c r="P79" i="8"/>
  <c r="O79" i="8"/>
  <c r="N79" i="8"/>
  <c r="A79" i="8"/>
  <c r="V78" i="8"/>
  <c r="U78" i="8"/>
  <c r="T78" i="8"/>
  <c r="S78" i="8"/>
  <c r="R78" i="8"/>
  <c r="Q78" i="8"/>
  <c r="P78" i="8"/>
  <c r="O78" i="8"/>
  <c r="N78" i="8"/>
  <c r="A78" i="8"/>
  <c r="V77" i="8"/>
  <c r="U77" i="8"/>
  <c r="T77" i="8"/>
  <c r="S77" i="8"/>
  <c r="R77" i="8"/>
  <c r="Q77" i="8"/>
  <c r="P77" i="8"/>
  <c r="O77" i="8"/>
  <c r="N77" i="8"/>
  <c r="A77" i="8"/>
  <c r="V76" i="8"/>
  <c r="U76" i="8"/>
  <c r="T76" i="8"/>
  <c r="S76" i="8"/>
  <c r="R76" i="8"/>
  <c r="Q76" i="8"/>
  <c r="P76" i="8"/>
  <c r="O76" i="8"/>
  <c r="N76" i="8"/>
  <c r="A76" i="8"/>
  <c r="V75" i="8"/>
  <c r="U75" i="8"/>
  <c r="T75" i="8"/>
  <c r="S75" i="8"/>
  <c r="R75" i="8"/>
  <c r="Q75" i="8"/>
  <c r="P75" i="8"/>
  <c r="O75" i="8"/>
  <c r="N75" i="8"/>
  <c r="A75" i="8"/>
  <c r="V74" i="8"/>
  <c r="U74" i="8"/>
  <c r="T74" i="8"/>
  <c r="S74" i="8"/>
  <c r="R74" i="8"/>
  <c r="Q74" i="8"/>
  <c r="P74" i="8"/>
  <c r="O74" i="8"/>
  <c r="N74" i="8"/>
  <c r="A74" i="8"/>
  <c r="V73" i="8"/>
  <c r="U73" i="8"/>
  <c r="T73" i="8"/>
  <c r="S73" i="8"/>
  <c r="R73" i="8"/>
  <c r="Q73" i="8"/>
  <c r="P73" i="8"/>
  <c r="O73" i="8"/>
  <c r="N73" i="8"/>
  <c r="A73" i="8"/>
  <c r="V72" i="8"/>
  <c r="U72" i="8"/>
  <c r="T72" i="8"/>
  <c r="S72" i="8"/>
  <c r="R72" i="8"/>
  <c r="Q72" i="8"/>
  <c r="P72" i="8"/>
  <c r="O72" i="8"/>
  <c r="N72" i="8"/>
  <c r="A72" i="8"/>
  <c r="V71" i="8"/>
  <c r="U71" i="8"/>
  <c r="T71" i="8"/>
  <c r="S71" i="8"/>
  <c r="R71" i="8"/>
  <c r="Q71" i="8"/>
  <c r="P71" i="8"/>
  <c r="O71" i="8"/>
  <c r="N71" i="8"/>
  <c r="L71" i="8"/>
  <c r="K71" i="8"/>
  <c r="J71" i="8"/>
  <c r="I71" i="8"/>
  <c r="H71" i="8"/>
  <c r="G71" i="8"/>
  <c r="F71" i="8"/>
  <c r="E71" i="8"/>
  <c r="D71" i="8"/>
  <c r="C71" i="8"/>
  <c r="A71" i="8"/>
  <c r="V70" i="8"/>
  <c r="U70" i="8"/>
  <c r="T70" i="8"/>
  <c r="S70" i="8"/>
  <c r="R70" i="8"/>
  <c r="Q70" i="8"/>
  <c r="P70" i="8"/>
  <c r="O70" i="8"/>
  <c r="N70" i="8"/>
  <c r="A70" i="8"/>
  <c r="L69" i="8"/>
  <c r="K69" i="8"/>
  <c r="J69" i="8"/>
  <c r="I69" i="8"/>
  <c r="H69" i="8"/>
  <c r="G69" i="8"/>
  <c r="F69" i="8"/>
  <c r="E69" i="8"/>
  <c r="D69" i="8"/>
  <c r="C69" i="8"/>
  <c r="A69" i="8"/>
  <c r="V68" i="8"/>
  <c r="U68" i="8"/>
  <c r="T68" i="8"/>
  <c r="S68" i="8"/>
  <c r="R68" i="8"/>
  <c r="Q68" i="8"/>
  <c r="P68" i="8"/>
  <c r="O68" i="8"/>
  <c r="N68" i="8"/>
  <c r="C68" i="8"/>
  <c r="A68" i="8"/>
  <c r="V67" i="8"/>
  <c r="U67" i="8"/>
  <c r="T67" i="8"/>
  <c r="S67" i="8"/>
  <c r="R67" i="8"/>
  <c r="Q67" i="8"/>
  <c r="P67" i="8"/>
  <c r="O67" i="8"/>
  <c r="N67" i="8"/>
  <c r="A67" i="8"/>
  <c r="V66" i="8"/>
  <c r="U66" i="8"/>
  <c r="T66" i="8"/>
  <c r="S66" i="8"/>
  <c r="R66" i="8"/>
  <c r="Q66" i="8"/>
  <c r="P66" i="8"/>
  <c r="O66" i="8"/>
  <c r="N66" i="8"/>
  <c r="A66" i="8"/>
  <c r="C65" i="8"/>
  <c r="A65" i="8"/>
  <c r="V64" i="8"/>
  <c r="U64" i="8"/>
  <c r="T64" i="8"/>
  <c r="S64" i="8"/>
  <c r="R64" i="8"/>
  <c r="Q64" i="8"/>
  <c r="P64" i="8"/>
  <c r="O64" i="8"/>
  <c r="N64" i="8"/>
  <c r="C64" i="8"/>
  <c r="A64" i="8"/>
  <c r="V63" i="8"/>
  <c r="U63" i="8"/>
  <c r="T63" i="8"/>
  <c r="S63" i="8"/>
  <c r="R63" i="8"/>
  <c r="Q63" i="8"/>
  <c r="P63" i="8"/>
  <c r="O63" i="8"/>
  <c r="N63" i="8"/>
  <c r="A63" i="8"/>
  <c r="V62" i="8"/>
  <c r="U62" i="8"/>
  <c r="T62" i="8"/>
  <c r="S62" i="8"/>
  <c r="R62" i="8"/>
  <c r="Q62" i="8"/>
  <c r="P62" i="8"/>
  <c r="O62" i="8"/>
  <c r="N62" i="8"/>
  <c r="A62" i="8"/>
  <c r="V61" i="8"/>
  <c r="U61" i="8"/>
  <c r="T61" i="8"/>
  <c r="S61" i="8"/>
  <c r="R61" i="8"/>
  <c r="Q61" i="8"/>
  <c r="P61" i="8"/>
  <c r="O61" i="8"/>
  <c r="N61" i="8"/>
  <c r="A61" i="8"/>
  <c r="V60" i="8"/>
  <c r="U60" i="8"/>
  <c r="T60" i="8"/>
  <c r="S60" i="8"/>
  <c r="R60" i="8"/>
  <c r="Q60" i="8"/>
  <c r="P60" i="8"/>
  <c r="O60" i="8"/>
  <c r="N60" i="8"/>
  <c r="A60" i="8"/>
  <c r="V59" i="8"/>
  <c r="U59" i="8"/>
  <c r="T59" i="8"/>
  <c r="S59" i="8"/>
  <c r="R59" i="8"/>
  <c r="Q59" i="8"/>
  <c r="P59" i="8"/>
  <c r="O59" i="8"/>
  <c r="N59" i="8"/>
  <c r="A59" i="8"/>
  <c r="V58" i="8"/>
  <c r="U58" i="8"/>
  <c r="T58" i="8"/>
  <c r="S58" i="8"/>
  <c r="R58" i="8"/>
  <c r="Q58" i="8"/>
  <c r="P58" i="8"/>
  <c r="O58" i="8"/>
  <c r="N58" i="8"/>
  <c r="C58" i="8"/>
  <c r="A58" i="8"/>
  <c r="V57" i="8"/>
  <c r="U57" i="8"/>
  <c r="T57" i="8"/>
  <c r="S57" i="8"/>
  <c r="R57" i="8"/>
  <c r="Q57" i="8"/>
  <c r="P57" i="8"/>
  <c r="O57" i="8"/>
  <c r="N57" i="8"/>
  <c r="C57" i="8"/>
  <c r="A57" i="8"/>
  <c r="V56" i="8"/>
  <c r="U56" i="8"/>
  <c r="T56" i="8"/>
  <c r="S56" i="8"/>
  <c r="R56" i="8"/>
  <c r="Q56" i="8"/>
  <c r="P56" i="8"/>
  <c r="O56" i="8"/>
  <c r="N56" i="8"/>
  <c r="A56" i="8"/>
  <c r="V55" i="8"/>
  <c r="U55" i="8"/>
  <c r="T55" i="8"/>
  <c r="S55" i="8"/>
  <c r="R55" i="8"/>
  <c r="Q55" i="8"/>
  <c r="P55" i="8"/>
  <c r="O55" i="8"/>
  <c r="N55" i="8"/>
  <c r="A55" i="8"/>
  <c r="V54" i="8"/>
  <c r="U54" i="8"/>
  <c r="T54" i="8"/>
  <c r="S54" i="8"/>
  <c r="R54" i="8"/>
  <c r="Q54" i="8"/>
  <c r="P54" i="8"/>
  <c r="O54" i="8"/>
  <c r="N54" i="8"/>
  <c r="C54" i="8"/>
  <c r="A54" i="8"/>
  <c r="V53" i="8"/>
  <c r="U53" i="8"/>
  <c r="T53" i="8"/>
  <c r="S53" i="8"/>
  <c r="R53" i="8"/>
  <c r="Q53" i="8"/>
  <c r="P53" i="8"/>
  <c r="O53" i="8"/>
  <c r="N53" i="8"/>
  <c r="L53" i="8"/>
  <c r="K53" i="8"/>
  <c r="J53" i="8"/>
  <c r="I53" i="8"/>
  <c r="H53" i="8"/>
  <c r="G53" i="8"/>
  <c r="F53" i="8"/>
  <c r="E53" i="8"/>
  <c r="D53" i="8"/>
  <c r="C53" i="8"/>
  <c r="A53" i="8"/>
  <c r="V52" i="8"/>
  <c r="U52" i="8"/>
  <c r="T52" i="8"/>
  <c r="S52" i="8"/>
  <c r="R52" i="8"/>
  <c r="Q52" i="8"/>
  <c r="P52" i="8"/>
  <c r="O52" i="8"/>
  <c r="N52" i="8"/>
  <c r="L52" i="8"/>
  <c r="K52" i="8"/>
  <c r="J52" i="8"/>
  <c r="I52" i="8"/>
  <c r="H52" i="8"/>
  <c r="G52" i="8"/>
  <c r="F52" i="8"/>
  <c r="E52" i="8"/>
  <c r="D52" i="8"/>
  <c r="C52" i="8"/>
  <c r="A52" i="8"/>
  <c r="V51" i="8"/>
  <c r="U51" i="8"/>
  <c r="T51" i="8"/>
  <c r="S51" i="8"/>
  <c r="R51" i="8"/>
  <c r="Q51" i="8"/>
  <c r="P51" i="8"/>
  <c r="O51" i="8"/>
  <c r="N51" i="8"/>
  <c r="A51" i="8"/>
  <c r="V50" i="8"/>
  <c r="U50" i="8"/>
  <c r="T50" i="8"/>
  <c r="S50" i="8"/>
  <c r="R50" i="8"/>
  <c r="Q50" i="8"/>
  <c r="P50" i="8"/>
  <c r="O50" i="8"/>
  <c r="N50" i="8"/>
  <c r="A50" i="8"/>
  <c r="V49" i="8"/>
  <c r="U49" i="8"/>
  <c r="T49" i="8"/>
  <c r="S49" i="8"/>
  <c r="R49" i="8"/>
  <c r="Q49" i="8"/>
  <c r="P49" i="8"/>
  <c r="O49" i="8"/>
  <c r="N49" i="8"/>
  <c r="A49" i="8"/>
  <c r="V48" i="8"/>
  <c r="U48" i="8"/>
  <c r="T48" i="8"/>
  <c r="S48" i="8"/>
  <c r="R48" i="8"/>
  <c r="Q48" i="8"/>
  <c r="P48" i="8"/>
  <c r="O48" i="8"/>
  <c r="N48" i="8"/>
  <c r="A48" i="8"/>
  <c r="V47" i="8"/>
  <c r="U47" i="8"/>
  <c r="T47" i="8"/>
  <c r="S47" i="8"/>
  <c r="R47" i="8"/>
  <c r="Q47" i="8"/>
  <c r="P47" i="8"/>
  <c r="O47" i="8"/>
  <c r="N47" i="8"/>
  <c r="A47" i="8"/>
  <c r="V46" i="8"/>
  <c r="U46" i="8"/>
  <c r="T46" i="8"/>
  <c r="S46" i="8"/>
  <c r="R46" i="8"/>
  <c r="Q46" i="8"/>
  <c r="P46" i="8"/>
  <c r="O46" i="8"/>
  <c r="N46" i="8"/>
  <c r="A46" i="8"/>
  <c r="V45" i="8"/>
  <c r="U45" i="8"/>
  <c r="T45" i="8"/>
  <c r="S45" i="8"/>
  <c r="R45" i="8"/>
  <c r="Q45" i="8"/>
  <c r="P45" i="8"/>
  <c r="O45" i="8"/>
  <c r="N45" i="8"/>
  <c r="A45" i="8"/>
  <c r="V44" i="8"/>
  <c r="U44" i="8"/>
  <c r="T44" i="8"/>
  <c r="S44" i="8"/>
  <c r="R44" i="8"/>
  <c r="Q44" i="8"/>
  <c r="P44" i="8"/>
  <c r="O44" i="8"/>
  <c r="N44" i="8"/>
  <c r="A44" i="8"/>
  <c r="V43" i="8"/>
  <c r="U43" i="8"/>
  <c r="T43" i="8"/>
  <c r="S43" i="8"/>
  <c r="R43" i="8"/>
  <c r="Q43" i="8"/>
  <c r="P43" i="8"/>
  <c r="O43" i="8"/>
  <c r="N43" i="8"/>
  <c r="L43" i="8"/>
  <c r="K43" i="8"/>
  <c r="J43" i="8"/>
  <c r="I43" i="8"/>
  <c r="H43" i="8"/>
  <c r="G43" i="8"/>
  <c r="F43" i="8"/>
  <c r="E43" i="8"/>
  <c r="D43" i="8"/>
  <c r="C43" i="8"/>
  <c r="A43" i="8"/>
  <c r="V42" i="8"/>
  <c r="U42" i="8"/>
  <c r="T42" i="8"/>
  <c r="S42" i="8"/>
  <c r="R42" i="8"/>
  <c r="Q42" i="8"/>
  <c r="P42" i="8"/>
  <c r="O42" i="8"/>
  <c r="N42" i="8"/>
  <c r="L42" i="8"/>
  <c r="K42" i="8"/>
  <c r="J42" i="8"/>
  <c r="I42" i="8"/>
  <c r="H42" i="8"/>
  <c r="G42" i="8"/>
  <c r="F42" i="8"/>
  <c r="E42" i="8"/>
  <c r="D42" i="8"/>
  <c r="C42" i="8"/>
  <c r="A42" i="8"/>
  <c r="V41" i="8"/>
  <c r="U41" i="8"/>
  <c r="T41" i="8"/>
  <c r="S41" i="8"/>
  <c r="R41" i="8"/>
  <c r="Q41" i="8"/>
  <c r="P41" i="8"/>
  <c r="O41" i="8"/>
  <c r="N41" i="8"/>
  <c r="L41" i="8"/>
  <c r="K41" i="8"/>
  <c r="J41" i="8"/>
  <c r="I41" i="8"/>
  <c r="H41" i="8"/>
  <c r="G41" i="8"/>
  <c r="F41" i="8"/>
  <c r="E41" i="8"/>
  <c r="D41" i="8"/>
  <c r="C41" i="8"/>
  <c r="A41" i="8"/>
  <c r="V40" i="8"/>
  <c r="U40" i="8"/>
  <c r="T40" i="8"/>
  <c r="S40" i="8"/>
  <c r="R40" i="8"/>
  <c r="Q40" i="8"/>
  <c r="P40" i="8"/>
  <c r="O40" i="8"/>
  <c r="N40" i="8"/>
  <c r="A40" i="8"/>
  <c r="V39" i="8"/>
  <c r="U39" i="8"/>
  <c r="T39" i="8"/>
  <c r="S39" i="8"/>
  <c r="R39" i="8"/>
  <c r="Q39" i="8"/>
  <c r="P39" i="8"/>
  <c r="O39" i="8"/>
  <c r="N39" i="8"/>
  <c r="L39" i="8"/>
  <c r="K39" i="8"/>
  <c r="J39" i="8"/>
  <c r="I39" i="8"/>
  <c r="H39" i="8"/>
  <c r="G39" i="8"/>
  <c r="F39" i="8"/>
  <c r="E39" i="8"/>
  <c r="D39" i="8"/>
  <c r="C39" i="8"/>
  <c r="A39" i="8"/>
  <c r="V38" i="8"/>
  <c r="U38" i="8"/>
  <c r="T38" i="8"/>
  <c r="S38" i="8"/>
  <c r="R38" i="8"/>
  <c r="Q38" i="8"/>
  <c r="P38" i="8"/>
  <c r="O38" i="8"/>
  <c r="N38" i="8"/>
  <c r="A38" i="8"/>
  <c r="V37" i="8"/>
  <c r="U37" i="8"/>
  <c r="T37" i="8"/>
  <c r="S37" i="8"/>
  <c r="R37" i="8"/>
  <c r="Q37" i="8"/>
  <c r="P37" i="8"/>
  <c r="O37" i="8"/>
  <c r="N37" i="8"/>
  <c r="L37" i="8"/>
  <c r="K37" i="8"/>
  <c r="J37" i="8"/>
  <c r="I37" i="8"/>
  <c r="H37" i="8"/>
  <c r="G37" i="8"/>
  <c r="F37" i="8"/>
  <c r="E37" i="8"/>
  <c r="D37" i="8"/>
  <c r="C37" i="8"/>
  <c r="A37" i="8"/>
  <c r="V36" i="8"/>
  <c r="U36" i="8"/>
  <c r="T36" i="8"/>
  <c r="S36" i="8"/>
  <c r="R36" i="8"/>
  <c r="Q36" i="8"/>
  <c r="P36" i="8"/>
  <c r="O36" i="8"/>
  <c r="N36" i="8"/>
  <c r="C36" i="8"/>
  <c r="A36" i="8"/>
  <c r="V35" i="8"/>
  <c r="U35" i="8"/>
  <c r="T35" i="8"/>
  <c r="S35" i="8"/>
  <c r="R35" i="8"/>
  <c r="Q35" i="8"/>
  <c r="P35" i="8"/>
  <c r="O35" i="8"/>
  <c r="N35" i="8"/>
  <c r="A35" i="8"/>
  <c r="V34" i="8"/>
  <c r="U34" i="8"/>
  <c r="T34" i="8"/>
  <c r="S34" i="8"/>
  <c r="R34" i="8"/>
  <c r="Q34" i="8"/>
  <c r="P34" i="8"/>
  <c r="O34" i="8"/>
  <c r="N34" i="8"/>
  <c r="L34" i="8"/>
  <c r="K34" i="8"/>
  <c r="J34" i="8"/>
  <c r="I34" i="8"/>
  <c r="H34" i="8"/>
  <c r="G34" i="8"/>
  <c r="F34" i="8"/>
  <c r="E34" i="8"/>
  <c r="D34" i="8"/>
  <c r="C34" i="8"/>
  <c r="A34" i="8"/>
  <c r="V33" i="8"/>
  <c r="U33" i="8"/>
  <c r="T33" i="8"/>
  <c r="S33" i="8"/>
  <c r="R33" i="8"/>
  <c r="Q33" i="8"/>
  <c r="P33" i="8"/>
  <c r="O33" i="8"/>
  <c r="N33" i="8"/>
  <c r="L33" i="8"/>
  <c r="K33" i="8"/>
  <c r="J33" i="8"/>
  <c r="I33" i="8"/>
  <c r="H33" i="8"/>
  <c r="G33" i="8"/>
  <c r="F33" i="8"/>
  <c r="E33" i="8"/>
  <c r="D33" i="8"/>
  <c r="T32" i="8"/>
  <c r="S32" i="8"/>
  <c r="V31" i="8"/>
  <c r="U31" i="8"/>
  <c r="T31" i="8"/>
  <c r="S31" i="8"/>
  <c r="R31" i="8"/>
  <c r="Q31" i="8"/>
  <c r="P31" i="8"/>
  <c r="O31" i="8"/>
  <c r="N31" i="8"/>
  <c r="M31" i="8"/>
  <c r="J20" i="8"/>
  <c r="I20" i="8"/>
  <c r="H20" i="8"/>
  <c r="G20" i="8"/>
  <c r="J19" i="8"/>
  <c r="I19" i="8"/>
  <c r="H19" i="8"/>
  <c r="G19" i="8"/>
  <c r="J18" i="8"/>
  <c r="I18" i="8"/>
  <c r="H18" i="8"/>
  <c r="G18" i="8"/>
  <c r="J17" i="8"/>
  <c r="I17" i="8"/>
  <c r="H17" i="8"/>
  <c r="G17" i="8"/>
  <c r="J16" i="8"/>
  <c r="I16" i="8"/>
  <c r="H16" i="8"/>
  <c r="G16" i="8"/>
  <c r="J15" i="8"/>
  <c r="I15" i="8"/>
  <c r="H15" i="8"/>
  <c r="G15" i="8"/>
  <c r="J14" i="8"/>
  <c r="I14" i="8"/>
  <c r="H14" i="8"/>
  <c r="G14" i="8"/>
  <c r="J13" i="8"/>
  <c r="I13" i="8"/>
  <c r="H13" i="8"/>
  <c r="G13" i="8"/>
  <c r="J12" i="8"/>
  <c r="I12" i="8"/>
  <c r="H12" i="8"/>
  <c r="G12" i="8"/>
  <c r="J11" i="8"/>
  <c r="H11" i="8"/>
  <c r="G11" i="8"/>
  <c r="E7" i="8"/>
  <c r="B7" i="8"/>
  <c r="I11" i="8" s="1"/>
  <c r="C33" i="8" s="1"/>
  <c r="M33" i="8" s="1"/>
  <c r="M73" i="8" s="1"/>
  <c r="H132" i="7"/>
  <c r="G132" i="7"/>
  <c r="F132" i="7"/>
  <c r="E132" i="7"/>
  <c r="D132" i="7"/>
  <c r="C132" i="7"/>
  <c r="B132" i="7"/>
  <c r="V103" i="7"/>
  <c r="U103" i="7"/>
  <c r="T103" i="7"/>
  <c r="S103" i="7"/>
  <c r="R103" i="7"/>
  <c r="Q103" i="7"/>
  <c r="P103" i="7"/>
  <c r="O103" i="7"/>
  <c r="N103" i="7"/>
  <c r="A103" i="7"/>
  <c r="V102" i="7"/>
  <c r="U102" i="7"/>
  <c r="T102" i="7"/>
  <c r="S102" i="7"/>
  <c r="R102" i="7"/>
  <c r="Q102" i="7"/>
  <c r="P102" i="7"/>
  <c r="O102" i="7"/>
  <c r="N102" i="7"/>
  <c r="A102" i="7"/>
  <c r="V101" i="7"/>
  <c r="U101" i="7"/>
  <c r="T101" i="7"/>
  <c r="S101" i="7"/>
  <c r="R101" i="7"/>
  <c r="Q101" i="7"/>
  <c r="P101" i="7"/>
  <c r="O101" i="7"/>
  <c r="N101" i="7"/>
  <c r="A101" i="7"/>
  <c r="V100" i="7"/>
  <c r="U100" i="7"/>
  <c r="T100" i="7"/>
  <c r="S100" i="7"/>
  <c r="R100" i="7"/>
  <c r="Q100" i="7"/>
  <c r="P100" i="7"/>
  <c r="O100" i="7"/>
  <c r="N100" i="7"/>
  <c r="A100" i="7"/>
  <c r="V99" i="7"/>
  <c r="U99" i="7"/>
  <c r="T99" i="7"/>
  <c r="S99" i="7"/>
  <c r="R99" i="7"/>
  <c r="Q99" i="7"/>
  <c r="P99" i="7"/>
  <c r="O99" i="7"/>
  <c r="N99" i="7"/>
  <c r="A99" i="7"/>
  <c r="V98" i="7"/>
  <c r="U98" i="7"/>
  <c r="T98" i="7"/>
  <c r="S98" i="7"/>
  <c r="R98" i="7"/>
  <c r="Q98" i="7"/>
  <c r="P98" i="7"/>
  <c r="O98" i="7"/>
  <c r="N98" i="7"/>
  <c r="A98" i="7"/>
  <c r="V97" i="7"/>
  <c r="U97" i="7"/>
  <c r="T97" i="7"/>
  <c r="S97" i="7"/>
  <c r="R97" i="7"/>
  <c r="Q97" i="7"/>
  <c r="P97" i="7"/>
  <c r="O97" i="7"/>
  <c r="N97" i="7"/>
  <c r="A97" i="7"/>
  <c r="V96" i="7"/>
  <c r="U96" i="7"/>
  <c r="T96" i="7"/>
  <c r="S96" i="7"/>
  <c r="R96" i="7"/>
  <c r="Q96" i="7"/>
  <c r="P96" i="7"/>
  <c r="O96" i="7"/>
  <c r="N96" i="7"/>
  <c r="A96" i="7"/>
  <c r="V95" i="7"/>
  <c r="U95" i="7"/>
  <c r="T95" i="7"/>
  <c r="S95" i="7"/>
  <c r="R95" i="7"/>
  <c r="Q95" i="7"/>
  <c r="P95" i="7"/>
  <c r="O95" i="7"/>
  <c r="N95" i="7"/>
  <c r="A95" i="7"/>
  <c r="V94" i="7"/>
  <c r="U94" i="7"/>
  <c r="T94" i="7"/>
  <c r="S94" i="7"/>
  <c r="R94" i="7"/>
  <c r="Q94" i="7"/>
  <c r="P94" i="7"/>
  <c r="O94" i="7"/>
  <c r="N94" i="7"/>
  <c r="A94" i="7"/>
  <c r="V93" i="7"/>
  <c r="U93" i="7"/>
  <c r="T93" i="7"/>
  <c r="S93" i="7"/>
  <c r="R93" i="7"/>
  <c r="Q93" i="7"/>
  <c r="P93" i="7"/>
  <c r="O93" i="7"/>
  <c r="N93" i="7"/>
  <c r="A93" i="7"/>
  <c r="V92" i="7"/>
  <c r="U92" i="7"/>
  <c r="T92" i="7"/>
  <c r="S92" i="7"/>
  <c r="R92" i="7"/>
  <c r="Q92" i="7"/>
  <c r="P92" i="7"/>
  <c r="O92" i="7"/>
  <c r="N92" i="7"/>
  <c r="A92" i="7"/>
  <c r="V91" i="7"/>
  <c r="U91" i="7"/>
  <c r="T91" i="7"/>
  <c r="S91" i="7"/>
  <c r="R91" i="7"/>
  <c r="Q91" i="7"/>
  <c r="P91" i="7"/>
  <c r="O91" i="7"/>
  <c r="N91" i="7"/>
  <c r="A91" i="7"/>
  <c r="V90" i="7"/>
  <c r="U90" i="7"/>
  <c r="T90" i="7"/>
  <c r="S90" i="7"/>
  <c r="R90" i="7"/>
  <c r="Q90" i="7"/>
  <c r="P90" i="7"/>
  <c r="O90" i="7"/>
  <c r="N90" i="7"/>
  <c r="A90" i="7"/>
  <c r="V89" i="7"/>
  <c r="U89" i="7"/>
  <c r="T89" i="7"/>
  <c r="S89" i="7"/>
  <c r="R89" i="7"/>
  <c r="Q89" i="7"/>
  <c r="P89" i="7"/>
  <c r="O89" i="7"/>
  <c r="N89" i="7"/>
  <c r="A89" i="7"/>
  <c r="V88" i="7"/>
  <c r="U88" i="7"/>
  <c r="T88" i="7"/>
  <c r="S88" i="7"/>
  <c r="R88" i="7"/>
  <c r="Q88" i="7"/>
  <c r="P88" i="7"/>
  <c r="O88" i="7"/>
  <c r="N88" i="7"/>
  <c r="A88" i="7"/>
  <c r="V87" i="7"/>
  <c r="U87" i="7"/>
  <c r="T87" i="7"/>
  <c r="S87" i="7"/>
  <c r="R87" i="7"/>
  <c r="Q87" i="7"/>
  <c r="P87" i="7"/>
  <c r="O87" i="7"/>
  <c r="N87" i="7"/>
  <c r="A87" i="7"/>
  <c r="V86" i="7"/>
  <c r="U86" i="7"/>
  <c r="T86" i="7"/>
  <c r="S86" i="7"/>
  <c r="R86" i="7"/>
  <c r="Q86" i="7"/>
  <c r="P86" i="7"/>
  <c r="O86" i="7"/>
  <c r="N86" i="7"/>
  <c r="A86" i="7"/>
  <c r="V85" i="7"/>
  <c r="U85" i="7"/>
  <c r="T85" i="7"/>
  <c r="S85" i="7"/>
  <c r="R85" i="7"/>
  <c r="Q85" i="7"/>
  <c r="P85" i="7"/>
  <c r="O85" i="7"/>
  <c r="N85" i="7"/>
  <c r="A85" i="7"/>
  <c r="V84" i="7"/>
  <c r="U84" i="7"/>
  <c r="T84" i="7"/>
  <c r="S84" i="7"/>
  <c r="R84" i="7"/>
  <c r="Q84" i="7"/>
  <c r="P84" i="7"/>
  <c r="O84" i="7"/>
  <c r="N84" i="7"/>
  <c r="A84" i="7"/>
  <c r="V83" i="7"/>
  <c r="U83" i="7"/>
  <c r="T83" i="7"/>
  <c r="S83" i="7"/>
  <c r="R83" i="7"/>
  <c r="Q83" i="7"/>
  <c r="P83" i="7"/>
  <c r="O83" i="7"/>
  <c r="N83" i="7"/>
  <c r="A83" i="7"/>
  <c r="V82" i="7"/>
  <c r="U82" i="7"/>
  <c r="T82" i="7"/>
  <c r="S82" i="7"/>
  <c r="R82" i="7"/>
  <c r="Q82" i="7"/>
  <c r="P82" i="7"/>
  <c r="O82" i="7"/>
  <c r="N82" i="7"/>
  <c r="L82" i="7"/>
  <c r="K82" i="7"/>
  <c r="J82" i="7"/>
  <c r="I82" i="7"/>
  <c r="H82" i="7"/>
  <c r="G82" i="7"/>
  <c r="F82" i="7"/>
  <c r="A82" i="7"/>
  <c r="V81" i="7"/>
  <c r="U81" i="7"/>
  <c r="T81" i="7"/>
  <c r="S81" i="7"/>
  <c r="R81" i="7"/>
  <c r="Q81" i="7"/>
  <c r="P81" i="7"/>
  <c r="O81" i="7"/>
  <c r="N81" i="7"/>
  <c r="A81" i="7"/>
  <c r="V80" i="7"/>
  <c r="U80" i="7"/>
  <c r="T80" i="7"/>
  <c r="S80" i="7"/>
  <c r="R80" i="7"/>
  <c r="Q80" i="7"/>
  <c r="P80" i="7"/>
  <c r="O80" i="7"/>
  <c r="N80" i="7"/>
  <c r="A80" i="7"/>
  <c r="V79" i="7"/>
  <c r="U79" i="7"/>
  <c r="T79" i="7"/>
  <c r="S79" i="7"/>
  <c r="R79" i="7"/>
  <c r="Q79" i="7"/>
  <c r="P79" i="7"/>
  <c r="O79" i="7"/>
  <c r="N79" i="7"/>
  <c r="A79" i="7"/>
  <c r="V78" i="7"/>
  <c r="U78" i="7"/>
  <c r="T78" i="7"/>
  <c r="S78" i="7"/>
  <c r="R78" i="7"/>
  <c r="Q78" i="7"/>
  <c r="P78" i="7"/>
  <c r="O78" i="7"/>
  <c r="N78" i="7"/>
  <c r="A78" i="7"/>
  <c r="V77" i="7"/>
  <c r="U77" i="7"/>
  <c r="T77" i="7"/>
  <c r="S77" i="7"/>
  <c r="R77" i="7"/>
  <c r="Q77" i="7"/>
  <c r="P77" i="7"/>
  <c r="O77" i="7"/>
  <c r="N77" i="7"/>
  <c r="C77" i="7"/>
  <c r="A77" i="7"/>
  <c r="V76" i="7"/>
  <c r="U76" i="7"/>
  <c r="T76" i="7"/>
  <c r="S76" i="7"/>
  <c r="R76" i="7"/>
  <c r="Q76" i="7"/>
  <c r="P76" i="7"/>
  <c r="O76" i="7"/>
  <c r="N76" i="7"/>
  <c r="C76" i="7"/>
  <c r="A76" i="7"/>
  <c r="V75" i="7"/>
  <c r="U75" i="7"/>
  <c r="T75" i="7"/>
  <c r="S75" i="7"/>
  <c r="R75" i="7"/>
  <c r="Q75" i="7"/>
  <c r="P75" i="7"/>
  <c r="O75" i="7"/>
  <c r="N75" i="7"/>
  <c r="A75" i="7"/>
  <c r="V74" i="7"/>
  <c r="U74" i="7"/>
  <c r="T74" i="7"/>
  <c r="S74" i="7"/>
  <c r="R74" i="7"/>
  <c r="Q74" i="7"/>
  <c r="P74" i="7"/>
  <c r="O74" i="7"/>
  <c r="N74" i="7"/>
  <c r="A74" i="7"/>
  <c r="V73" i="7"/>
  <c r="U73" i="7"/>
  <c r="T73" i="7"/>
  <c r="S73" i="7"/>
  <c r="R73" i="7"/>
  <c r="Q73" i="7"/>
  <c r="P73" i="7"/>
  <c r="O73" i="7"/>
  <c r="N73" i="7"/>
  <c r="A73" i="7"/>
  <c r="V72" i="7"/>
  <c r="U72" i="7"/>
  <c r="T72" i="7"/>
  <c r="S72" i="7"/>
  <c r="R72" i="7"/>
  <c r="Q72" i="7"/>
  <c r="P72" i="7"/>
  <c r="O72" i="7"/>
  <c r="N72" i="7"/>
  <c r="A72" i="7"/>
  <c r="V71" i="7"/>
  <c r="U71" i="7"/>
  <c r="T71" i="7"/>
  <c r="S71" i="7"/>
  <c r="R71" i="7"/>
  <c r="Q71" i="7"/>
  <c r="P71" i="7"/>
  <c r="O71" i="7"/>
  <c r="N71" i="7"/>
  <c r="L71" i="7"/>
  <c r="K71" i="7"/>
  <c r="J71" i="7"/>
  <c r="I71" i="7"/>
  <c r="H71" i="7"/>
  <c r="G71" i="7"/>
  <c r="F71" i="7"/>
  <c r="E71" i="7"/>
  <c r="D71" i="7"/>
  <c r="C71" i="7"/>
  <c r="A71" i="7"/>
  <c r="V70" i="7"/>
  <c r="U70" i="7"/>
  <c r="T70" i="7"/>
  <c r="S70" i="7"/>
  <c r="R70" i="7"/>
  <c r="Q70" i="7"/>
  <c r="P70" i="7"/>
  <c r="O70" i="7"/>
  <c r="N70" i="7"/>
  <c r="A70" i="7"/>
  <c r="L69" i="7"/>
  <c r="K69" i="7"/>
  <c r="J69" i="7"/>
  <c r="I69" i="7"/>
  <c r="H69" i="7"/>
  <c r="G69" i="7"/>
  <c r="F69" i="7"/>
  <c r="E69" i="7"/>
  <c r="D69" i="7"/>
  <c r="C69" i="7"/>
  <c r="A69" i="7"/>
  <c r="V68" i="7"/>
  <c r="U68" i="7"/>
  <c r="T68" i="7"/>
  <c r="S68" i="7"/>
  <c r="R68" i="7"/>
  <c r="Q68" i="7"/>
  <c r="P68" i="7"/>
  <c r="O68" i="7"/>
  <c r="N68" i="7"/>
  <c r="C68" i="7"/>
  <c r="A68" i="7"/>
  <c r="V67" i="7"/>
  <c r="U67" i="7"/>
  <c r="T67" i="7"/>
  <c r="S67" i="7"/>
  <c r="R67" i="7"/>
  <c r="Q67" i="7"/>
  <c r="P67" i="7"/>
  <c r="O67" i="7"/>
  <c r="N67" i="7"/>
  <c r="A67" i="7"/>
  <c r="V66" i="7"/>
  <c r="U66" i="7"/>
  <c r="T66" i="7"/>
  <c r="S66" i="7"/>
  <c r="R66" i="7"/>
  <c r="Q66" i="7"/>
  <c r="P66" i="7"/>
  <c r="O66" i="7"/>
  <c r="N66" i="7"/>
  <c r="A66" i="7"/>
  <c r="C65" i="7"/>
  <c r="A65" i="7"/>
  <c r="V64" i="7"/>
  <c r="U64" i="7"/>
  <c r="T64" i="7"/>
  <c r="S64" i="7"/>
  <c r="R64" i="7"/>
  <c r="Q64" i="7"/>
  <c r="P64" i="7"/>
  <c r="O64" i="7"/>
  <c r="N64" i="7"/>
  <c r="C64" i="7"/>
  <c r="A64" i="7"/>
  <c r="V63" i="7"/>
  <c r="U63" i="7"/>
  <c r="T63" i="7"/>
  <c r="S63" i="7"/>
  <c r="R63" i="7"/>
  <c r="Q63" i="7"/>
  <c r="P63" i="7"/>
  <c r="O63" i="7"/>
  <c r="N63" i="7"/>
  <c r="A63" i="7"/>
  <c r="V62" i="7"/>
  <c r="U62" i="7"/>
  <c r="T62" i="7"/>
  <c r="S62" i="7"/>
  <c r="R62" i="7"/>
  <c r="Q62" i="7"/>
  <c r="P62" i="7"/>
  <c r="O62" i="7"/>
  <c r="N62" i="7"/>
  <c r="A62" i="7"/>
  <c r="V61" i="7"/>
  <c r="U61" i="7"/>
  <c r="T61" i="7"/>
  <c r="S61" i="7"/>
  <c r="R61" i="7"/>
  <c r="Q61" i="7"/>
  <c r="P61" i="7"/>
  <c r="O61" i="7"/>
  <c r="N61" i="7"/>
  <c r="A61" i="7"/>
  <c r="V60" i="7"/>
  <c r="U60" i="7"/>
  <c r="T60" i="7"/>
  <c r="S60" i="7"/>
  <c r="R60" i="7"/>
  <c r="Q60" i="7"/>
  <c r="P60" i="7"/>
  <c r="O60" i="7"/>
  <c r="N60" i="7"/>
  <c r="A60" i="7"/>
  <c r="V59" i="7"/>
  <c r="U59" i="7"/>
  <c r="T59" i="7"/>
  <c r="S59" i="7"/>
  <c r="R59" i="7"/>
  <c r="Q59" i="7"/>
  <c r="P59" i="7"/>
  <c r="O59" i="7"/>
  <c r="N59" i="7"/>
  <c r="A59" i="7"/>
  <c r="V58" i="7"/>
  <c r="U58" i="7"/>
  <c r="T58" i="7"/>
  <c r="S58" i="7"/>
  <c r="R58" i="7"/>
  <c r="Q58" i="7"/>
  <c r="P58" i="7"/>
  <c r="O58" i="7"/>
  <c r="N58" i="7"/>
  <c r="C58" i="7"/>
  <c r="A58" i="7"/>
  <c r="V57" i="7"/>
  <c r="U57" i="7"/>
  <c r="T57" i="7"/>
  <c r="S57" i="7"/>
  <c r="R57" i="7"/>
  <c r="Q57" i="7"/>
  <c r="P57" i="7"/>
  <c r="O57" i="7"/>
  <c r="N57" i="7"/>
  <c r="C57" i="7"/>
  <c r="A57" i="7"/>
  <c r="V56" i="7"/>
  <c r="U56" i="7"/>
  <c r="T56" i="7"/>
  <c r="S56" i="7"/>
  <c r="R56" i="7"/>
  <c r="Q56" i="7"/>
  <c r="P56" i="7"/>
  <c r="O56" i="7"/>
  <c r="N56" i="7"/>
  <c r="A56" i="7"/>
  <c r="V55" i="7"/>
  <c r="U55" i="7"/>
  <c r="T55" i="7"/>
  <c r="S55" i="7"/>
  <c r="R55" i="7"/>
  <c r="Q55" i="7"/>
  <c r="P55" i="7"/>
  <c r="O55" i="7"/>
  <c r="N55" i="7"/>
  <c r="A55" i="7"/>
  <c r="V54" i="7"/>
  <c r="U54" i="7"/>
  <c r="T54" i="7"/>
  <c r="S54" i="7"/>
  <c r="R54" i="7"/>
  <c r="Q54" i="7"/>
  <c r="P54" i="7"/>
  <c r="O54" i="7"/>
  <c r="N54" i="7"/>
  <c r="C54" i="7"/>
  <c r="A54" i="7"/>
  <c r="V53" i="7"/>
  <c r="U53" i="7"/>
  <c r="T53" i="7"/>
  <c r="S53" i="7"/>
  <c r="R53" i="7"/>
  <c r="Q53" i="7"/>
  <c r="P53" i="7"/>
  <c r="O53" i="7"/>
  <c r="N53" i="7"/>
  <c r="L53" i="7"/>
  <c r="K53" i="7"/>
  <c r="J53" i="7"/>
  <c r="I53" i="7"/>
  <c r="H53" i="7"/>
  <c r="G53" i="7"/>
  <c r="F53" i="7"/>
  <c r="E53" i="7"/>
  <c r="D53" i="7"/>
  <c r="C53" i="7"/>
  <c r="A53" i="7"/>
  <c r="V52" i="7"/>
  <c r="U52" i="7"/>
  <c r="T52" i="7"/>
  <c r="S52" i="7"/>
  <c r="R52" i="7"/>
  <c r="Q52" i="7"/>
  <c r="P52" i="7"/>
  <c r="O52" i="7"/>
  <c r="N52" i="7"/>
  <c r="L52" i="7"/>
  <c r="K52" i="7"/>
  <c r="J52" i="7"/>
  <c r="I52" i="7"/>
  <c r="H52" i="7"/>
  <c r="G52" i="7"/>
  <c r="F52" i="7"/>
  <c r="E52" i="7"/>
  <c r="D52" i="7"/>
  <c r="C52" i="7"/>
  <c r="A52" i="7"/>
  <c r="V51" i="7"/>
  <c r="U51" i="7"/>
  <c r="T51" i="7"/>
  <c r="S51" i="7"/>
  <c r="R51" i="7"/>
  <c r="Q51" i="7"/>
  <c r="P51" i="7"/>
  <c r="O51" i="7"/>
  <c r="N51" i="7"/>
  <c r="A51" i="7"/>
  <c r="V50" i="7"/>
  <c r="U50" i="7"/>
  <c r="T50" i="7"/>
  <c r="S50" i="7"/>
  <c r="R50" i="7"/>
  <c r="Q50" i="7"/>
  <c r="P50" i="7"/>
  <c r="O50" i="7"/>
  <c r="N50" i="7"/>
  <c r="A50" i="7"/>
  <c r="V49" i="7"/>
  <c r="U49" i="7"/>
  <c r="T49" i="7"/>
  <c r="S49" i="7"/>
  <c r="R49" i="7"/>
  <c r="Q49" i="7"/>
  <c r="P49" i="7"/>
  <c r="O49" i="7"/>
  <c r="N49" i="7"/>
  <c r="A49" i="7"/>
  <c r="V48" i="7"/>
  <c r="U48" i="7"/>
  <c r="T48" i="7"/>
  <c r="S48" i="7"/>
  <c r="R48" i="7"/>
  <c r="Q48" i="7"/>
  <c r="P48" i="7"/>
  <c r="O48" i="7"/>
  <c r="N48" i="7"/>
  <c r="A48" i="7"/>
  <c r="V47" i="7"/>
  <c r="U47" i="7"/>
  <c r="T47" i="7"/>
  <c r="S47" i="7"/>
  <c r="R47" i="7"/>
  <c r="Q47" i="7"/>
  <c r="P47" i="7"/>
  <c r="O47" i="7"/>
  <c r="N47" i="7"/>
  <c r="A47" i="7"/>
  <c r="V46" i="7"/>
  <c r="U46" i="7"/>
  <c r="T46" i="7"/>
  <c r="S46" i="7"/>
  <c r="R46" i="7"/>
  <c r="Q46" i="7"/>
  <c r="P46" i="7"/>
  <c r="O46" i="7"/>
  <c r="N46" i="7"/>
  <c r="A46" i="7"/>
  <c r="V45" i="7"/>
  <c r="U45" i="7"/>
  <c r="T45" i="7"/>
  <c r="S45" i="7"/>
  <c r="R45" i="7"/>
  <c r="Q45" i="7"/>
  <c r="P45" i="7"/>
  <c r="O45" i="7"/>
  <c r="N45" i="7"/>
  <c r="A45" i="7"/>
  <c r="V44" i="7"/>
  <c r="U44" i="7"/>
  <c r="T44" i="7"/>
  <c r="S44" i="7"/>
  <c r="R44" i="7"/>
  <c r="Q44" i="7"/>
  <c r="P44" i="7"/>
  <c r="O44" i="7"/>
  <c r="N44" i="7"/>
  <c r="A44" i="7"/>
  <c r="V43" i="7"/>
  <c r="U43" i="7"/>
  <c r="T43" i="7"/>
  <c r="S43" i="7"/>
  <c r="R43" i="7"/>
  <c r="Q43" i="7"/>
  <c r="P43" i="7"/>
  <c r="O43" i="7"/>
  <c r="N43" i="7"/>
  <c r="L43" i="7"/>
  <c r="K43" i="7"/>
  <c r="J43" i="7"/>
  <c r="I43" i="7"/>
  <c r="H43" i="7"/>
  <c r="G43" i="7"/>
  <c r="F43" i="7"/>
  <c r="E43" i="7"/>
  <c r="D43" i="7"/>
  <c r="C43" i="7"/>
  <c r="A43" i="7"/>
  <c r="V42" i="7"/>
  <c r="U42" i="7"/>
  <c r="T42" i="7"/>
  <c r="S42" i="7"/>
  <c r="R42" i="7"/>
  <c r="Q42" i="7"/>
  <c r="P42" i="7"/>
  <c r="O42" i="7"/>
  <c r="N42" i="7"/>
  <c r="L42" i="7"/>
  <c r="K42" i="7"/>
  <c r="J42" i="7"/>
  <c r="I42" i="7"/>
  <c r="H42" i="7"/>
  <c r="G42" i="7"/>
  <c r="F42" i="7"/>
  <c r="E42" i="7"/>
  <c r="D42" i="7"/>
  <c r="C42" i="7"/>
  <c r="A42" i="7"/>
  <c r="V41" i="7"/>
  <c r="U41" i="7"/>
  <c r="T41" i="7"/>
  <c r="S41" i="7"/>
  <c r="R41" i="7"/>
  <c r="Q41" i="7"/>
  <c r="P41" i="7"/>
  <c r="O41" i="7"/>
  <c r="N41" i="7"/>
  <c r="L41" i="7"/>
  <c r="K41" i="7"/>
  <c r="J41" i="7"/>
  <c r="I41" i="7"/>
  <c r="H41" i="7"/>
  <c r="G41" i="7"/>
  <c r="F41" i="7"/>
  <c r="E41" i="7"/>
  <c r="D41" i="7"/>
  <c r="C41" i="7"/>
  <c r="A41" i="7"/>
  <c r="V40" i="7"/>
  <c r="U40" i="7"/>
  <c r="T40" i="7"/>
  <c r="S40" i="7"/>
  <c r="R40" i="7"/>
  <c r="Q40" i="7"/>
  <c r="P40" i="7"/>
  <c r="O40" i="7"/>
  <c r="N40" i="7"/>
  <c r="A40" i="7"/>
  <c r="V39" i="7"/>
  <c r="U39" i="7"/>
  <c r="T39" i="7"/>
  <c r="S39" i="7"/>
  <c r="R39" i="7"/>
  <c r="Q39" i="7"/>
  <c r="P39" i="7"/>
  <c r="O39" i="7"/>
  <c r="N39" i="7"/>
  <c r="L39" i="7"/>
  <c r="K39" i="7"/>
  <c r="J39" i="7"/>
  <c r="I39" i="7"/>
  <c r="H39" i="7"/>
  <c r="G39" i="7"/>
  <c r="F39" i="7"/>
  <c r="E39" i="7"/>
  <c r="D39" i="7"/>
  <c r="C39" i="7"/>
  <c r="A39" i="7"/>
  <c r="V38" i="7"/>
  <c r="U38" i="7"/>
  <c r="T38" i="7"/>
  <c r="S38" i="7"/>
  <c r="R38" i="7"/>
  <c r="Q38" i="7"/>
  <c r="P38" i="7"/>
  <c r="O38" i="7"/>
  <c r="N38" i="7"/>
  <c r="A38" i="7"/>
  <c r="V37" i="7"/>
  <c r="U37" i="7"/>
  <c r="T37" i="7"/>
  <c r="S37" i="7"/>
  <c r="R37" i="7"/>
  <c r="Q37" i="7"/>
  <c r="P37" i="7"/>
  <c r="O37" i="7"/>
  <c r="N37" i="7"/>
  <c r="L37" i="7"/>
  <c r="K37" i="7"/>
  <c r="J37" i="7"/>
  <c r="I37" i="7"/>
  <c r="H37" i="7"/>
  <c r="G37" i="7"/>
  <c r="F37" i="7"/>
  <c r="E37" i="7"/>
  <c r="D37" i="7"/>
  <c r="C37" i="7"/>
  <c r="A37" i="7"/>
  <c r="V36" i="7"/>
  <c r="U36" i="7"/>
  <c r="T36" i="7"/>
  <c r="S36" i="7"/>
  <c r="R36" i="7"/>
  <c r="Q36" i="7"/>
  <c r="P36" i="7"/>
  <c r="O36" i="7"/>
  <c r="N36" i="7"/>
  <c r="C36" i="7"/>
  <c r="A36" i="7"/>
  <c r="V35" i="7"/>
  <c r="U35" i="7"/>
  <c r="T35" i="7"/>
  <c r="S35" i="7"/>
  <c r="R35" i="7"/>
  <c r="Q35" i="7"/>
  <c r="P35" i="7"/>
  <c r="O35" i="7"/>
  <c r="N35" i="7"/>
  <c r="A35" i="7"/>
  <c r="V34" i="7"/>
  <c r="U34" i="7"/>
  <c r="T34" i="7"/>
  <c r="S34" i="7"/>
  <c r="R34" i="7"/>
  <c r="Q34" i="7"/>
  <c r="P34" i="7"/>
  <c r="O34" i="7"/>
  <c r="N34" i="7"/>
  <c r="L34" i="7"/>
  <c r="K34" i="7"/>
  <c r="J34" i="7"/>
  <c r="I34" i="7"/>
  <c r="H34" i="7"/>
  <c r="G34" i="7"/>
  <c r="F34" i="7"/>
  <c r="E34" i="7"/>
  <c r="D34" i="7"/>
  <c r="C34" i="7"/>
  <c r="A34" i="7"/>
  <c r="V33" i="7"/>
  <c r="U33" i="7"/>
  <c r="T33" i="7"/>
  <c r="S33" i="7"/>
  <c r="R33" i="7"/>
  <c r="Q33" i="7"/>
  <c r="P33" i="7"/>
  <c r="O33" i="7"/>
  <c r="N33" i="7"/>
  <c r="L33" i="7"/>
  <c r="K33" i="7"/>
  <c r="J33" i="7"/>
  <c r="I33" i="7"/>
  <c r="H33" i="7"/>
  <c r="G33" i="7"/>
  <c r="F33" i="7"/>
  <c r="E33" i="7"/>
  <c r="D33" i="7"/>
  <c r="T32" i="7"/>
  <c r="S32" i="7"/>
  <c r="V31" i="7"/>
  <c r="U31" i="7"/>
  <c r="T31" i="7"/>
  <c r="S31" i="7"/>
  <c r="R31" i="7"/>
  <c r="Q31" i="7"/>
  <c r="P31" i="7"/>
  <c r="O31" i="7"/>
  <c r="N31" i="7"/>
  <c r="M31" i="7"/>
  <c r="J20" i="7"/>
  <c r="I20" i="7"/>
  <c r="H20" i="7"/>
  <c r="G20" i="7"/>
  <c r="J19" i="7"/>
  <c r="I19" i="7"/>
  <c r="H19" i="7"/>
  <c r="G19" i="7"/>
  <c r="J18" i="7"/>
  <c r="I18" i="7"/>
  <c r="H18" i="7"/>
  <c r="G18" i="7"/>
  <c r="J17" i="7"/>
  <c r="I17" i="7"/>
  <c r="H17" i="7"/>
  <c r="G17" i="7"/>
  <c r="J16" i="7"/>
  <c r="I16" i="7"/>
  <c r="H16" i="7"/>
  <c r="G16" i="7"/>
  <c r="J15" i="7"/>
  <c r="I15" i="7"/>
  <c r="H15" i="7"/>
  <c r="G15" i="7"/>
  <c r="J14" i="7"/>
  <c r="I14" i="7"/>
  <c r="H14" i="7"/>
  <c r="G14" i="7"/>
  <c r="J13" i="7"/>
  <c r="I13" i="7"/>
  <c r="H13" i="7"/>
  <c r="G13" i="7"/>
  <c r="J12" i="7"/>
  <c r="I12" i="7"/>
  <c r="H12" i="7"/>
  <c r="G12" i="7"/>
  <c r="J11" i="7"/>
  <c r="H11" i="7"/>
  <c r="G11" i="7"/>
  <c r="E7" i="7"/>
  <c r="B7" i="7"/>
  <c r="I11" i="7" s="1"/>
  <c r="C33" i="7" s="1"/>
  <c r="H129" i="66"/>
  <c r="G129" i="66"/>
  <c r="F129" i="66"/>
  <c r="I128" i="66"/>
  <c r="H128" i="66"/>
  <c r="G128" i="66"/>
  <c r="F128" i="66"/>
  <c r="I127" i="66"/>
  <c r="H127" i="66"/>
  <c r="G127" i="66"/>
  <c r="F127" i="66"/>
  <c r="I126" i="66"/>
  <c r="H126" i="66"/>
  <c r="G126" i="66"/>
  <c r="F126" i="66"/>
  <c r="I125" i="66"/>
  <c r="H125" i="66"/>
  <c r="G125" i="66"/>
  <c r="F125" i="66"/>
  <c r="I124" i="66"/>
  <c r="H124" i="66"/>
  <c r="G124" i="66"/>
  <c r="F124" i="66"/>
  <c r="I123" i="66"/>
  <c r="H123" i="66"/>
  <c r="G123" i="66"/>
  <c r="F123" i="66"/>
  <c r="I122" i="66"/>
  <c r="H122" i="66"/>
  <c r="G122" i="66"/>
  <c r="F122" i="66"/>
  <c r="I121" i="66"/>
  <c r="H121" i="66"/>
  <c r="G121" i="66"/>
  <c r="F121" i="66"/>
  <c r="V103" i="66"/>
  <c r="U103" i="66"/>
  <c r="T103" i="66"/>
  <c r="S103" i="66"/>
  <c r="R103" i="66"/>
  <c r="Q103" i="66"/>
  <c r="P103" i="66"/>
  <c r="O103" i="66"/>
  <c r="N103" i="66"/>
  <c r="A103" i="66"/>
  <c r="V102" i="66"/>
  <c r="U102" i="66"/>
  <c r="T102" i="66"/>
  <c r="S102" i="66"/>
  <c r="R102" i="66"/>
  <c r="Q102" i="66"/>
  <c r="P102" i="66"/>
  <c r="O102" i="66"/>
  <c r="N102" i="66"/>
  <c r="A102" i="66"/>
  <c r="V101" i="66"/>
  <c r="U101" i="66"/>
  <c r="T101" i="66"/>
  <c r="S101" i="66"/>
  <c r="R101" i="66"/>
  <c r="Q101" i="66"/>
  <c r="P101" i="66"/>
  <c r="O101" i="66"/>
  <c r="N101" i="66"/>
  <c r="A101" i="66"/>
  <c r="V100" i="66"/>
  <c r="U100" i="66"/>
  <c r="T100" i="66"/>
  <c r="S100" i="66"/>
  <c r="R100" i="66"/>
  <c r="Q100" i="66"/>
  <c r="P100" i="66"/>
  <c r="O100" i="66"/>
  <c r="N100" i="66"/>
  <c r="A100" i="66"/>
  <c r="V99" i="66"/>
  <c r="U99" i="66"/>
  <c r="T99" i="66"/>
  <c r="S99" i="66"/>
  <c r="R99" i="66"/>
  <c r="Q99" i="66"/>
  <c r="P99" i="66"/>
  <c r="O99" i="66"/>
  <c r="N99" i="66"/>
  <c r="A99" i="66"/>
  <c r="V98" i="66"/>
  <c r="U98" i="66"/>
  <c r="T98" i="66"/>
  <c r="S98" i="66"/>
  <c r="R98" i="66"/>
  <c r="Q98" i="66"/>
  <c r="P98" i="66"/>
  <c r="O98" i="66"/>
  <c r="N98" i="66"/>
  <c r="A98" i="66"/>
  <c r="V97" i="66"/>
  <c r="U97" i="66"/>
  <c r="T97" i="66"/>
  <c r="S97" i="66"/>
  <c r="R97" i="66"/>
  <c r="Q97" i="66"/>
  <c r="P97" i="66"/>
  <c r="O97" i="66"/>
  <c r="N97" i="66"/>
  <c r="A97" i="66"/>
  <c r="V96" i="66"/>
  <c r="U96" i="66"/>
  <c r="T96" i="66"/>
  <c r="S96" i="66"/>
  <c r="R96" i="66"/>
  <c r="Q96" i="66"/>
  <c r="P96" i="66"/>
  <c r="O96" i="66"/>
  <c r="N96" i="66"/>
  <c r="A96" i="66"/>
  <c r="V95" i="66"/>
  <c r="U95" i="66"/>
  <c r="T95" i="66"/>
  <c r="S95" i="66"/>
  <c r="R95" i="66"/>
  <c r="Q95" i="66"/>
  <c r="P95" i="66"/>
  <c r="O95" i="66"/>
  <c r="N95" i="66"/>
  <c r="A95" i="66"/>
  <c r="V94" i="66"/>
  <c r="U94" i="66"/>
  <c r="T94" i="66"/>
  <c r="S94" i="66"/>
  <c r="R94" i="66"/>
  <c r="Q94" i="66"/>
  <c r="P94" i="66"/>
  <c r="O94" i="66"/>
  <c r="N94" i="66"/>
  <c r="A94" i="66"/>
  <c r="V93" i="66"/>
  <c r="U93" i="66"/>
  <c r="T93" i="66"/>
  <c r="S93" i="66"/>
  <c r="R93" i="66"/>
  <c r="Q93" i="66"/>
  <c r="P93" i="66"/>
  <c r="O93" i="66"/>
  <c r="N93" i="66"/>
  <c r="A93" i="66"/>
  <c r="V92" i="66"/>
  <c r="U92" i="66"/>
  <c r="T92" i="66"/>
  <c r="S92" i="66"/>
  <c r="R92" i="66"/>
  <c r="Q92" i="66"/>
  <c r="P92" i="66"/>
  <c r="O92" i="66"/>
  <c r="N92" i="66"/>
  <c r="A92" i="66"/>
  <c r="V91" i="66"/>
  <c r="U91" i="66"/>
  <c r="T91" i="66"/>
  <c r="S91" i="66"/>
  <c r="R91" i="66"/>
  <c r="Q91" i="66"/>
  <c r="P91" i="66"/>
  <c r="O91" i="66"/>
  <c r="N91" i="66"/>
  <c r="A91" i="66"/>
  <c r="V90" i="66"/>
  <c r="U90" i="66"/>
  <c r="T90" i="66"/>
  <c r="S90" i="66"/>
  <c r="R90" i="66"/>
  <c r="Q90" i="66"/>
  <c r="P90" i="66"/>
  <c r="O90" i="66"/>
  <c r="N90" i="66"/>
  <c r="A90" i="66"/>
  <c r="V89" i="66"/>
  <c r="U89" i="66"/>
  <c r="T89" i="66"/>
  <c r="S89" i="66"/>
  <c r="R89" i="66"/>
  <c r="Q89" i="66"/>
  <c r="P89" i="66"/>
  <c r="O89" i="66"/>
  <c r="N89" i="66"/>
  <c r="A89" i="66"/>
  <c r="V88" i="66"/>
  <c r="U88" i="66"/>
  <c r="T88" i="66"/>
  <c r="S88" i="66"/>
  <c r="R88" i="66"/>
  <c r="Q88" i="66"/>
  <c r="P88" i="66"/>
  <c r="O88" i="66"/>
  <c r="N88" i="66"/>
  <c r="A88" i="66"/>
  <c r="V87" i="66"/>
  <c r="U87" i="66"/>
  <c r="T87" i="66"/>
  <c r="S87" i="66"/>
  <c r="R87" i="66"/>
  <c r="Q87" i="66"/>
  <c r="P87" i="66"/>
  <c r="O87" i="66"/>
  <c r="N87" i="66"/>
  <c r="A87" i="66"/>
  <c r="V86" i="66"/>
  <c r="U86" i="66"/>
  <c r="T86" i="66"/>
  <c r="S86" i="66"/>
  <c r="R86" i="66"/>
  <c r="Q86" i="66"/>
  <c r="P86" i="66"/>
  <c r="O86" i="66"/>
  <c r="N86" i="66"/>
  <c r="A86" i="66"/>
  <c r="V85" i="66"/>
  <c r="U85" i="66"/>
  <c r="T85" i="66"/>
  <c r="S85" i="66"/>
  <c r="R85" i="66"/>
  <c r="Q85" i="66"/>
  <c r="P85" i="66"/>
  <c r="O85" i="66"/>
  <c r="N85" i="66"/>
  <c r="A85" i="66"/>
  <c r="V84" i="66"/>
  <c r="U84" i="66"/>
  <c r="T84" i="66"/>
  <c r="S84" i="66"/>
  <c r="R84" i="66"/>
  <c r="Q84" i="66"/>
  <c r="P84" i="66"/>
  <c r="O84" i="66"/>
  <c r="N84" i="66"/>
  <c r="A84" i="66"/>
  <c r="V83" i="66"/>
  <c r="U83" i="66"/>
  <c r="T83" i="66"/>
  <c r="S83" i="66"/>
  <c r="R83" i="66"/>
  <c r="Q83" i="66"/>
  <c r="P83" i="66"/>
  <c r="O83" i="66"/>
  <c r="N83" i="66"/>
  <c r="A83" i="66"/>
  <c r="V82" i="66"/>
  <c r="U82" i="66"/>
  <c r="T82" i="66"/>
  <c r="S82" i="66"/>
  <c r="R82" i="66"/>
  <c r="Q82" i="66"/>
  <c r="P82" i="66"/>
  <c r="O82" i="66"/>
  <c r="N82" i="66"/>
  <c r="L82" i="66"/>
  <c r="K82" i="66"/>
  <c r="J82" i="66"/>
  <c r="I82" i="66"/>
  <c r="H82" i="66"/>
  <c r="G82" i="66"/>
  <c r="F82" i="66"/>
  <c r="A82" i="66"/>
  <c r="V81" i="66"/>
  <c r="U81" i="66"/>
  <c r="T81" i="66"/>
  <c r="S81" i="66"/>
  <c r="R81" i="66"/>
  <c r="Q81" i="66"/>
  <c r="P81" i="66"/>
  <c r="O81" i="66"/>
  <c r="N81" i="66"/>
  <c r="A81" i="66"/>
  <c r="V80" i="66"/>
  <c r="U80" i="66"/>
  <c r="T80" i="66"/>
  <c r="S80" i="66"/>
  <c r="R80" i="66"/>
  <c r="Q80" i="66"/>
  <c r="P80" i="66"/>
  <c r="O80" i="66"/>
  <c r="N80" i="66"/>
  <c r="A80" i="66"/>
  <c r="V79" i="66"/>
  <c r="U79" i="66"/>
  <c r="T79" i="66"/>
  <c r="S79" i="66"/>
  <c r="R79" i="66"/>
  <c r="Q79" i="66"/>
  <c r="P79" i="66"/>
  <c r="O79" i="66"/>
  <c r="N79" i="66"/>
  <c r="A79" i="66"/>
  <c r="V78" i="66"/>
  <c r="U78" i="66"/>
  <c r="T78" i="66"/>
  <c r="S78" i="66"/>
  <c r="R78" i="66"/>
  <c r="Q78" i="66"/>
  <c r="P78" i="66"/>
  <c r="O78" i="66"/>
  <c r="N78" i="66"/>
  <c r="A78" i="66"/>
  <c r="V77" i="66"/>
  <c r="U77" i="66"/>
  <c r="T77" i="66"/>
  <c r="S77" i="66"/>
  <c r="R77" i="66"/>
  <c r="Q77" i="66"/>
  <c r="P77" i="66"/>
  <c r="O77" i="66"/>
  <c r="N77" i="66"/>
  <c r="A77" i="66"/>
  <c r="V76" i="66"/>
  <c r="U76" i="66"/>
  <c r="T76" i="66"/>
  <c r="S76" i="66"/>
  <c r="R76" i="66"/>
  <c r="Q76" i="66"/>
  <c r="P76" i="66"/>
  <c r="O76" i="66"/>
  <c r="N76" i="66"/>
  <c r="A76" i="66"/>
  <c r="V75" i="66"/>
  <c r="U75" i="66"/>
  <c r="T75" i="66"/>
  <c r="S75" i="66"/>
  <c r="R75" i="66"/>
  <c r="Q75" i="66"/>
  <c r="P75" i="66"/>
  <c r="O75" i="66"/>
  <c r="N75" i="66"/>
  <c r="A75" i="66"/>
  <c r="V74" i="66"/>
  <c r="U74" i="66"/>
  <c r="T74" i="66"/>
  <c r="S74" i="66"/>
  <c r="R74" i="66"/>
  <c r="Q74" i="66"/>
  <c r="P74" i="66"/>
  <c r="O74" i="66"/>
  <c r="N74" i="66"/>
  <c r="A74" i="66"/>
  <c r="V73" i="66"/>
  <c r="U73" i="66"/>
  <c r="T73" i="66"/>
  <c r="S73" i="66"/>
  <c r="R73" i="66"/>
  <c r="Q73" i="66"/>
  <c r="P73" i="66"/>
  <c r="O73" i="66"/>
  <c r="N73" i="66"/>
  <c r="A73" i="66"/>
  <c r="V72" i="66"/>
  <c r="U72" i="66"/>
  <c r="T72" i="66"/>
  <c r="S72" i="66"/>
  <c r="R72" i="66"/>
  <c r="Q72" i="66"/>
  <c r="P72" i="66"/>
  <c r="O72" i="66"/>
  <c r="N72" i="66"/>
  <c r="A72" i="66"/>
  <c r="V71" i="66"/>
  <c r="U71" i="66"/>
  <c r="T71" i="66"/>
  <c r="S71" i="66"/>
  <c r="R71" i="66"/>
  <c r="Q71" i="66"/>
  <c r="P71" i="66"/>
  <c r="O71" i="66"/>
  <c r="N71" i="66"/>
  <c r="L71" i="66"/>
  <c r="K71" i="66"/>
  <c r="J71" i="66"/>
  <c r="I71" i="66"/>
  <c r="H71" i="66"/>
  <c r="G71" i="66"/>
  <c r="F71" i="66"/>
  <c r="E71" i="66"/>
  <c r="D71" i="66"/>
  <c r="C71" i="66"/>
  <c r="A71" i="66"/>
  <c r="V70" i="66"/>
  <c r="U70" i="66"/>
  <c r="T70" i="66"/>
  <c r="S70" i="66"/>
  <c r="R70" i="66"/>
  <c r="Q70" i="66"/>
  <c r="P70" i="66"/>
  <c r="O70" i="66"/>
  <c r="N70" i="66"/>
  <c r="A70" i="66"/>
  <c r="L69" i="66"/>
  <c r="K69" i="66"/>
  <c r="J69" i="66"/>
  <c r="I69" i="66"/>
  <c r="H69" i="66"/>
  <c r="G69" i="66"/>
  <c r="F69" i="66"/>
  <c r="E69" i="66"/>
  <c r="D69" i="66"/>
  <c r="C69" i="66"/>
  <c r="A69" i="66"/>
  <c r="V68" i="66"/>
  <c r="U68" i="66"/>
  <c r="T68" i="66"/>
  <c r="S68" i="66"/>
  <c r="R68" i="66"/>
  <c r="Q68" i="66"/>
  <c r="P68" i="66"/>
  <c r="O68" i="66"/>
  <c r="N68" i="66"/>
  <c r="C68" i="66"/>
  <c r="A68" i="66"/>
  <c r="V67" i="66"/>
  <c r="U67" i="66"/>
  <c r="T67" i="66"/>
  <c r="S67" i="66"/>
  <c r="R67" i="66"/>
  <c r="Q67" i="66"/>
  <c r="P67" i="66"/>
  <c r="O67" i="66"/>
  <c r="N67" i="66"/>
  <c r="A67" i="66"/>
  <c r="V66" i="66"/>
  <c r="U66" i="66"/>
  <c r="T66" i="66"/>
  <c r="S66" i="66"/>
  <c r="R66" i="66"/>
  <c r="Q66" i="66"/>
  <c r="P66" i="66"/>
  <c r="O66" i="66"/>
  <c r="N66" i="66"/>
  <c r="A66" i="66"/>
  <c r="C65" i="66"/>
  <c r="A65" i="66"/>
  <c r="V64" i="66"/>
  <c r="U64" i="66"/>
  <c r="T64" i="66"/>
  <c r="S64" i="66"/>
  <c r="R64" i="66"/>
  <c r="Q64" i="66"/>
  <c r="P64" i="66"/>
  <c r="O64" i="66"/>
  <c r="N64" i="66"/>
  <c r="C64" i="66"/>
  <c r="A64" i="66"/>
  <c r="V63" i="66"/>
  <c r="U63" i="66"/>
  <c r="T63" i="66"/>
  <c r="S63" i="66"/>
  <c r="R63" i="66"/>
  <c r="Q63" i="66"/>
  <c r="P63" i="66"/>
  <c r="O63" i="66"/>
  <c r="N63" i="66"/>
  <c r="A63" i="66"/>
  <c r="V62" i="66"/>
  <c r="U62" i="66"/>
  <c r="T62" i="66"/>
  <c r="S62" i="66"/>
  <c r="R62" i="66"/>
  <c r="Q62" i="66"/>
  <c r="P62" i="66"/>
  <c r="O62" i="66"/>
  <c r="N62" i="66"/>
  <c r="A62" i="66"/>
  <c r="V61" i="66"/>
  <c r="U61" i="66"/>
  <c r="T61" i="66"/>
  <c r="S61" i="66"/>
  <c r="R61" i="66"/>
  <c r="Q61" i="66"/>
  <c r="P61" i="66"/>
  <c r="O61" i="66"/>
  <c r="N61" i="66"/>
  <c r="A61" i="66"/>
  <c r="V60" i="66"/>
  <c r="U60" i="66"/>
  <c r="T60" i="66"/>
  <c r="S60" i="66"/>
  <c r="R60" i="66"/>
  <c r="Q60" i="66"/>
  <c r="P60" i="66"/>
  <c r="O60" i="66"/>
  <c r="N60" i="66"/>
  <c r="A60" i="66"/>
  <c r="V59" i="66"/>
  <c r="U59" i="66"/>
  <c r="T59" i="66"/>
  <c r="S59" i="66"/>
  <c r="R59" i="66"/>
  <c r="Q59" i="66"/>
  <c r="P59" i="66"/>
  <c r="O59" i="66"/>
  <c r="N59" i="66"/>
  <c r="A59" i="66"/>
  <c r="V58" i="66"/>
  <c r="U58" i="66"/>
  <c r="T58" i="66"/>
  <c r="S58" i="66"/>
  <c r="R58" i="66"/>
  <c r="Q58" i="66"/>
  <c r="P58" i="66"/>
  <c r="O58" i="66"/>
  <c r="N58" i="66"/>
  <c r="C58" i="66"/>
  <c r="A58" i="66"/>
  <c r="V57" i="66"/>
  <c r="U57" i="66"/>
  <c r="T57" i="66"/>
  <c r="S57" i="66"/>
  <c r="R57" i="66"/>
  <c r="Q57" i="66"/>
  <c r="P57" i="66"/>
  <c r="O57" i="66"/>
  <c r="N57" i="66"/>
  <c r="C57" i="66"/>
  <c r="A57" i="66"/>
  <c r="V56" i="66"/>
  <c r="U56" i="66"/>
  <c r="T56" i="66"/>
  <c r="S56" i="66"/>
  <c r="R56" i="66"/>
  <c r="Q56" i="66"/>
  <c r="P56" i="66"/>
  <c r="O56" i="66"/>
  <c r="N56" i="66"/>
  <c r="A56" i="66"/>
  <c r="V55" i="66"/>
  <c r="U55" i="66"/>
  <c r="T55" i="66"/>
  <c r="S55" i="66"/>
  <c r="R55" i="66"/>
  <c r="Q55" i="66"/>
  <c r="P55" i="66"/>
  <c r="O55" i="66"/>
  <c r="N55" i="66"/>
  <c r="A55" i="66"/>
  <c r="V54" i="66"/>
  <c r="U54" i="66"/>
  <c r="T54" i="66"/>
  <c r="S54" i="66"/>
  <c r="R54" i="66"/>
  <c r="Q54" i="66"/>
  <c r="P54" i="66"/>
  <c r="O54" i="66"/>
  <c r="N54" i="66"/>
  <c r="C54" i="66"/>
  <c r="A54" i="66"/>
  <c r="V53" i="66"/>
  <c r="U53" i="66"/>
  <c r="T53" i="66"/>
  <c r="S53" i="66"/>
  <c r="R53" i="66"/>
  <c r="Q53" i="66"/>
  <c r="P53" i="66"/>
  <c r="O53" i="66"/>
  <c r="N53" i="66"/>
  <c r="L53" i="66"/>
  <c r="K53" i="66"/>
  <c r="J53" i="66"/>
  <c r="I53" i="66"/>
  <c r="H53" i="66"/>
  <c r="G53" i="66"/>
  <c r="F53" i="66"/>
  <c r="E53" i="66"/>
  <c r="D53" i="66"/>
  <c r="C53" i="66"/>
  <c r="A53" i="66"/>
  <c r="V52" i="66"/>
  <c r="U52" i="66"/>
  <c r="T52" i="66"/>
  <c r="S52" i="66"/>
  <c r="R52" i="66"/>
  <c r="Q52" i="66"/>
  <c r="P52" i="66"/>
  <c r="O52" i="66"/>
  <c r="N52" i="66"/>
  <c r="L52" i="66"/>
  <c r="K52" i="66"/>
  <c r="J52" i="66"/>
  <c r="I52" i="66"/>
  <c r="H52" i="66"/>
  <c r="G52" i="66"/>
  <c r="F52" i="66"/>
  <c r="E52" i="66"/>
  <c r="D52" i="66"/>
  <c r="C52" i="66"/>
  <c r="A52" i="66"/>
  <c r="V51" i="66"/>
  <c r="U51" i="66"/>
  <c r="T51" i="66"/>
  <c r="S51" i="66"/>
  <c r="R51" i="66"/>
  <c r="Q51" i="66"/>
  <c r="P51" i="66"/>
  <c r="O51" i="66"/>
  <c r="N51" i="66"/>
  <c r="A51" i="66"/>
  <c r="V50" i="66"/>
  <c r="U50" i="66"/>
  <c r="T50" i="66"/>
  <c r="S50" i="66"/>
  <c r="R50" i="66"/>
  <c r="Q50" i="66"/>
  <c r="P50" i="66"/>
  <c r="O50" i="66"/>
  <c r="N50" i="66"/>
  <c r="A50" i="66"/>
  <c r="V49" i="66"/>
  <c r="U49" i="66"/>
  <c r="T49" i="66"/>
  <c r="S49" i="66"/>
  <c r="R49" i="66"/>
  <c r="Q49" i="66"/>
  <c r="P49" i="66"/>
  <c r="O49" i="66"/>
  <c r="N49" i="66"/>
  <c r="A49" i="66"/>
  <c r="V48" i="66"/>
  <c r="U48" i="66"/>
  <c r="T48" i="66"/>
  <c r="S48" i="66"/>
  <c r="R48" i="66"/>
  <c r="Q48" i="66"/>
  <c r="P48" i="66"/>
  <c r="O48" i="66"/>
  <c r="N48" i="66"/>
  <c r="A48" i="66"/>
  <c r="V47" i="66"/>
  <c r="U47" i="66"/>
  <c r="T47" i="66"/>
  <c r="S47" i="66"/>
  <c r="R47" i="66"/>
  <c r="Q47" i="66"/>
  <c r="P47" i="66"/>
  <c r="O47" i="66"/>
  <c r="N47" i="66"/>
  <c r="A47" i="66"/>
  <c r="V46" i="66"/>
  <c r="U46" i="66"/>
  <c r="T46" i="66"/>
  <c r="S46" i="66"/>
  <c r="R46" i="66"/>
  <c r="Q46" i="66"/>
  <c r="P46" i="66"/>
  <c r="O46" i="66"/>
  <c r="N46" i="66"/>
  <c r="A46" i="66"/>
  <c r="V45" i="66"/>
  <c r="U45" i="66"/>
  <c r="T45" i="66"/>
  <c r="S45" i="66"/>
  <c r="R45" i="66"/>
  <c r="Q45" i="66"/>
  <c r="P45" i="66"/>
  <c r="O45" i="66"/>
  <c r="N45" i="66"/>
  <c r="A45" i="66"/>
  <c r="V44" i="66"/>
  <c r="U44" i="66"/>
  <c r="T44" i="66"/>
  <c r="S44" i="66"/>
  <c r="R44" i="66"/>
  <c r="Q44" i="66"/>
  <c r="P44" i="66"/>
  <c r="O44" i="66"/>
  <c r="N44" i="66"/>
  <c r="A44" i="66"/>
  <c r="V43" i="66"/>
  <c r="U43" i="66"/>
  <c r="T43" i="66"/>
  <c r="S43" i="66"/>
  <c r="R43" i="66"/>
  <c r="Q43" i="66"/>
  <c r="P43" i="66"/>
  <c r="O43" i="66"/>
  <c r="N43" i="66"/>
  <c r="L43" i="66"/>
  <c r="K43" i="66"/>
  <c r="J43" i="66"/>
  <c r="I43" i="66"/>
  <c r="H43" i="66"/>
  <c r="G43" i="66"/>
  <c r="F43" i="66"/>
  <c r="E43" i="66"/>
  <c r="D43" i="66"/>
  <c r="C43" i="66"/>
  <c r="A43" i="66"/>
  <c r="V42" i="66"/>
  <c r="U42" i="66"/>
  <c r="T42" i="66"/>
  <c r="S42" i="66"/>
  <c r="R42" i="66"/>
  <c r="Q42" i="66"/>
  <c r="P42" i="66"/>
  <c r="O42" i="66"/>
  <c r="N42" i="66"/>
  <c r="L42" i="66"/>
  <c r="K42" i="66"/>
  <c r="J42" i="66"/>
  <c r="I42" i="66"/>
  <c r="H42" i="66"/>
  <c r="G42" i="66"/>
  <c r="F42" i="66"/>
  <c r="E42" i="66"/>
  <c r="D42" i="66"/>
  <c r="C42" i="66"/>
  <c r="A42" i="66"/>
  <c r="V41" i="66"/>
  <c r="U41" i="66"/>
  <c r="T41" i="66"/>
  <c r="S41" i="66"/>
  <c r="R41" i="66"/>
  <c r="Q41" i="66"/>
  <c r="P41" i="66"/>
  <c r="O41" i="66"/>
  <c r="N41" i="66"/>
  <c r="L41" i="66"/>
  <c r="K41" i="66"/>
  <c r="J41" i="66"/>
  <c r="I41" i="66"/>
  <c r="H41" i="66"/>
  <c r="G41" i="66"/>
  <c r="F41" i="66"/>
  <c r="E41" i="66"/>
  <c r="D41" i="66"/>
  <c r="C41" i="66"/>
  <c r="A41" i="66"/>
  <c r="V40" i="66"/>
  <c r="U40" i="66"/>
  <c r="T40" i="66"/>
  <c r="S40" i="66"/>
  <c r="R40" i="66"/>
  <c r="Q40" i="66"/>
  <c r="P40" i="66"/>
  <c r="O40" i="66"/>
  <c r="N40" i="66"/>
  <c r="A40" i="66"/>
  <c r="V39" i="66"/>
  <c r="U39" i="66"/>
  <c r="T39" i="66"/>
  <c r="S39" i="66"/>
  <c r="R39" i="66"/>
  <c r="Q39" i="66"/>
  <c r="P39" i="66"/>
  <c r="O39" i="66"/>
  <c r="N39" i="66"/>
  <c r="L39" i="66"/>
  <c r="K39" i="66"/>
  <c r="J39" i="66"/>
  <c r="I39" i="66"/>
  <c r="H39" i="66"/>
  <c r="G39" i="66"/>
  <c r="F39" i="66"/>
  <c r="E39" i="66"/>
  <c r="D39" i="66"/>
  <c r="A39" i="66"/>
  <c r="V38" i="66"/>
  <c r="U38" i="66"/>
  <c r="T38" i="66"/>
  <c r="S38" i="66"/>
  <c r="R38" i="66"/>
  <c r="Q38" i="66"/>
  <c r="P38" i="66"/>
  <c r="O38" i="66"/>
  <c r="N38" i="66"/>
  <c r="A38" i="66"/>
  <c r="V37" i="66"/>
  <c r="U37" i="66"/>
  <c r="T37" i="66"/>
  <c r="S37" i="66"/>
  <c r="R37" i="66"/>
  <c r="Q37" i="66"/>
  <c r="P37" i="66"/>
  <c r="O37" i="66"/>
  <c r="N37" i="66"/>
  <c r="L37" i="66"/>
  <c r="K37" i="66"/>
  <c r="J37" i="66"/>
  <c r="I37" i="66"/>
  <c r="H37" i="66"/>
  <c r="G37" i="66"/>
  <c r="F37" i="66"/>
  <c r="E37" i="66"/>
  <c r="D37" i="66"/>
  <c r="C37" i="66"/>
  <c r="A37" i="66"/>
  <c r="V36" i="66"/>
  <c r="U36" i="66"/>
  <c r="T36" i="66"/>
  <c r="S36" i="66"/>
  <c r="R36" i="66"/>
  <c r="Q36" i="66"/>
  <c r="P36" i="66"/>
  <c r="O36" i="66"/>
  <c r="N36" i="66"/>
  <c r="C36" i="66"/>
  <c r="A36" i="66"/>
  <c r="V35" i="66"/>
  <c r="U35" i="66"/>
  <c r="T35" i="66"/>
  <c r="S35" i="66"/>
  <c r="R35" i="66"/>
  <c r="Q35" i="66"/>
  <c r="P35" i="66"/>
  <c r="O35" i="66"/>
  <c r="N35" i="66"/>
  <c r="A35" i="66"/>
  <c r="V34" i="66"/>
  <c r="U34" i="66"/>
  <c r="T34" i="66"/>
  <c r="S34" i="66"/>
  <c r="R34" i="66"/>
  <c r="Q34" i="66"/>
  <c r="P34" i="66"/>
  <c r="O34" i="66"/>
  <c r="N34" i="66"/>
  <c r="L34" i="66"/>
  <c r="K34" i="66"/>
  <c r="J34" i="66"/>
  <c r="I34" i="66"/>
  <c r="H34" i="66"/>
  <c r="G34" i="66"/>
  <c r="F34" i="66"/>
  <c r="E34" i="66"/>
  <c r="D34" i="66"/>
  <c r="C34" i="66"/>
  <c r="A34" i="66"/>
  <c r="V33" i="66"/>
  <c r="U33" i="66"/>
  <c r="T33" i="66"/>
  <c r="S33" i="66"/>
  <c r="R33" i="66"/>
  <c r="Q33" i="66"/>
  <c r="P33" i="66"/>
  <c r="O33" i="66"/>
  <c r="N33" i="66"/>
  <c r="L33" i="66"/>
  <c r="K33" i="66"/>
  <c r="J33" i="66"/>
  <c r="I33" i="66"/>
  <c r="H33" i="66"/>
  <c r="G33" i="66"/>
  <c r="F33" i="66"/>
  <c r="E33" i="66"/>
  <c r="D33" i="66"/>
  <c r="T32" i="66"/>
  <c r="S32" i="66"/>
  <c r="V31" i="66"/>
  <c r="U31" i="66"/>
  <c r="T31" i="66"/>
  <c r="S31" i="66"/>
  <c r="R31" i="66"/>
  <c r="Q31" i="66"/>
  <c r="P31" i="66"/>
  <c r="O31" i="66"/>
  <c r="N31" i="66"/>
  <c r="M31" i="66"/>
  <c r="J20" i="66"/>
  <c r="I20" i="66"/>
  <c r="H20" i="66"/>
  <c r="G20" i="66"/>
  <c r="J19" i="66"/>
  <c r="I19" i="66"/>
  <c r="H19" i="66"/>
  <c r="G19" i="66"/>
  <c r="J18" i="66"/>
  <c r="I18" i="66"/>
  <c r="H18" i="66"/>
  <c r="G18" i="66"/>
  <c r="J17" i="66"/>
  <c r="I17" i="66"/>
  <c r="H17" i="66"/>
  <c r="G17" i="66"/>
  <c r="J16" i="66"/>
  <c r="I16" i="66"/>
  <c r="H16" i="66"/>
  <c r="G16" i="66"/>
  <c r="J15" i="66"/>
  <c r="I15" i="66"/>
  <c r="H15" i="66"/>
  <c r="G15" i="66"/>
  <c r="J14" i="66"/>
  <c r="I14" i="66"/>
  <c r="H14" i="66"/>
  <c r="G14" i="66"/>
  <c r="J13" i="66"/>
  <c r="I13" i="66"/>
  <c r="H13" i="66"/>
  <c r="G13" i="66"/>
  <c r="J12" i="66"/>
  <c r="I12" i="66"/>
  <c r="H12" i="66"/>
  <c r="G12" i="66"/>
  <c r="J11" i="66"/>
  <c r="H11" i="66"/>
  <c r="G11" i="66"/>
  <c r="E7" i="66"/>
  <c r="B7" i="66"/>
  <c r="I11" i="66" s="1"/>
  <c r="C33" i="66" s="1"/>
  <c r="H129" i="65"/>
  <c r="G129" i="65"/>
  <c r="F129" i="65"/>
  <c r="I128" i="65"/>
  <c r="H128" i="65"/>
  <c r="G128" i="65"/>
  <c r="F128" i="65"/>
  <c r="I127" i="65"/>
  <c r="H127" i="65"/>
  <c r="G127" i="65"/>
  <c r="F127" i="65"/>
  <c r="I126" i="65"/>
  <c r="H126" i="65"/>
  <c r="G126" i="65"/>
  <c r="F126" i="65"/>
  <c r="I125" i="65"/>
  <c r="H125" i="65"/>
  <c r="G125" i="65"/>
  <c r="F125" i="65"/>
  <c r="I124" i="65"/>
  <c r="H124" i="65"/>
  <c r="G124" i="65"/>
  <c r="F124" i="65"/>
  <c r="I123" i="65"/>
  <c r="H123" i="65"/>
  <c r="G123" i="65"/>
  <c r="F123" i="65"/>
  <c r="I122" i="65"/>
  <c r="H122" i="65"/>
  <c r="G122" i="65"/>
  <c r="F122" i="65"/>
  <c r="I121" i="65"/>
  <c r="H121" i="65"/>
  <c r="G121" i="65"/>
  <c r="F121" i="65"/>
  <c r="V103" i="65"/>
  <c r="U103" i="65"/>
  <c r="T103" i="65"/>
  <c r="S103" i="65"/>
  <c r="R103" i="65"/>
  <c r="Q103" i="65"/>
  <c r="P103" i="65"/>
  <c r="O103" i="65"/>
  <c r="N103" i="65"/>
  <c r="A103" i="65"/>
  <c r="V102" i="65"/>
  <c r="U102" i="65"/>
  <c r="T102" i="65"/>
  <c r="S102" i="65"/>
  <c r="R102" i="65"/>
  <c r="Q102" i="65"/>
  <c r="P102" i="65"/>
  <c r="O102" i="65"/>
  <c r="N102" i="65"/>
  <c r="A102" i="65"/>
  <c r="V101" i="65"/>
  <c r="U101" i="65"/>
  <c r="T101" i="65"/>
  <c r="S101" i="65"/>
  <c r="R101" i="65"/>
  <c r="Q101" i="65"/>
  <c r="P101" i="65"/>
  <c r="O101" i="65"/>
  <c r="N101" i="65"/>
  <c r="A101" i="65"/>
  <c r="V100" i="65"/>
  <c r="U100" i="65"/>
  <c r="T100" i="65"/>
  <c r="S100" i="65"/>
  <c r="R100" i="65"/>
  <c r="Q100" i="65"/>
  <c r="P100" i="65"/>
  <c r="O100" i="65"/>
  <c r="N100" i="65"/>
  <c r="A100" i="65"/>
  <c r="V99" i="65"/>
  <c r="U99" i="65"/>
  <c r="T99" i="65"/>
  <c r="S99" i="65"/>
  <c r="R99" i="65"/>
  <c r="Q99" i="65"/>
  <c r="P99" i="65"/>
  <c r="O99" i="65"/>
  <c r="N99" i="65"/>
  <c r="A99" i="65"/>
  <c r="V98" i="65"/>
  <c r="U98" i="65"/>
  <c r="T98" i="65"/>
  <c r="S98" i="65"/>
  <c r="R98" i="65"/>
  <c r="Q98" i="65"/>
  <c r="P98" i="65"/>
  <c r="O98" i="65"/>
  <c r="N98" i="65"/>
  <c r="A98" i="65"/>
  <c r="V97" i="65"/>
  <c r="U97" i="65"/>
  <c r="T97" i="65"/>
  <c r="S97" i="65"/>
  <c r="R97" i="65"/>
  <c r="Q97" i="65"/>
  <c r="P97" i="65"/>
  <c r="O97" i="65"/>
  <c r="N97" i="65"/>
  <c r="A97" i="65"/>
  <c r="V96" i="65"/>
  <c r="U96" i="65"/>
  <c r="T96" i="65"/>
  <c r="S96" i="65"/>
  <c r="R96" i="65"/>
  <c r="Q96" i="65"/>
  <c r="P96" i="65"/>
  <c r="O96" i="65"/>
  <c r="N96" i="65"/>
  <c r="A96" i="65"/>
  <c r="V95" i="65"/>
  <c r="U95" i="65"/>
  <c r="T95" i="65"/>
  <c r="S95" i="65"/>
  <c r="R95" i="65"/>
  <c r="Q95" i="65"/>
  <c r="P95" i="65"/>
  <c r="O95" i="65"/>
  <c r="N95" i="65"/>
  <c r="A95" i="65"/>
  <c r="V94" i="65"/>
  <c r="U94" i="65"/>
  <c r="T94" i="65"/>
  <c r="S94" i="65"/>
  <c r="R94" i="65"/>
  <c r="Q94" i="65"/>
  <c r="P94" i="65"/>
  <c r="O94" i="65"/>
  <c r="N94" i="65"/>
  <c r="A94" i="65"/>
  <c r="V93" i="65"/>
  <c r="U93" i="65"/>
  <c r="T93" i="65"/>
  <c r="S93" i="65"/>
  <c r="R93" i="65"/>
  <c r="Q93" i="65"/>
  <c r="P93" i="65"/>
  <c r="O93" i="65"/>
  <c r="N93" i="65"/>
  <c r="A93" i="65"/>
  <c r="V92" i="65"/>
  <c r="U92" i="65"/>
  <c r="T92" i="65"/>
  <c r="S92" i="65"/>
  <c r="R92" i="65"/>
  <c r="Q92" i="65"/>
  <c r="P92" i="65"/>
  <c r="O92" i="65"/>
  <c r="N92" i="65"/>
  <c r="A92" i="65"/>
  <c r="V91" i="65"/>
  <c r="U91" i="65"/>
  <c r="T91" i="65"/>
  <c r="S91" i="65"/>
  <c r="R91" i="65"/>
  <c r="Q91" i="65"/>
  <c r="P91" i="65"/>
  <c r="O91" i="65"/>
  <c r="N91" i="65"/>
  <c r="A91" i="65"/>
  <c r="V90" i="65"/>
  <c r="U90" i="65"/>
  <c r="T90" i="65"/>
  <c r="S90" i="65"/>
  <c r="R90" i="65"/>
  <c r="Q90" i="65"/>
  <c r="P90" i="65"/>
  <c r="O90" i="65"/>
  <c r="N90" i="65"/>
  <c r="A90" i="65"/>
  <c r="V89" i="65"/>
  <c r="U89" i="65"/>
  <c r="T89" i="65"/>
  <c r="S89" i="65"/>
  <c r="R89" i="65"/>
  <c r="Q89" i="65"/>
  <c r="P89" i="65"/>
  <c r="O89" i="65"/>
  <c r="N89" i="65"/>
  <c r="A89" i="65"/>
  <c r="V88" i="65"/>
  <c r="U88" i="65"/>
  <c r="T88" i="65"/>
  <c r="S88" i="65"/>
  <c r="R88" i="65"/>
  <c r="Q88" i="65"/>
  <c r="P88" i="65"/>
  <c r="O88" i="65"/>
  <c r="N88" i="65"/>
  <c r="A88" i="65"/>
  <c r="V87" i="65"/>
  <c r="U87" i="65"/>
  <c r="T87" i="65"/>
  <c r="S87" i="65"/>
  <c r="R87" i="65"/>
  <c r="Q87" i="65"/>
  <c r="P87" i="65"/>
  <c r="O87" i="65"/>
  <c r="N87" i="65"/>
  <c r="A87" i="65"/>
  <c r="V86" i="65"/>
  <c r="U86" i="65"/>
  <c r="T86" i="65"/>
  <c r="S86" i="65"/>
  <c r="R86" i="65"/>
  <c r="Q86" i="65"/>
  <c r="P86" i="65"/>
  <c r="O86" i="65"/>
  <c r="N86" i="65"/>
  <c r="A86" i="65"/>
  <c r="V85" i="65"/>
  <c r="U85" i="65"/>
  <c r="T85" i="65"/>
  <c r="S85" i="65"/>
  <c r="R85" i="65"/>
  <c r="Q85" i="65"/>
  <c r="P85" i="65"/>
  <c r="O85" i="65"/>
  <c r="N85" i="65"/>
  <c r="A85" i="65"/>
  <c r="V84" i="65"/>
  <c r="U84" i="65"/>
  <c r="T84" i="65"/>
  <c r="S84" i="65"/>
  <c r="R84" i="65"/>
  <c r="Q84" i="65"/>
  <c r="P84" i="65"/>
  <c r="O84" i="65"/>
  <c r="N84" i="65"/>
  <c r="A84" i="65"/>
  <c r="V83" i="65"/>
  <c r="U83" i="65"/>
  <c r="T83" i="65"/>
  <c r="S83" i="65"/>
  <c r="R83" i="65"/>
  <c r="Q83" i="65"/>
  <c r="P83" i="65"/>
  <c r="O83" i="65"/>
  <c r="N83" i="65"/>
  <c r="A83" i="65"/>
  <c r="V82" i="65"/>
  <c r="U82" i="65"/>
  <c r="T82" i="65"/>
  <c r="S82" i="65"/>
  <c r="R82" i="65"/>
  <c r="Q82" i="65"/>
  <c r="P82" i="65"/>
  <c r="O82" i="65"/>
  <c r="N82" i="65"/>
  <c r="L82" i="65"/>
  <c r="K82" i="65"/>
  <c r="J82" i="65"/>
  <c r="I82" i="65"/>
  <c r="H82" i="65"/>
  <c r="G82" i="65"/>
  <c r="F82" i="65"/>
  <c r="A82" i="65"/>
  <c r="V81" i="65"/>
  <c r="U81" i="65"/>
  <c r="T81" i="65"/>
  <c r="S81" i="65"/>
  <c r="R81" i="65"/>
  <c r="Q81" i="65"/>
  <c r="P81" i="65"/>
  <c r="O81" i="65"/>
  <c r="N81" i="65"/>
  <c r="A81" i="65"/>
  <c r="V80" i="65"/>
  <c r="U80" i="65"/>
  <c r="T80" i="65"/>
  <c r="S80" i="65"/>
  <c r="R80" i="65"/>
  <c r="Q80" i="65"/>
  <c r="P80" i="65"/>
  <c r="O80" i="65"/>
  <c r="N80" i="65"/>
  <c r="A80" i="65"/>
  <c r="V79" i="65"/>
  <c r="U79" i="65"/>
  <c r="T79" i="65"/>
  <c r="S79" i="65"/>
  <c r="R79" i="65"/>
  <c r="Q79" i="65"/>
  <c r="P79" i="65"/>
  <c r="O79" i="65"/>
  <c r="N79" i="65"/>
  <c r="A79" i="65"/>
  <c r="V78" i="65"/>
  <c r="U78" i="65"/>
  <c r="T78" i="65"/>
  <c r="S78" i="65"/>
  <c r="R78" i="65"/>
  <c r="Q78" i="65"/>
  <c r="P78" i="65"/>
  <c r="O78" i="65"/>
  <c r="N78" i="65"/>
  <c r="A78" i="65"/>
  <c r="V77" i="65"/>
  <c r="U77" i="65"/>
  <c r="T77" i="65"/>
  <c r="S77" i="65"/>
  <c r="R77" i="65"/>
  <c r="Q77" i="65"/>
  <c r="P77" i="65"/>
  <c r="O77" i="65"/>
  <c r="N77" i="65"/>
  <c r="A77" i="65"/>
  <c r="V76" i="65"/>
  <c r="U76" i="65"/>
  <c r="T76" i="65"/>
  <c r="S76" i="65"/>
  <c r="R76" i="65"/>
  <c r="Q76" i="65"/>
  <c r="P76" i="65"/>
  <c r="O76" i="65"/>
  <c r="N76" i="65"/>
  <c r="A76" i="65"/>
  <c r="V75" i="65"/>
  <c r="U75" i="65"/>
  <c r="T75" i="65"/>
  <c r="S75" i="65"/>
  <c r="R75" i="65"/>
  <c r="Q75" i="65"/>
  <c r="P75" i="65"/>
  <c r="O75" i="65"/>
  <c r="N75" i="65"/>
  <c r="A75" i="65"/>
  <c r="V74" i="65"/>
  <c r="U74" i="65"/>
  <c r="T74" i="65"/>
  <c r="S74" i="65"/>
  <c r="R74" i="65"/>
  <c r="Q74" i="65"/>
  <c r="P74" i="65"/>
  <c r="O74" i="65"/>
  <c r="N74" i="65"/>
  <c r="A74" i="65"/>
  <c r="V73" i="65"/>
  <c r="U73" i="65"/>
  <c r="T73" i="65"/>
  <c r="S73" i="65"/>
  <c r="R73" i="65"/>
  <c r="Q73" i="65"/>
  <c r="P73" i="65"/>
  <c r="O73" i="65"/>
  <c r="N73" i="65"/>
  <c r="A73" i="65"/>
  <c r="V72" i="65"/>
  <c r="U72" i="65"/>
  <c r="T72" i="65"/>
  <c r="S72" i="65"/>
  <c r="R72" i="65"/>
  <c r="Q72" i="65"/>
  <c r="P72" i="65"/>
  <c r="O72" i="65"/>
  <c r="N72" i="65"/>
  <c r="A72" i="65"/>
  <c r="V71" i="65"/>
  <c r="U71" i="65"/>
  <c r="T71" i="65"/>
  <c r="S71" i="65"/>
  <c r="R71" i="65"/>
  <c r="Q71" i="65"/>
  <c r="P71" i="65"/>
  <c r="O71" i="65"/>
  <c r="N71" i="65"/>
  <c r="L71" i="65"/>
  <c r="K71" i="65"/>
  <c r="J71" i="65"/>
  <c r="I71" i="65"/>
  <c r="H71" i="65"/>
  <c r="G71" i="65"/>
  <c r="F71" i="65"/>
  <c r="E71" i="65"/>
  <c r="D71" i="65"/>
  <c r="C71" i="65"/>
  <c r="A71" i="65"/>
  <c r="V70" i="65"/>
  <c r="U70" i="65"/>
  <c r="T70" i="65"/>
  <c r="S70" i="65"/>
  <c r="R70" i="65"/>
  <c r="Q70" i="65"/>
  <c r="P70" i="65"/>
  <c r="O70" i="65"/>
  <c r="N70" i="65"/>
  <c r="A70" i="65"/>
  <c r="L69" i="65"/>
  <c r="K69" i="65"/>
  <c r="J69" i="65"/>
  <c r="I69" i="65"/>
  <c r="H69" i="65"/>
  <c r="G69" i="65"/>
  <c r="F69" i="65"/>
  <c r="E69" i="65"/>
  <c r="D69" i="65"/>
  <c r="C69" i="65"/>
  <c r="A69" i="65"/>
  <c r="V68" i="65"/>
  <c r="U68" i="65"/>
  <c r="T68" i="65"/>
  <c r="S68" i="65"/>
  <c r="R68" i="65"/>
  <c r="Q68" i="65"/>
  <c r="P68" i="65"/>
  <c r="O68" i="65"/>
  <c r="N68" i="65"/>
  <c r="C68" i="65"/>
  <c r="A68" i="65"/>
  <c r="V67" i="65"/>
  <c r="U67" i="65"/>
  <c r="T67" i="65"/>
  <c r="S67" i="65"/>
  <c r="R67" i="65"/>
  <c r="Q67" i="65"/>
  <c r="P67" i="65"/>
  <c r="O67" i="65"/>
  <c r="N67" i="65"/>
  <c r="A67" i="65"/>
  <c r="V66" i="65"/>
  <c r="U66" i="65"/>
  <c r="T66" i="65"/>
  <c r="S66" i="65"/>
  <c r="R66" i="65"/>
  <c r="Q66" i="65"/>
  <c r="P66" i="65"/>
  <c r="O66" i="65"/>
  <c r="N66" i="65"/>
  <c r="A66" i="65"/>
  <c r="C65" i="65"/>
  <c r="A65" i="65"/>
  <c r="V64" i="65"/>
  <c r="U64" i="65"/>
  <c r="T64" i="65"/>
  <c r="S64" i="65"/>
  <c r="R64" i="65"/>
  <c r="Q64" i="65"/>
  <c r="P64" i="65"/>
  <c r="O64" i="65"/>
  <c r="N64" i="65"/>
  <c r="C64" i="65"/>
  <c r="A64" i="65"/>
  <c r="V63" i="65"/>
  <c r="U63" i="65"/>
  <c r="T63" i="65"/>
  <c r="S63" i="65"/>
  <c r="R63" i="65"/>
  <c r="Q63" i="65"/>
  <c r="P63" i="65"/>
  <c r="O63" i="65"/>
  <c r="N63" i="65"/>
  <c r="A63" i="65"/>
  <c r="V62" i="65"/>
  <c r="U62" i="65"/>
  <c r="T62" i="65"/>
  <c r="S62" i="65"/>
  <c r="R62" i="65"/>
  <c r="Q62" i="65"/>
  <c r="P62" i="65"/>
  <c r="O62" i="65"/>
  <c r="N62" i="65"/>
  <c r="A62" i="65"/>
  <c r="V61" i="65"/>
  <c r="U61" i="65"/>
  <c r="T61" i="65"/>
  <c r="S61" i="65"/>
  <c r="R61" i="65"/>
  <c r="Q61" i="65"/>
  <c r="P61" i="65"/>
  <c r="O61" i="65"/>
  <c r="N61" i="65"/>
  <c r="A61" i="65"/>
  <c r="V60" i="65"/>
  <c r="U60" i="65"/>
  <c r="T60" i="65"/>
  <c r="S60" i="65"/>
  <c r="R60" i="65"/>
  <c r="Q60" i="65"/>
  <c r="P60" i="65"/>
  <c r="O60" i="65"/>
  <c r="N60" i="65"/>
  <c r="A60" i="65"/>
  <c r="V59" i="65"/>
  <c r="U59" i="65"/>
  <c r="T59" i="65"/>
  <c r="S59" i="65"/>
  <c r="R59" i="65"/>
  <c r="Q59" i="65"/>
  <c r="P59" i="65"/>
  <c r="O59" i="65"/>
  <c r="N59" i="65"/>
  <c r="A59" i="65"/>
  <c r="V58" i="65"/>
  <c r="U58" i="65"/>
  <c r="T58" i="65"/>
  <c r="S58" i="65"/>
  <c r="R58" i="65"/>
  <c r="Q58" i="65"/>
  <c r="P58" i="65"/>
  <c r="O58" i="65"/>
  <c r="N58" i="65"/>
  <c r="C58" i="65"/>
  <c r="A58" i="65"/>
  <c r="V57" i="65"/>
  <c r="U57" i="65"/>
  <c r="T57" i="65"/>
  <c r="S57" i="65"/>
  <c r="R57" i="65"/>
  <c r="Q57" i="65"/>
  <c r="P57" i="65"/>
  <c r="O57" i="65"/>
  <c r="N57" i="65"/>
  <c r="C57" i="65"/>
  <c r="A57" i="65"/>
  <c r="V56" i="65"/>
  <c r="U56" i="65"/>
  <c r="T56" i="65"/>
  <c r="S56" i="65"/>
  <c r="R56" i="65"/>
  <c r="Q56" i="65"/>
  <c r="P56" i="65"/>
  <c r="O56" i="65"/>
  <c r="N56" i="65"/>
  <c r="A56" i="65"/>
  <c r="V55" i="65"/>
  <c r="U55" i="65"/>
  <c r="T55" i="65"/>
  <c r="S55" i="65"/>
  <c r="R55" i="65"/>
  <c r="Q55" i="65"/>
  <c r="P55" i="65"/>
  <c r="O55" i="65"/>
  <c r="N55" i="65"/>
  <c r="A55" i="65"/>
  <c r="V54" i="65"/>
  <c r="U54" i="65"/>
  <c r="T54" i="65"/>
  <c r="S54" i="65"/>
  <c r="R54" i="65"/>
  <c r="Q54" i="65"/>
  <c r="P54" i="65"/>
  <c r="O54" i="65"/>
  <c r="N54" i="65"/>
  <c r="C54" i="65"/>
  <c r="A54" i="65"/>
  <c r="V53" i="65"/>
  <c r="U53" i="65"/>
  <c r="T53" i="65"/>
  <c r="S53" i="65"/>
  <c r="R53" i="65"/>
  <c r="Q53" i="65"/>
  <c r="P53" i="65"/>
  <c r="O53" i="65"/>
  <c r="N53" i="65"/>
  <c r="L53" i="65"/>
  <c r="K53" i="65"/>
  <c r="J53" i="65"/>
  <c r="I53" i="65"/>
  <c r="H53" i="65"/>
  <c r="G53" i="65"/>
  <c r="F53" i="65"/>
  <c r="E53" i="65"/>
  <c r="D53" i="65"/>
  <c r="C53" i="65"/>
  <c r="A53" i="65"/>
  <c r="V52" i="65"/>
  <c r="U52" i="65"/>
  <c r="T52" i="65"/>
  <c r="S52" i="65"/>
  <c r="R52" i="65"/>
  <c r="Q52" i="65"/>
  <c r="P52" i="65"/>
  <c r="O52" i="65"/>
  <c r="N52" i="65"/>
  <c r="L52" i="65"/>
  <c r="K52" i="65"/>
  <c r="J52" i="65"/>
  <c r="I52" i="65"/>
  <c r="H52" i="65"/>
  <c r="G52" i="65"/>
  <c r="F52" i="65"/>
  <c r="E52" i="65"/>
  <c r="D52" i="65"/>
  <c r="C52" i="65"/>
  <c r="A52" i="65"/>
  <c r="V51" i="65"/>
  <c r="U51" i="65"/>
  <c r="T51" i="65"/>
  <c r="S51" i="65"/>
  <c r="R51" i="65"/>
  <c r="Q51" i="65"/>
  <c r="P51" i="65"/>
  <c r="O51" i="65"/>
  <c r="N51" i="65"/>
  <c r="A51" i="65"/>
  <c r="V50" i="65"/>
  <c r="U50" i="65"/>
  <c r="T50" i="65"/>
  <c r="S50" i="65"/>
  <c r="R50" i="65"/>
  <c r="Q50" i="65"/>
  <c r="P50" i="65"/>
  <c r="O50" i="65"/>
  <c r="N50" i="65"/>
  <c r="A50" i="65"/>
  <c r="V49" i="65"/>
  <c r="U49" i="65"/>
  <c r="T49" i="65"/>
  <c r="S49" i="65"/>
  <c r="R49" i="65"/>
  <c r="Q49" i="65"/>
  <c r="P49" i="65"/>
  <c r="O49" i="65"/>
  <c r="N49" i="65"/>
  <c r="A49" i="65"/>
  <c r="V48" i="65"/>
  <c r="U48" i="65"/>
  <c r="T48" i="65"/>
  <c r="S48" i="65"/>
  <c r="R48" i="65"/>
  <c r="Q48" i="65"/>
  <c r="P48" i="65"/>
  <c r="O48" i="65"/>
  <c r="N48" i="65"/>
  <c r="A48" i="65"/>
  <c r="V47" i="65"/>
  <c r="U47" i="65"/>
  <c r="T47" i="65"/>
  <c r="S47" i="65"/>
  <c r="R47" i="65"/>
  <c r="Q47" i="65"/>
  <c r="P47" i="65"/>
  <c r="O47" i="65"/>
  <c r="N47" i="65"/>
  <c r="A47" i="65"/>
  <c r="V46" i="65"/>
  <c r="U46" i="65"/>
  <c r="T46" i="65"/>
  <c r="S46" i="65"/>
  <c r="R46" i="65"/>
  <c r="Q46" i="65"/>
  <c r="P46" i="65"/>
  <c r="O46" i="65"/>
  <c r="N46" i="65"/>
  <c r="A46" i="65"/>
  <c r="V45" i="65"/>
  <c r="U45" i="65"/>
  <c r="T45" i="65"/>
  <c r="S45" i="65"/>
  <c r="R45" i="65"/>
  <c r="Q45" i="65"/>
  <c r="P45" i="65"/>
  <c r="O45" i="65"/>
  <c r="N45" i="65"/>
  <c r="A45" i="65"/>
  <c r="V44" i="65"/>
  <c r="U44" i="65"/>
  <c r="T44" i="65"/>
  <c r="S44" i="65"/>
  <c r="R44" i="65"/>
  <c r="Q44" i="65"/>
  <c r="P44" i="65"/>
  <c r="O44" i="65"/>
  <c r="N44" i="65"/>
  <c r="A44" i="65"/>
  <c r="V43" i="65"/>
  <c r="U43" i="65"/>
  <c r="T43" i="65"/>
  <c r="S43" i="65"/>
  <c r="R43" i="65"/>
  <c r="Q43" i="65"/>
  <c r="P43" i="65"/>
  <c r="O43" i="65"/>
  <c r="N43" i="65"/>
  <c r="L43" i="65"/>
  <c r="K43" i="65"/>
  <c r="J43" i="65"/>
  <c r="I43" i="65"/>
  <c r="H43" i="65"/>
  <c r="G43" i="65"/>
  <c r="F43" i="65"/>
  <c r="E43" i="65"/>
  <c r="D43" i="65"/>
  <c r="C43" i="65"/>
  <c r="A43" i="65"/>
  <c r="V42" i="65"/>
  <c r="U42" i="65"/>
  <c r="T42" i="65"/>
  <c r="S42" i="65"/>
  <c r="R42" i="65"/>
  <c r="Q42" i="65"/>
  <c r="P42" i="65"/>
  <c r="O42" i="65"/>
  <c r="N42" i="65"/>
  <c r="L42" i="65"/>
  <c r="K42" i="65"/>
  <c r="J42" i="65"/>
  <c r="I42" i="65"/>
  <c r="H42" i="65"/>
  <c r="G42" i="65"/>
  <c r="F42" i="65"/>
  <c r="E42" i="65"/>
  <c r="D42" i="65"/>
  <c r="C42" i="65"/>
  <c r="A42" i="65"/>
  <c r="V41" i="65"/>
  <c r="U41" i="65"/>
  <c r="T41" i="65"/>
  <c r="S41" i="65"/>
  <c r="R41" i="65"/>
  <c r="Q41" i="65"/>
  <c r="P41" i="65"/>
  <c r="O41" i="65"/>
  <c r="N41" i="65"/>
  <c r="L41" i="65"/>
  <c r="K41" i="65"/>
  <c r="J41" i="65"/>
  <c r="I41" i="65"/>
  <c r="H41" i="65"/>
  <c r="G41" i="65"/>
  <c r="F41" i="65"/>
  <c r="E41" i="65"/>
  <c r="D41" i="65"/>
  <c r="C41" i="65"/>
  <c r="A41" i="65"/>
  <c r="V40" i="65"/>
  <c r="U40" i="65"/>
  <c r="T40" i="65"/>
  <c r="S40" i="65"/>
  <c r="R40" i="65"/>
  <c r="Q40" i="65"/>
  <c r="P40" i="65"/>
  <c r="O40" i="65"/>
  <c r="N40" i="65"/>
  <c r="A40" i="65"/>
  <c r="V39" i="65"/>
  <c r="U39" i="65"/>
  <c r="T39" i="65"/>
  <c r="S39" i="65"/>
  <c r="R39" i="65"/>
  <c r="Q39" i="65"/>
  <c r="P39" i="65"/>
  <c r="O39" i="65"/>
  <c r="N39" i="65"/>
  <c r="L39" i="65"/>
  <c r="K39" i="65"/>
  <c r="J39" i="65"/>
  <c r="I39" i="65"/>
  <c r="H39" i="65"/>
  <c r="G39" i="65"/>
  <c r="F39" i="65"/>
  <c r="E39" i="65"/>
  <c r="D39" i="65"/>
  <c r="A39" i="65"/>
  <c r="V38" i="65"/>
  <c r="U38" i="65"/>
  <c r="T38" i="65"/>
  <c r="S38" i="65"/>
  <c r="R38" i="65"/>
  <c r="Q38" i="65"/>
  <c r="P38" i="65"/>
  <c r="O38" i="65"/>
  <c r="N38" i="65"/>
  <c r="A38" i="65"/>
  <c r="V37" i="65"/>
  <c r="U37" i="65"/>
  <c r="T37" i="65"/>
  <c r="S37" i="65"/>
  <c r="R37" i="65"/>
  <c r="Q37" i="65"/>
  <c r="P37" i="65"/>
  <c r="O37" i="65"/>
  <c r="N37" i="65"/>
  <c r="L37" i="65"/>
  <c r="K37" i="65"/>
  <c r="J37" i="65"/>
  <c r="I37" i="65"/>
  <c r="H37" i="65"/>
  <c r="G37" i="65"/>
  <c r="F37" i="65"/>
  <c r="E37" i="65"/>
  <c r="D37" i="65"/>
  <c r="C37" i="65"/>
  <c r="A37" i="65"/>
  <c r="V36" i="65"/>
  <c r="U36" i="65"/>
  <c r="T36" i="65"/>
  <c r="S36" i="65"/>
  <c r="R36" i="65"/>
  <c r="Q36" i="65"/>
  <c r="P36" i="65"/>
  <c r="O36" i="65"/>
  <c r="N36" i="65"/>
  <c r="C36" i="65"/>
  <c r="A36" i="65"/>
  <c r="V35" i="65"/>
  <c r="U35" i="65"/>
  <c r="T35" i="65"/>
  <c r="S35" i="65"/>
  <c r="R35" i="65"/>
  <c r="Q35" i="65"/>
  <c r="P35" i="65"/>
  <c r="O35" i="65"/>
  <c r="N35" i="65"/>
  <c r="A35" i="65"/>
  <c r="V34" i="65"/>
  <c r="U34" i="65"/>
  <c r="T34" i="65"/>
  <c r="S34" i="65"/>
  <c r="R34" i="65"/>
  <c r="Q34" i="65"/>
  <c r="P34" i="65"/>
  <c r="O34" i="65"/>
  <c r="N34" i="65"/>
  <c r="L34" i="65"/>
  <c r="K34" i="65"/>
  <c r="J34" i="65"/>
  <c r="I34" i="65"/>
  <c r="H34" i="65"/>
  <c r="G34" i="65"/>
  <c r="F34" i="65"/>
  <c r="E34" i="65"/>
  <c r="D34" i="65"/>
  <c r="C34" i="65"/>
  <c r="A34" i="65"/>
  <c r="V33" i="65"/>
  <c r="U33" i="65"/>
  <c r="T33" i="65"/>
  <c r="S33" i="65"/>
  <c r="R33" i="65"/>
  <c r="Q33" i="65"/>
  <c r="P33" i="65"/>
  <c r="O33" i="65"/>
  <c r="N33" i="65"/>
  <c r="L33" i="65"/>
  <c r="K33" i="65"/>
  <c r="J33" i="65"/>
  <c r="I33" i="65"/>
  <c r="H33" i="65"/>
  <c r="G33" i="65"/>
  <c r="F33" i="65"/>
  <c r="E33" i="65"/>
  <c r="D33" i="65"/>
  <c r="T32" i="65"/>
  <c r="S32" i="65"/>
  <c r="V31" i="65"/>
  <c r="U31" i="65"/>
  <c r="T31" i="65"/>
  <c r="S31" i="65"/>
  <c r="R31" i="65"/>
  <c r="Q31" i="65"/>
  <c r="P31" i="65"/>
  <c r="O31" i="65"/>
  <c r="N31" i="65"/>
  <c r="M31" i="65"/>
  <c r="J20" i="65"/>
  <c r="I20" i="65"/>
  <c r="H20" i="65"/>
  <c r="G20" i="65"/>
  <c r="J19" i="65"/>
  <c r="I19" i="65"/>
  <c r="H19" i="65"/>
  <c r="G19" i="65"/>
  <c r="J18" i="65"/>
  <c r="I18" i="65"/>
  <c r="H18" i="65"/>
  <c r="G18" i="65"/>
  <c r="J17" i="65"/>
  <c r="I17" i="65"/>
  <c r="H17" i="65"/>
  <c r="G17" i="65"/>
  <c r="J16" i="65"/>
  <c r="I16" i="65"/>
  <c r="H16" i="65"/>
  <c r="G16" i="65"/>
  <c r="J15" i="65"/>
  <c r="I15" i="65"/>
  <c r="H15" i="65"/>
  <c r="G15" i="65"/>
  <c r="J14" i="65"/>
  <c r="I14" i="65"/>
  <c r="H14" i="65"/>
  <c r="G14" i="65"/>
  <c r="J13" i="65"/>
  <c r="I13" i="65"/>
  <c r="H13" i="65"/>
  <c r="G13" i="65"/>
  <c r="J12" i="65"/>
  <c r="I12" i="65"/>
  <c r="H12" i="65"/>
  <c r="G12" i="65"/>
  <c r="J11" i="65"/>
  <c r="H11" i="65"/>
  <c r="G11" i="65"/>
  <c r="E7" i="65"/>
  <c r="B7" i="65"/>
  <c r="I11" i="65" s="1"/>
  <c r="C33" i="65" s="1"/>
  <c r="J197" i="3"/>
  <c r="I197" i="3"/>
  <c r="H197" i="3"/>
  <c r="G197" i="3"/>
  <c r="F197" i="3"/>
  <c r="E197" i="3"/>
  <c r="D197" i="3"/>
  <c r="C197" i="3"/>
  <c r="K196" i="3"/>
  <c r="J196" i="3"/>
  <c r="I196" i="3"/>
  <c r="G196" i="3"/>
  <c r="F196" i="3"/>
  <c r="E196" i="3"/>
  <c r="D196" i="3"/>
  <c r="C196" i="3"/>
  <c r="K195" i="3"/>
  <c r="J195" i="3"/>
  <c r="I195" i="3"/>
  <c r="G195" i="3"/>
  <c r="F195" i="3"/>
  <c r="E195" i="3"/>
  <c r="D195" i="3"/>
  <c r="C195" i="3"/>
  <c r="K194" i="3"/>
  <c r="J194" i="3"/>
  <c r="I194" i="3"/>
  <c r="G194" i="3"/>
  <c r="F194" i="3"/>
  <c r="E194" i="3"/>
  <c r="D194" i="3"/>
  <c r="C194" i="3"/>
  <c r="M186" i="3"/>
  <c r="L186" i="3"/>
  <c r="K186" i="3"/>
  <c r="L185" i="3"/>
  <c r="K185" i="3"/>
  <c r="J185" i="3"/>
  <c r="I185" i="3"/>
  <c r="H185" i="3"/>
  <c r="G185" i="3"/>
  <c r="F185" i="3"/>
  <c r="E185" i="3"/>
  <c r="D185" i="3"/>
  <c r="C185" i="3"/>
  <c r="L184" i="3"/>
  <c r="K184" i="3"/>
  <c r="J184" i="3"/>
  <c r="I184" i="3"/>
  <c r="H184" i="3"/>
  <c r="G184" i="3"/>
  <c r="F184" i="3"/>
  <c r="E184" i="3"/>
  <c r="D184" i="3"/>
  <c r="C184" i="3"/>
  <c r="L183" i="3"/>
  <c r="K183" i="3"/>
  <c r="J183" i="3"/>
  <c r="I183" i="3"/>
  <c r="H183" i="3"/>
  <c r="G183" i="3"/>
  <c r="F183" i="3"/>
  <c r="E183" i="3"/>
  <c r="D183" i="3"/>
  <c r="C183" i="3"/>
  <c r="M179" i="3"/>
  <c r="L179" i="3"/>
  <c r="K179" i="3"/>
  <c r="M178" i="3"/>
  <c r="L178" i="3"/>
  <c r="K178" i="3"/>
  <c r="J178" i="3"/>
  <c r="I178" i="3"/>
  <c r="H178" i="3"/>
  <c r="G178" i="3"/>
  <c r="F178" i="3"/>
  <c r="E178" i="3"/>
  <c r="D178" i="3"/>
  <c r="C178" i="3"/>
  <c r="M177" i="3"/>
  <c r="L177" i="3"/>
  <c r="K177" i="3"/>
  <c r="J177" i="3"/>
  <c r="I177" i="3"/>
  <c r="H177" i="3"/>
  <c r="G177" i="3"/>
  <c r="F177" i="3"/>
  <c r="E177" i="3"/>
  <c r="D177" i="3"/>
  <c r="C177" i="3"/>
  <c r="M176" i="3"/>
  <c r="L176" i="3"/>
  <c r="K176" i="3"/>
  <c r="J176" i="3"/>
  <c r="I176" i="3"/>
  <c r="H176" i="3"/>
  <c r="G176" i="3"/>
  <c r="F176" i="3"/>
  <c r="E176" i="3"/>
  <c r="D176" i="3"/>
  <c r="C176" i="3"/>
  <c r="M173" i="3"/>
  <c r="L173" i="3"/>
  <c r="K173" i="3"/>
  <c r="M172" i="3"/>
  <c r="L172" i="3"/>
  <c r="K172" i="3"/>
  <c r="J172" i="3"/>
  <c r="I172" i="3"/>
  <c r="H172" i="3"/>
  <c r="G172" i="3"/>
  <c r="F172" i="3"/>
  <c r="E172" i="3"/>
  <c r="D172" i="3"/>
  <c r="C172" i="3"/>
  <c r="M171" i="3"/>
  <c r="L171" i="3"/>
  <c r="K171" i="3"/>
  <c r="J171" i="3"/>
  <c r="I171" i="3"/>
  <c r="H171" i="3"/>
  <c r="G171" i="3"/>
  <c r="F171" i="3"/>
  <c r="E171" i="3"/>
  <c r="D171" i="3"/>
  <c r="C171" i="3"/>
  <c r="M170" i="3"/>
  <c r="L170" i="3"/>
  <c r="K170" i="3"/>
  <c r="J170" i="3"/>
  <c r="I170" i="3"/>
  <c r="H170" i="3"/>
  <c r="G170" i="3"/>
  <c r="F170" i="3"/>
  <c r="E170" i="3"/>
  <c r="D170" i="3"/>
  <c r="C170" i="3"/>
  <c r="M167" i="3"/>
  <c r="L167" i="3"/>
  <c r="K167" i="3"/>
  <c r="N166" i="3"/>
  <c r="M166" i="3"/>
  <c r="L166" i="3"/>
  <c r="K166" i="3"/>
  <c r="J166" i="3"/>
  <c r="I166" i="3"/>
  <c r="H166" i="3"/>
  <c r="G166" i="3"/>
  <c r="F166" i="3"/>
  <c r="E166" i="3"/>
  <c r="D166" i="3"/>
  <c r="C166" i="3"/>
  <c r="N165" i="3"/>
  <c r="M165" i="3"/>
  <c r="L165" i="3"/>
  <c r="K165" i="3"/>
  <c r="J165" i="3"/>
  <c r="I165" i="3"/>
  <c r="H165" i="3"/>
  <c r="G165" i="3"/>
  <c r="F165" i="3"/>
  <c r="E165" i="3"/>
  <c r="D165" i="3"/>
  <c r="C165" i="3"/>
  <c r="N164" i="3"/>
  <c r="M164" i="3"/>
  <c r="L164" i="3"/>
  <c r="K164" i="3"/>
  <c r="J164" i="3"/>
  <c r="I164" i="3"/>
  <c r="H164" i="3"/>
  <c r="G164" i="3"/>
  <c r="F164" i="3"/>
  <c r="E164" i="3"/>
  <c r="D164" i="3"/>
  <c r="C164" i="3"/>
  <c r="I160" i="3"/>
  <c r="H160" i="3"/>
  <c r="G160" i="3"/>
  <c r="I159" i="3"/>
  <c r="H159" i="3"/>
  <c r="G159" i="3"/>
  <c r="F159" i="3"/>
  <c r="E159" i="3"/>
  <c r="D159" i="3"/>
  <c r="C159" i="3"/>
  <c r="I158" i="3"/>
  <c r="H158" i="3"/>
  <c r="G158" i="3"/>
  <c r="F158" i="3"/>
  <c r="E158" i="3"/>
  <c r="D158" i="3"/>
  <c r="C158" i="3"/>
  <c r="I157" i="3"/>
  <c r="H157" i="3"/>
  <c r="G157" i="3"/>
  <c r="F157" i="3"/>
  <c r="E157" i="3"/>
  <c r="D157" i="3"/>
  <c r="C157" i="3"/>
  <c r="V105" i="3"/>
  <c r="U105" i="3"/>
  <c r="T105" i="3"/>
  <c r="S105" i="3"/>
  <c r="R105" i="3"/>
  <c r="Q105" i="3"/>
  <c r="P105" i="3"/>
  <c r="A105" i="3"/>
  <c r="V104" i="3"/>
  <c r="U104" i="3"/>
  <c r="T104" i="3"/>
  <c r="S104" i="3"/>
  <c r="R104" i="3"/>
  <c r="Q104" i="3"/>
  <c r="P104" i="3"/>
  <c r="A104" i="3"/>
  <c r="V103" i="3"/>
  <c r="U103" i="3"/>
  <c r="T103" i="3"/>
  <c r="S103" i="3"/>
  <c r="R103" i="3"/>
  <c r="Q103" i="3"/>
  <c r="P103" i="3"/>
  <c r="A103" i="3"/>
  <c r="V102" i="3"/>
  <c r="U102" i="3"/>
  <c r="T102" i="3"/>
  <c r="S102" i="3"/>
  <c r="R102" i="3"/>
  <c r="Q102" i="3"/>
  <c r="P102" i="3"/>
  <c r="A102" i="3"/>
  <c r="V101" i="3"/>
  <c r="U101" i="3"/>
  <c r="T101" i="3"/>
  <c r="S101" i="3"/>
  <c r="R101" i="3"/>
  <c r="Q101" i="3"/>
  <c r="P101" i="3"/>
  <c r="A101" i="3"/>
  <c r="V100" i="3"/>
  <c r="U100" i="3"/>
  <c r="T100" i="3"/>
  <c r="S100" i="3"/>
  <c r="R100" i="3"/>
  <c r="Q100" i="3"/>
  <c r="P100" i="3"/>
  <c r="A100" i="3"/>
  <c r="V99" i="3"/>
  <c r="U99" i="3"/>
  <c r="T99" i="3"/>
  <c r="S99" i="3"/>
  <c r="R99" i="3"/>
  <c r="Q99" i="3"/>
  <c r="P99" i="3"/>
  <c r="A99" i="3"/>
  <c r="V98" i="3"/>
  <c r="U98" i="3"/>
  <c r="T98" i="3"/>
  <c r="S98" i="3"/>
  <c r="R98" i="3"/>
  <c r="Q98" i="3"/>
  <c r="P98" i="3"/>
  <c r="A98" i="3"/>
  <c r="V97" i="3"/>
  <c r="U97" i="3"/>
  <c r="T97" i="3"/>
  <c r="S97" i="3"/>
  <c r="R97" i="3"/>
  <c r="Q97" i="3"/>
  <c r="P97" i="3"/>
  <c r="A97" i="3"/>
  <c r="V96" i="3"/>
  <c r="U96" i="3"/>
  <c r="T96" i="3"/>
  <c r="S96" i="3"/>
  <c r="R96" i="3"/>
  <c r="Q96" i="3"/>
  <c r="P96" i="3"/>
  <c r="A96" i="3"/>
  <c r="V95" i="3"/>
  <c r="U95" i="3"/>
  <c r="T95" i="3"/>
  <c r="S95" i="3"/>
  <c r="R95" i="3"/>
  <c r="Q95" i="3"/>
  <c r="P95" i="3"/>
  <c r="A95" i="3"/>
  <c r="V94" i="3"/>
  <c r="U94" i="3"/>
  <c r="T94" i="3"/>
  <c r="S94" i="3"/>
  <c r="R94" i="3"/>
  <c r="Q94" i="3"/>
  <c r="P94" i="3"/>
  <c r="A94" i="3"/>
  <c r="V93" i="3"/>
  <c r="U93" i="3"/>
  <c r="T93" i="3"/>
  <c r="S93" i="3"/>
  <c r="R93" i="3"/>
  <c r="Q93" i="3"/>
  <c r="P93" i="3"/>
  <c r="A93" i="3"/>
  <c r="V92" i="3"/>
  <c r="U92" i="3"/>
  <c r="T92" i="3"/>
  <c r="S92" i="3"/>
  <c r="R92" i="3"/>
  <c r="Q92" i="3"/>
  <c r="P92" i="3"/>
  <c r="A92" i="3"/>
  <c r="V91" i="3"/>
  <c r="U91" i="3"/>
  <c r="T91" i="3"/>
  <c r="S91" i="3"/>
  <c r="R91" i="3"/>
  <c r="Q91" i="3"/>
  <c r="P91" i="3"/>
  <c r="A91" i="3"/>
  <c r="V90" i="3"/>
  <c r="U90" i="3"/>
  <c r="T90" i="3"/>
  <c r="S90" i="3"/>
  <c r="R90" i="3"/>
  <c r="Q90" i="3"/>
  <c r="P90" i="3"/>
  <c r="A90" i="3"/>
  <c r="V89" i="3"/>
  <c r="U89" i="3"/>
  <c r="T89" i="3"/>
  <c r="S89" i="3"/>
  <c r="R89" i="3"/>
  <c r="Q89" i="3"/>
  <c r="P89" i="3"/>
  <c r="V88" i="3"/>
  <c r="U88" i="3"/>
  <c r="T88" i="3"/>
  <c r="S88" i="3"/>
  <c r="R88" i="3"/>
  <c r="Q88" i="3"/>
  <c r="P88" i="3"/>
  <c r="V87" i="3"/>
  <c r="U87" i="3"/>
  <c r="T87" i="3"/>
  <c r="S87" i="3"/>
  <c r="R87" i="3"/>
  <c r="Q87" i="3"/>
  <c r="P87" i="3"/>
  <c r="A87" i="3"/>
  <c r="V86" i="3"/>
  <c r="U86" i="3"/>
  <c r="T86" i="3"/>
  <c r="S86" i="3"/>
  <c r="R86" i="3"/>
  <c r="Q86" i="3"/>
  <c r="P86" i="3"/>
  <c r="A86" i="3"/>
  <c r="V85" i="3"/>
  <c r="U85" i="3"/>
  <c r="T85" i="3"/>
  <c r="S85" i="3"/>
  <c r="R85" i="3"/>
  <c r="Q85" i="3"/>
  <c r="P85" i="3"/>
  <c r="A85" i="3"/>
  <c r="V84" i="3"/>
  <c r="U84" i="3"/>
  <c r="T84" i="3"/>
  <c r="S84" i="3"/>
  <c r="R84" i="3"/>
  <c r="Q84" i="3"/>
  <c r="P84" i="3"/>
  <c r="A84" i="3"/>
  <c r="V83" i="3"/>
  <c r="U83" i="3"/>
  <c r="T83" i="3"/>
  <c r="S83" i="3"/>
  <c r="R83" i="3"/>
  <c r="Q83" i="3"/>
  <c r="P83" i="3"/>
  <c r="A83" i="3"/>
  <c r="V82" i="3"/>
  <c r="U82" i="3"/>
  <c r="T82" i="3"/>
  <c r="S82" i="3"/>
  <c r="R82" i="3"/>
  <c r="Q82" i="3"/>
  <c r="P82" i="3"/>
  <c r="L82" i="3"/>
  <c r="K82" i="3"/>
  <c r="J82" i="3"/>
  <c r="I82" i="3"/>
  <c r="H82" i="3"/>
  <c r="G82" i="3"/>
  <c r="F82" i="3"/>
  <c r="A82" i="3"/>
  <c r="V81" i="3"/>
  <c r="U81" i="3"/>
  <c r="T81" i="3"/>
  <c r="S81" i="3"/>
  <c r="R81" i="3"/>
  <c r="Q81" i="3"/>
  <c r="P81" i="3"/>
  <c r="A81" i="3"/>
  <c r="V80" i="3"/>
  <c r="U80" i="3"/>
  <c r="T80" i="3"/>
  <c r="S80" i="3"/>
  <c r="R80" i="3"/>
  <c r="Q80" i="3"/>
  <c r="P80" i="3"/>
  <c r="A80" i="3"/>
  <c r="V79" i="3"/>
  <c r="U79" i="3"/>
  <c r="T79" i="3"/>
  <c r="S79" i="3"/>
  <c r="R79" i="3"/>
  <c r="Q79" i="3"/>
  <c r="P79" i="3"/>
  <c r="A79" i="3"/>
  <c r="V78" i="3"/>
  <c r="U78" i="3"/>
  <c r="T78" i="3"/>
  <c r="S78" i="3"/>
  <c r="R78" i="3"/>
  <c r="Q78" i="3"/>
  <c r="P78" i="3"/>
  <c r="A78" i="3"/>
  <c r="V77" i="3"/>
  <c r="U77" i="3"/>
  <c r="T77" i="3"/>
  <c r="S77" i="3"/>
  <c r="R77" i="3"/>
  <c r="Q77" i="3"/>
  <c r="P77" i="3"/>
  <c r="A77" i="3"/>
  <c r="V76" i="3"/>
  <c r="U76" i="3"/>
  <c r="T76" i="3"/>
  <c r="S76" i="3"/>
  <c r="R76" i="3"/>
  <c r="Q76" i="3"/>
  <c r="P76" i="3"/>
  <c r="A76" i="3"/>
  <c r="V75" i="3"/>
  <c r="U75" i="3"/>
  <c r="T75" i="3"/>
  <c r="S75" i="3"/>
  <c r="R75" i="3"/>
  <c r="Q75" i="3"/>
  <c r="P75" i="3"/>
  <c r="A75" i="3"/>
  <c r="V74" i="3"/>
  <c r="U74" i="3"/>
  <c r="T74" i="3"/>
  <c r="S74" i="3"/>
  <c r="R74" i="3"/>
  <c r="Q74" i="3"/>
  <c r="P74" i="3"/>
  <c r="A74" i="3"/>
  <c r="V73" i="3"/>
  <c r="U73" i="3"/>
  <c r="T73" i="3"/>
  <c r="S73" i="3"/>
  <c r="R73" i="3"/>
  <c r="Q73" i="3"/>
  <c r="P73" i="3"/>
  <c r="E73" i="3"/>
  <c r="A73" i="3"/>
  <c r="V72" i="3"/>
  <c r="U72" i="3"/>
  <c r="T72" i="3"/>
  <c r="S72" i="3"/>
  <c r="R72" i="3"/>
  <c r="Q72" i="3"/>
  <c r="P72" i="3"/>
  <c r="E72" i="3"/>
  <c r="A72" i="3"/>
  <c r="V71" i="3"/>
  <c r="U71" i="3"/>
  <c r="T71" i="3"/>
  <c r="S71" i="3"/>
  <c r="R71" i="3"/>
  <c r="Q71" i="3"/>
  <c r="P71" i="3"/>
  <c r="L71" i="3"/>
  <c r="K71" i="3"/>
  <c r="J71" i="3"/>
  <c r="I71" i="3"/>
  <c r="H71" i="3"/>
  <c r="G71" i="3"/>
  <c r="F71" i="3"/>
  <c r="E71" i="3"/>
  <c r="D71" i="3"/>
  <c r="C71" i="3"/>
  <c r="A71" i="3"/>
  <c r="V70" i="3"/>
  <c r="U70" i="3"/>
  <c r="T70" i="3"/>
  <c r="S70" i="3"/>
  <c r="R70" i="3"/>
  <c r="Q70" i="3"/>
  <c r="P70" i="3"/>
  <c r="A70" i="3"/>
  <c r="V69" i="3"/>
  <c r="U69" i="3"/>
  <c r="T69" i="3"/>
  <c r="L69" i="3"/>
  <c r="E69" i="3"/>
  <c r="C69" i="3"/>
  <c r="A69" i="3"/>
  <c r="V68" i="3"/>
  <c r="U68" i="3"/>
  <c r="T68" i="3"/>
  <c r="S68" i="3"/>
  <c r="R68" i="3"/>
  <c r="Q68" i="3"/>
  <c r="P68" i="3"/>
  <c r="E68" i="3"/>
  <c r="C68" i="3"/>
  <c r="A68" i="3"/>
  <c r="V67" i="3"/>
  <c r="U67" i="3"/>
  <c r="T67" i="3"/>
  <c r="S67" i="3"/>
  <c r="R67" i="3"/>
  <c r="Q67" i="3"/>
  <c r="P67" i="3"/>
  <c r="A67" i="3"/>
  <c r="V66" i="3"/>
  <c r="U66" i="3"/>
  <c r="T66" i="3"/>
  <c r="S66" i="3"/>
  <c r="R66" i="3"/>
  <c r="Q66" i="3"/>
  <c r="P66" i="3"/>
  <c r="A66" i="3"/>
  <c r="V65" i="3"/>
  <c r="U65" i="3"/>
  <c r="T65" i="3"/>
  <c r="E65" i="3"/>
  <c r="D65" i="3"/>
  <c r="C65" i="3"/>
  <c r="A65" i="3"/>
  <c r="V64" i="3"/>
  <c r="U64" i="3"/>
  <c r="T64" i="3"/>
  <c r="S64" i="3"/>
  <c r="R64" i="3"/>
  <c r="Q64" i="3"/>
  <c r="P64" i="3"/>
  <c r="E64" i="3"/>
  <c r="D64" i="3"/>
  <c r="C64" i="3"/>
  <c r="A64" i="3"/>
  <c r="V63" i="3"/>
  <c r="U63" i="3"/>
  <c r="T63" i="3"/>
  <c r="S63" i="3"/>
  <c r="R63" i="3"/>
  <c r="Q63" i="3"/>
  <c r="P63" i="3"/>
  <c r="A63" i="3"/>
  <c r="V62" i="3"/>
  <c r="U62" i="3"/>
  <c r="T62" i="3"/>
  <c r="S62" i="3"/>
  <c r="R62" i="3"/>
  <c r="Q62" i="3"/>
  <c r="P62" i="3"/>
  <c r="A62" i="3"/>
  <c r="V61" i="3"/>
  <c r="U61" i="3"/>
  <c r="T61" i="3"/>
  <c r="S61" i="3"/>
  <c r="R61" i="3"/>
  <c r="Q61" i="3"/>
  <c r="P61" i="3"/>
  <c r="A61" i="3"/>
  <c r="V60" i="3"/>
  <c r="U60" i="3"/>
  <c r="T60" i="3"/>
  <c r="S60" i="3"/>
  <c r="R60" i="3"/>
  <c r="Q60" i="3"/>
  <c r="P60" i="3"/>
  <c r="E60" i="3"/>
  <c r="A60" i="3"/>
  <c r="V59" i="3"/>
  <c r="U59" i="3"/>
  <c r="T59" i="3"/>
  <c r="S59" i="3"/>
  <c r="R59" i="3"/>
  <c r="Q59" i="3"/>
  <c r="P59" i="3"/>
  <c r="E59" i="3"/>
  <c r="A59" i="3"/>
  <c r="V58" i="3"/>
  <c r="U58" i="3"/>
  <c r="T58" i="3"/>
  <c r="S58" i="3"/>
  <c r="R58" i="3"/>
  <c r="Q58" i="3"/>
  <c r="P58" i="3"/>
  <c r="C58" i="3"/>
  <c r="A58" i="3"/>
  <c r="V57" i="3"/>
  <c r="U57" i="3"/>
  <c r="T57" i="3"/>
  <c r="S57" i="3"/>
  <c r="R57" i="3"/>
  <c r="Q57" i="3"/>
  <c r="P57" i="3"/>
  <c r="C57" i="3"/>
  <c r="A57" i="3"/>
  <c r="V56" i="3"/>
  <c r="U56" i="3"/>
  <c r="T56" i="3"/>
  <c r="S56" i="3"/>
  <c r="R56" i="3"/>
  <c r="Q56" i="3"/>
  <c r="P56" i="3"/>
  <c r="A56" i="3"/>
  <c r="V55" i="3"/>
  <c r="U55" i="3"/>
  <c r="T55" i="3"/>
  <c r="S55" i="3"/>
  <c r="R55" i="3"/>
  <c r="Q55" i="3"/>
  <c r="P55" i="3"/>
  <c r="A55" i="3"/>
  <c r="V54" i="3"/>
  <c r="U54" i="3"/>
  <c r="T54" i="3"/>
  <c r="S54" i="3"/>
  <c r="R54" i="3"/>
  <c r="Q54" i="3"/>
  <c r="P54" i="3"/>
  <c r="C54" i="3"/>
  <c r="D54" i="3" s="1"/>
  <c r="E54" i="3" s="1"/>
  <c r="A54" i="3"/>
  <c r="V53" i="3"/>
  <c r="U53" i="3"/>
  <c r="T53" i="3"/>
  <c r="S53" i="3"/>
  <c r="R53" i="3"/>
  <c r="Q53" i="3"/>
  <c r="P53" i="3"/>
  <c r="L53" i="3"/>
  <c r="K53" i="3"/>
  <c r="J53" i="3"/>
  <c r="I53" i="3"/>
  <c r="H53" i="3"/>
  <c r="G53" i="3"/>
  <c r="F53" i="3"/>
  <c r="E53" i="3"/>
  <c r="D53" i="3"/>
  <c r="C53" i="3"/>
  <c r="A53" i="3"/>
  <c r="V52" i="3"/>
  <c r="U52" i="3"/>
  <c r="T52" i="3"/>
  <c r="S52" i="3"/>
  <c r="R52" i="3"/>
  <c r="Q52" i="3"/>
  <c r="P52" i="3"/>
  <c r="L52" i="3"/>
  <c r="K52" i="3"/>
  <c r="J52" i="3"/>
  <c r="I52" i="3"/>
  <c r="H52" i="3"/>
  <c r="G52" i="3"/>
  <c r="F52" i="3"/>
  <c r="E52" i="3"/>
  <c r="D52" i="3"/>
  <c r="C52" i="3"/>
  <c r="A52" i="3"/>
  <c r="V51" i="3"/>
  <c r="U51" i="3"/>
  <c r="T51" i="3"/>
  <c r="S51" i="3"/>
  <c r="R51" i="3"/>
  <c r="Q51" i="3"/>
  <c r="P51" i="3"/>
  <c r="A51" i="3"/>
  <c r="V50" i="3"/>
  <c r="U50" i="3"/>
  <c r="T50" i="3"/>
  <c r="S50" i="3"/>
  <c r="R50" i="3"/>
  <c r="Q50" i="3"/>
  <c r="P50" i="3"/>
  <c r="A50" i="3"/>
  <c r="V49" i="3"/>
  <c r="U49" i="3"/>
  <c r="T49" i="3"/>
  <c r="S49" i="3"/>
  <c r="R49" i="3"/>
  <c r="Q49" i="3"/>
  <c r="P49" i="3"/>
  <c r="A49" i="3"/>
  <c r="V48" i="3"/>
  <c r="U48" i="3"/>
  <c r="T48" i="3"/>
  <c r="S48" i="3"/>
  <c r="R48" i="3"/>
  <c r="Q48" i="3"/>
  <c r="P48" i="3"/>
  <c r="A48" i="3"/>
  <c r="V47" i="3"/>
  <c r="U47" i="3"/>
  <c r="T47" i="3"/>
  <c r="S47" i="3"/>
  <c r="R47" i="3"/>
  <c r="Q47" i="3"/>
  <c r="P47" i="3"/>
  <c r="A47" i="3"/>
  <c r="V46" i="3"/>
  <c r="U46" i="3"/>
  <c r="T46" i="3"/>
  <c r="S46" i="3"/>
  <c r="R46" i="3"/>
  <c r="Q46" i="3"/>
  <c r="P46" i="3"/>
  <c r="A46" i="3"/>
  <c r="V45" i="3"/>
  <c r="U45" i="3"/>
  <c r="T45" i="3"/>
  <c r="S45" i="3"/>
  <c r="R45" i="3"/>
  <c r="Q45" i="3"/>
  <c r="P45" i="3"/>
  <c r="A45" i="3"/>
  <c r="V44" i="3"/>
  <c r="U44" i="3"/>
  <c r="T44" i="3"/>
  <c r="S44" i="3"/>
  <c r="R44" i="3"/>
  <c r="Q44" i="3"/>
  <c r="P44" i="3"/>
  <c r="A44" i="3"/>
  <c r="V43" i="3"/>
  <c r="U43" i="3"/>
  <c r="T43" i="3"/>
  <c r="S43" i="3"/>
  <c r="R43" i="3"/>
  <c r="Q43" i="3"/>
  <c r="P43" i="3"/>
  <c r="L43" i="3"/>
  <c r="K43" i="3"/>
  <c r="E43" i="3"/>
  <c r="D43" i="3"/>
  <c r="C43" i="3"/>
  <c r="A43" i="3"/>
  <c r="V42" i="3"/>
  <c r="U42" i="3"/>
  <c r="T42" i="3"/>
  <c r="S42" i="3"/>
  <c r="R42" i="3"/>
  <c r="Q42" i="3"/>
  <c r="P42" i="3"/>
  <c r="L42" i="3"/>
  <c r="K42" i="3"/>
  <c r="E42" i="3"/>
  <c r="D42" i="3"/>
  <c r="C42" i="3"/>
  <c r="A42" i="3"/>
  <c r="V41" i="3"/>
  <c r="U41" i="3"/>
  <c r="T41" i="3"/>
  <c r="S41" i="3"/>
  <c r="R41" i="3"/>
  <c r="Q41" i="3"/>
  <c r="P41" i="3"/>
  <c r="L41" i="3"/>
  <c r="K41" i="3"/>
  <c r="E41" i="3"/>
  <c r="D41" i="3"/>
  <c r="C41" i="3"/>
  <c r="A41" i="3"/>
  <c r="V40" i="3"/>
  <c r="U40" i="3"/>
  <c r="T40" i="3"/>
  <c r="S40" i="3"/>
  <c r="R40" i="3"/>
  <c r="Q40" i="3"/>
  <c r="P40" i="3"/>
  <c r="A40" i="3"/>
  <c r="V39" i="3"/>
  <c r="U39" i="3"/>
  <c r="T39" i="3"/>
  <c r="S39" i="3"/>
  <c r="R39" i="3"/>
  <c r="Q39" i="3"/>
  <c r="P39" i="3"/>
  <c r="L39" i="3"/>
  <c r="K39" i="3"/>
  <c r="E39" i="3"/>
  <c r="D39" i="3"/>
  <c r="C39" i="3"/>
  <c r="A39" i="3"/>
  <c r="V38" i="3"/>
  <c r="U38" i="3"/>
  <c r="T38" i="3"/>
  <c r="S38" i="3"/>
  <c r="R38" i="3"/>
  <c r="Q38" i="3"/>
  <c r="P38" i="3"/>
  <c r="A38" i="3"/>
  <c r="V37" i="3"/>
  <c r="U37" i="3"/>
  <c r="T37" i="3"/>
  <c r="S37" i="3"/>
  <c r="R37" i="3"/>
  <c r="Q37" i="3"/>
  <c r="P37" i="3"/>
  <c r="L37" i="3"/>
  <c r="K37" i="3"/>
  <c r="E37" i="3"/>
  <c r="D37" i="3"/>
  <c r="C37" i="3"/>
  <c r="A37" i="3"/>
  <c r="V36" i="3"/>
  <c r="U36" i="3"/>
  <c r="T36" i="3"/>
  <c r="S36" i="3"/>
  <c r="R36" i="3"/>
  <c r="Q36" i="3"/>
  <c r="P36" i="3"/>
  <c r="E36" i="3"/>
  <c r="D36" i="3"/>
  <c r="C36" i="3"/>
  <c r="A36" i="3"/>
  <c r="V35" i="3"/>
  <c r="U35" i="3"/>
  <c r="T35" i="3"/>
  <c r="S35" i="3"/>
  <c r="R35" i="3"/>
  <c r="Q35" i="3"/>
  <c r="P35" i="3"/>
  <c r="A35" i="3"/>
  <c r="V34" i="3"/>
  <c r="U34" i="3"/>
  <c r="T34" i="3"/>
  <c r="S34" i="3"/>
  <c r="R34" i="3"/>
  <c r="Q34" i="3"/>
  <c r="P34" i="3"/>
  <c r="L34" i="3"/>
  <c r="K34" i="3"/>
  <c r="J34" i="3"/>
  <c r="I34" i="3"/>
  <c r="H34" i="3"/>
  <c r="G34" i="3"/>
  <c r="F34" i="3"/>
  <c r="E34" i="3"/>
  <c r="D34" i="3"/>
  <c r="C34" i="3"/>
  <c r="A34" i="3"/>
  <c r="V33" i="3"/>
  <c r="U33" i="3"/>
  <c r="T33" i="3"/>
  <c r="S33" i="3"/>
  <c r="R33" i="3"/>
  <c r="Q33" i="3"/>
  <c r="P33" i="3"/>
  <c r="L33" i="3"/>
  <c r="K33" i="3"/>
  <c r="J33" i="3"/>
  <c r="I33" i="3"/>
  <c r="H33" i="3"/>
  <c r="G33" i="3"/>
  <c r="F33" i="3"/>
  <c r="T32" i="3"/>
  <c r="S32" i="3"/>
  <c r="V31" i="3"/>
  <c r="U31" i="3"/>
  <c r="T31" i="3"/>
  <c r="S31" i="3"/>
  <c r="R31" i="3"/>
  <c r="Q31" i="3"/>
  <c r="P31" i="3"/>
  <c r="O31" i="3"/>
  <c r="N31" i="3"/>
  <c r="M31" i="3"/>
  <c r="J20" i="3"/>
  <c r="I20" i="3"/>
  <c r="H20" i="3"/>
  <c r="G20" i="3"/>
  <c r="J19" i="3"/>
  <c r="I19" i="3"/>
  <c r="H19" i="3"/>
  <c r="G19" i="3"/>
  <c r="J18" i="3"/>
  <c r="I18" i="3"/>
  <c r="H18" i="3"/>
  <c r="G18" i="3"/>
  <c r="J17" i="3"/>
  <c r="I17" i="3"/>
  <c r="H17" i="3"/>
  <c r="G17" i="3"/>
  <c r="J16" i="3"/>
  <c r="I16" i="3"/>
  <c r="H16" i="3"/>
  <c r="G16" i="3"/>
  <c r="J15" i="3"/>
  <c r="I15" i="3"/>
  <c r="H15" i="3"/>
  <c r="G15" i="3"/>
  <c r="J14" i="3"/>
  <c r="I14" i="3"/>
  <c r="H14" i="3"/>
  <c r="G14" i="3"/>
  <c r="J13" i="3"/>
  <c r="H13" i="3"/>
  <c r="G13" i="3"/>
  <c r="J12" i="3"/>
  <c r="H12" i="3"/>
  <c r="G12" i="3"/>
  <c r="J11" i="3"/>
  <c r="H11" i="3"/>
  <c r="G11" i="3"/>
  <c r="E7" i="3"/>
  <c r="B7" i="3"/>
  <c r="I13" i="3" s="1"/>
  <c r="E33" i="3" s="1"/>
  <c r="E49" i="3" s="1"/>
  <c r="H125" i="6"/>
  <c r="G125" i="6"/>
  <c r="F125" i="6"/>
  <c r="E125" i="6"/>
  <c r="D125" i="6"/>
  <c r="C125" i="6"/>
  <c r="I124" i="6"/>
  <c r="H124" i="6"/>
  <c r="G124" i="6"/>
  <c r="F124" i="6"/>
  <c r="E124" i="6"/>
  <c r="V103" i="6"/>
  <c r="U103" i="6"/>
  <c r="T103" i="6"/>
  <c r="S103" i="6"/>
  <c r="R103" i="6"/>
  <c r="Q103" i="6"/>
  <c r="P103" i="6"/>
  <c r="O103" i="6"/>
  <c r="N103" i="6"/>
  <c r="A103" i="6"/>
  <c r="V102" i="6"/>
  <c r="U102" i="6"/>
  <c r="T102" i="6"/>
  <c r="S102" i="6"/>
  <c r="R102" i="6"/>
  <c r="Q102" i="6"/>
  <c r="P102" i="6"/>
  <c r="O102" i="6"/>
  <c r="N102" i="6"/>
  <c r="A102" i="6"/>
  <c r="V101" i="6"/>
  <c r="U101" i="6"/>
  <c r="T101" i="6"/>
  <c r="S101" i="6"/>
  <c r="R101" i="6"/>
  <c r="Q101" i="6"/>
  <c r="P101" i="6"/>
  <c r="O101" i="6"/>
  <c r="N101" i="6"/>
  <c r="A101" i="6"/>
  <c r="V100" i="6"/>
  <c r="U100" i="6"/>
  <c r="T100" i="6"/>
  <c r="S100" i="6"/>
  <c r="R100" i="6"/>
  <c r="Q100" i="6"/>
  <c r="P100" i="6"/>
  <c r="O100" i="6"/>
  <c r="N100" i="6"/>
  <c r="A100" i="6"/>
  <c r="V99" i="6"/>
  <c r="U99" i="6"/>
  <c r="T99" i="6"/>
  <c r="S99" i="6"/>
  <c r="R99" i="6"/>
  <c r="Q99" i="6"/>
  <c r="P99" i="6"/>
  <c r="O99" i="6"/>
  <c r="N99" i="6"/>
  <c r="A99" i="6"/>
  <c r="V98" i="6"/>
  <c r="U98" i="6"/>
  <c r="T98" i="6"/>
  <c r="S98" i="6"/>
  <c r="R98" i="6"/>
  <c r="Q98" i="6"/>
  <c r="P98" i="6"/>
  <c r="O98" i="6"/>
  <c r="N98" i="6"/>
  <c r="A98" i="6"/>
  <c r="V97" i="6"/>
  <c r="U97" i="6"/>
  <c r="T97" i="6"/>
  <c r="S97" i="6"/>
  <c r="R97" i="6"/>
  <c r="Q97" i="6"/>
  <c r="P97" i="6"/>
  <c r="O97" i="6"/>
  <c r="N97" i="6"/>
  <c r="A97" i="6"/>
  <c r="V96" i="6"/>
  <c r="U96" i="6"/>
  <c r="T96" i="6"/>
  <c r="S96" i="6"/>
  <c r="R96" i="6"/>
  <c r="Q96" i="6"/>
  <c r="P96" i="6"/>
  <c r="O96" i="6"/>
  <c r="N96" i="6"/>
  <c r="A96" i="6"/>
  <c r="V95" i="6"/>
  <c r="U95" i="6"/>
  <c r="T95" i="6"/>
  <c r="S95" i="6"/>
  <c r="R95" i="6"/>
  <c r="Q95" i="6"/>
  <c r="P95" i="6"/>
  <c r="O95" i="6"/>
  <c r="N95" i="6"/>
  <c r="A95" i="6"/>
  <c r="V94" i="6"/>
  <c r="U94" i="6"/>
  <c r="T94" i="6"/>
  <c r="S94" i="6"/>
  <c r="R94" i="6"/>
  <c r="Q94" i="6"/>
  <c r="P94" i="6"/>
  <c r="O94" i="6"/>
  <c r="N94" i="6"/>
  <c r="A94" i="6"/>
  <c r="V93" i="6"/>
  <c r="U93" i="6"/>
  <c r="T93" i="6"/>
  <c r="S93" i="6"/>
  <c r="R93" i="6"/>
  <c r="Q93" i="6"/>
  <c r="P93" i="6"/>
  <c r="O93" i="6"/>
  <c r="N93" i="6"/>
  <c r="A93" i="6"/>
  <c r="V92" i="6"/>
  <c r="U92" i="6"/>
  <c r="T92" i="6"/>
  <c r="S92" i="6"/>
  <c r="R92" i="6"/>
  <c r="Q92" i="6"/>
  <c r="P92" i="6"/>
  <c r="O92" i="6"/>
  <c r="N92" i="6"/>
  <c r="A92" i="6"/>
  <c r="V91" i="6"/>
  <c r="U91" i="6"/>
  <c r="T91" i="6"/>
  <c r="S91" i="6"/>
  <c r="R91" i="6"/>
  <c r="Q91" i="6"/>
  <c r="P91" i="6"/>
  <c r="O91" i="6"/>
  <c r="N91" i="6"/>
  <c r="A91" i="6"/>
  <c r="V90" i="6"/>
  <c r="U90" i="6"/>
  <c r="T90" i="6"/>
  <c r="S90" i="6"/>
  <c r="R90" i="6"/>
  <c r="Q90" i="6"/>
  <c r="P90" i="6"/>
  <c r="O90" i="6"/>
  <c r="N90" i="6"/>
  <c r="A90" i="6"/>
  <c r="V89" i="6"/>
  <c r="U89" i="6"/>
  <c r="T89" i="6"/>
  <c r="S89" i="6"/>
  <c r="R89" i="6"/>
  <c r="Q89" i="6"/>
  <c r="P89" i="6"/>
  <c r="O89" i="6"/>
  <c r="N89" i="6"/>
  <c r="A89" i="6"/>
  <c r="V88" i="6"/>
  <c r="U88" i="6"/>
  <c r="T88" i="6"/>
  <c r="S88" i="6"/>
  <c r="R88" i="6"/>
  <c r="Q88" i="6"/>
  <c r="P88" i="6"/>
  <c r="O88" i="6"/>
  <c r="N88" i="6"/>
  <c r="A88" i="6"/>
  <c r="V87" i="6"/>
  <c r="U87" i="6"/>
  <c r="T87" i="6"/>
  <c r="S87" i="6"/>
  <c r="R87" i="6"/>
  <c r="Q87" i="6"/>
  <c r="P87" i="6"/>
  <c r="O87" i="6"/>
  <c r="N87" i="6"/>
  <c r="A87" i="6"/>
  <c r="V86" i="6"/>
  <c r="U86" i="6"/>
  <c r="T86" i="6"/>
  <c r="S86" i="6"/>
  <c r="R86" i="6"/>
  <c r="Q86" i="6"/>
  <c r="P86" i="6"/>
  <c r="O86" i="6"/>
  <c r="N86" i="6"/>
  <c r="A86" i="6"/>
  <c r="V85" i="6"/>
  <c r="U85" i="6"/>
  <c r="T85" i="6"/>
  <c r="S85" i="6"/>
  <c r="R85" i="6"/>
  <c r="Q85" i="6"/>
  <c r="P85" i="6"/>
  <c r="O85" i="6"/>
  <c r="N85" i="6"/>
  <c r="A85" i="6"/>
  <c r="V84" i="6"/>
  <c r="U84" i="6"/>
  <c r="T84" i="6"/>
  <c r="S84" i="6"/>
  <c r="R84" i="6"/>
  <c r="Q84" i="6"/>
  <c r="P84" i="6"/>
  <c r="O84" i="6"/>
  <c r="N84" i="6"/>
  <c r="A84" i="6"/>
  <c r="V83" i="6"/>
  <c r="U83" i="6"/>
  <c r="T83" i="6"/>
  <c r="S83" i="6"/>
  <c r="R83" i="6"/>
  <c r="Q83" i="6"/>
  <c r="P83" i="6"/>
  <c r="O83" i="6"/>
  <c r="N83" i="6"/>
  <c r="A83" i="6"/>
  <c r="V82" i="6"/>
  <c r="U82" i="6"/>
  <c r="T82" i="6"/>
  <c r="S82" i="6"/>
  <c r="R82" i="6"/>
  <c r="Q82" i="6"/>
  <c r="P82" i="6"/>
  <c r="O82" i="6"/>
  <c r="N82" i="6"/>
  <c r="L82" i="6"/>
  <c r="K82" i="6"/>
  <c r="J82" i="6"/>
  <c r="I82" i="6"/>
  <c r="H82" i="6"/>
  <c r="G82" i="6"/>
  <c r="F82" i="6"/>
  <c r="A82" i="6"/>
  <c r="V81" i="6"/>
  <c r="U81" i="6"/>
  <c r="T81" i="6"/>
  <c r="S81" i="6"/>
  <c r="R81" i="6"/>
  <c r="Q81" i="6"/>
  <c r="P81" i="6"/>
  <c r="O81" i="6"/>
  <c r="N81" i="6"/>
  <c r="A81" i="6"/>
  <c r="V80" i="6"/>
  <c r="U80" i="6"/>
  <c r="T80" i="6"/>
  <c r="S80" i="6"/>
  <c r="R80" i="6"/>
  <c r="Q80" i="6"/>
  <c r="P80" i="6"/>
  <c r="O80" i="6"/>
  <c r="N80" i="6"/>
  <c r="A80" i="6"/>
  <c r="V79" i="6"/>
  <c r="U79" i="6"/>
  <c r="T79" i="6"/>
  <c r="S79" i="6"/>
  <c r="R79" i="6"/>
  <c r="Q79" i="6"/>
  <c r="P79" i="6"/>
  <c r="O79" i="6"/>
  <c r="N79" i="6"/>
  <c r="A79" i="6"/>
  <c r="V78" i="6"/>
  <c r="U78" i="6"/>
  <c r="T78" i="6"/>
  <c r="S78" i="6"/>
  <c r="R78" i="6"/>
  <c r="Q78" i="6"/>
  <c r="P78" i="6"/>
  <c r="O78" i="6"/>
  <c r="N78" i="6"/>
  <c r="A78" i="6"/>
  <c r="V77" i="6"/>
  <c r="U77" i="6"/>
  <c r="T77" i="6"/>
  <c r="S77" i="6"/>
  <c r="R77" i="6"/>
  <c r="Q77" i="6"/>
  <c r="P77" i="6"/>
  <c r="O77" i="6"/>
  <c r="N77" i="6"/>
  <c r="A77" i="6"/>
  <c r="V76" i="6"/>
  <c r="U76" i="6"/>
  <c r="T76" i="6"/>
  <c r="S76" i="6"/>
  <c r="R76" i="6"/>
  <c r="Q76" i="6"/>
  <c r="P76" i="6"/>
  <c r="O76" i="6"/>
  <c r="N76" i="6"/>
  <c r="A76" i="6"/>
  <c r="V75" i="6"/>
  <c r="U75" i="6"/>
  <c r="T75" i="6"/>
  <c r="S75" i="6"/>
  <c r="R75" i="6"/>
  <c r="Q75" i="6"/>
  <c r="P75" i="6"/>
  <c r="O75" i="6"/>
  <c r="N75" i="6"/>
  <c r="A75" i="6"/>
  <c r="V74" i="6"/>
  <c r="U74" i="6"/>
  <c r="T74" i="6"/>
  <c r="S74" i="6"/>
  <c r="R74" i="6"/>
  <c r="Q74" i="6"/>
  <c r="P74" i="6"/>
  <c r="O74" i="6"/>
  <c r="N74" i="6"/>
  <c r="A74" i="6"/>
  <c r="V73" i="6"/>
  <c r="U73" i="6"/>
  <c r="T73" i="6"/>
  <c r="S73" i="6"/>
  <c r="R73" i="6"/>
  <c r="Q73" i="6"/>
  <c r="P73" i="6"/>
  <c r="O73" i="6"/>
  <c r="N73" i="6"/>
  <c r="A73" i="6"/>
  <c r="V72" i="6"/>
  <c r="U72" i="6"/>
  <c r="T72" i="6"/>
  <c r="S72" i="6"/>
  <c r="R72" i="6"/>
  <c r="Q72" i="6"/>
  <c r="P72" i="6"/>
  <c r="O72" i="6"/>
  <c r="N72" i="6"/>
  <c r="A72" i="6"/>
  <c r="V71" i="6"/>
  <c r="U71" i="6"/>
  <c r="T71" i="6"/>
  <c r="S71" i="6"/>
  <c r="R71" i="6"/>
  <c r="Q71" i="6"/>
  <c r="P71" i="6"/>
  <c r="O71" i="6"/>
  <c r="N71" i="6"/>
  <c r="L71" i="6"/>
  <c r="K71" i="6"/>
  <c r="J71" i="6"/>
  <c r="I71" i="6"/>
  <c r="H71" i="6"/>
  <c r="G71" i="6"/>
  <c r="F71" i="6"/>
  <c r="E71" i="6"/>
  <c r="D71" i="6"/>
  <c r="C71" i="6"/>
  <c r="A71" i="6"/>
  <c r="V70" i="6"/>
  <c r="U70" i="6"/>
  <c r="T70" i="6"/>
  <c r="S70" i="6"/>
  <c r="R70" i="6"/>
  <c r="Q70" i="6"/>
  <c r="P70" i="6"/>
  <c r="O70" i="6"/>
  <c r="N70" i="6"/>
  <c r="A70" i="6"/>
  <c r="L69" i="6"/>
  <c r="K69" i="6"/>
  <c r="J69" i="6"/>
  <c r="I69" i="6"/>
  <c r="H69" i="6"/>
  <c r="G69" i="6"/>
  <c r="F69" i="6"/>
  <c r="E69" i="6"/>
  <c r="D69" i="6"/>
  <c r="C69" i="6"/>
  <c r="A69" i="6"/>
  <c r="V68" i="6"/>
  <c r="U68" i="6"/>
  <c r="T68" i="6"/>
  <c r="S68" i="6"/>
  <c r="R68" i="6"/>
  <c r="Q68" i="6"/>
  <c r="P68" i="6"/>
  <c r="O68" i="6"/>
  <c r="N68" i="6"/>
  <c r="C68" i="6"/>
  <c r="A68" i="6"/>
  <c r="V67" i="6"/>
  <c r="U67" i="6"/>
  <c r="T67" i="6"/>
  <c r="S67" i="6"/>
  <c r="R67" i="6"/>
  <c r="Q67" i="6"/>
  <c r="P67" i="6"/>
  <c r="O67" i="6"/>
  <c r="N67" i="6"/>
  <c r="A67" i="6"/>
  <c r="V66" i="6"/>
  <c r="U66" i="6"/>
  <c r="T66" i="6"/>
  <c r="S66" i="6"/>
  <c r="R66" i="6"/>
  <c r="Q66" i="6"/>
  <c r="P66" i="6"/>
  <c r="O66" i="6"/>
  <c r="N66" i="6"/>
  <c r="A66" i="6"/>
  <c r="C65" i="6"/>
  <c r="A65" i="6"/>
  <c r="V64" i="6"/>
  <c r="U64" i="6"/>
  <c r="T64" i="6"/>
  <c r="S64" i="6"/>
  <c r="R64" i="6"/>
  <c r="Q64" i="6"/>
  <c r="P64" i="6"/>
  <c r="O64" i="6"/>
  <c r="N64" i="6"/>
  <c r="C64" i="6"/>
  <c r="A64" i="6"/>
  <c r="V63" i="6"/>
  <c r="U63" i="6"/>
  <c r="T63" i="6"/>
  <c r="S63" i="6"/>
  <c r="R63" i="6"/>
  <c r="Q63" i="6"/>
  <c r="P63" i="6"/>
  <c r="O63" i="6"/>
  <c r="N63" i="6"/>
  <c r="A63" i="6"/>
  <c r="V62" i="6"/>
  <c r="U62" i="6"/>
  <c r="T62" i="6"/>
  <c r="S62" i="6"/>
  <c r="R62" i="6"/>
  <c r="Q62" i="6"/>
  <c r="P62" i="6"/>
  <c r="O62" i="6"/>
  <c r="N62" i="6"/>
  <c r="A62" i="6"/>
  <c r="V61" i="6"/>
  <c r="U61" i="6"/>
  <c r="T61" i="6"/>
  <c r="S61" i="6"/>
  <c r="R61" i="6"/>
  <c r="Q61" i="6"/>
  <c r="P61" i="6"/>
  <c r="O61" i="6"/>
  <c r="N61" i="6"/>
  <c r="A61" i="6"/>
  <c r="V60" i="6"/>
  <c r="U60" i="6"/>
  <c r="T60" i="6"/>
  <c r="S60" i="6"/>
  <c r="R60" i="6"/>
  <c r="Q60" i="6"/>
  <c r="P60" i="6"/>
  <c r="O60" i="6"/>
  <c r="N60" i="6"/>
  <c r="A60" i="6"/>
  <c r="V59" i="6"/>
  <c r="U59" i="6"/>
  <c r="T59" i="6"/>
  <c r="S59" i="6"/>
  <c r="R59" i="6"/>
  <c r="Q59" i="6"/>
  <c r="P59" i="6"/>
  <c r="O59" i="6"/>
  <c r="N59" i="6"/>
  <c r="A59" i="6"/>
  <c r="V58" i="6"/>
  <c r="U58" i="6"/>
  <c r="T58" i="6"/>
  <c r="S58" i="6"/>
  <c r="R58" i="6"/>
  <c r="Q58" i="6"/>
  <c r="P58" i="6"/>
  <c r="O58" i="6"/>
  <c r="N58" i="6"/>
  <c r="C58" i="6"/>
  <c r="A58" i="6"/>
  <c r="V57" i="6"/>
  <c r="U57" i="6"/>
  <c r="T57" i="6"/>
  <c r="S57" i="6"/>
  <c r="R57" i="6"/>
  <c r="Q57" i="6"/>
  <c r="P57" i="6"/>
  <c r="O57" i="6"/>
  <c r="N57" i="6"/>
  <c r="C57" i="6"/>
  <c r="A57" i="6"/>
  <c r="V56" i="6"/>
  <c r="U56" i="6"/>
  <c r="T56" i="6"/>
  <c r="S56" i="6"/>
  <c r="R56" i="6"/>
  <c r="Q56" i="6"/>
  <c r="P56" i="6"/>
  <c r="O56" i="6"/>
  <c r="N56" i="6"/>
  <c r="A56" i="6"/>
  <c r="V55" i="6"/>
  <c r="U55" i="6"/>
  <c r="T55" i="6"/>
  <c r="S55" i="6"/>
  <c r="R55" i="6"/>
  <c r="Q55" i="6"/>
  <c r="P55" i="6"/>
  <c r="O55" i="6"/>
  <c r="N55" i="6"/>
  <c r="A55" i="6"/>
  <c r="V54" i="6"/>
  <c r="U54" i="6"/>
  <c r="T54" i="6"/>
  <c r="S54" i="6"/>
  <c r="R54" i="6"/>
  <c r="Q54" i="6"/>
  <c r="P54" i="6"/>
  <c r="O54" i="6"/>
  <c r="N54" i="6"/>
  <c r="C54" i="6"/>
  <c r="A54" i="6"/>
  <c r="V53" i="6"/>
  <c r="U53" i="6"/>
  <c r="T53" i="6"/>
  <c r="S53" i="6"/>
  <c r="R53" i="6"/>
  <c r="Q53" i="6"/>
  <c r="P53" i="6"/>
  <c r="O53" i="6"/>
  <c r="N53" i="6"/>
  <c r="L53" i="6"/>
  <c r="K53" i="6"/>
  <c r="J53" i="6"/>
  <c r="I53" i="6"/>
  <c r="H53" i="6"/>
  <c r="G53" i="6"/>
  <c r="F53" i="6"/>
  <c r="E53" i="6"/>
  <c r="D53" i="6"/>
  <c r="C53" i="6"/>
  <c r="A53" i="6"/>
  <c r="V52" i="6"/>
  <c r="U52" i="6"/>
  <c r="T52" i="6"/>
  <c r="S52" i="6"/>
  <c r="R52" i="6"/>
  <c r="Q52" i="6"/>
  <c r="P52" i="6"/>
  <c r="O52" i="6"/>
  <c r="N52" i="6"/>
  <c r="L52" i="6"/>
  <c r="K52" i="6"/>
  <c r="J52" i="6"/>
  <c r="I52" i="6"/>
  <c r="H52" i="6"/>
  <c r="G52" i="6"/>
  <c r="F52" i="6"/>
  <c r="E52" i="6"/>
  <c r="D52" i="6"/>
  <c r="C52" i="6"/>
  <c r="A52" i="6"/>
  <c r="V51" i="6"/>
  <c r="U51" i="6"/>
  <c r="T51" i="6"/>
  <c r="S51" i="6"/>
  <c r="R51" i="6"/>
  <c r="Q51" i="6"/>
  <c r="P51" i="6"/>
  <c r="O51" i="6"/>
  <c r="N51" i="6"/>
  <c r="A51" i="6"/>
  <c r="V50" i="6"/>
  <c r="U50" i="6"/>
  <c r="T50" i="6"/>
  <c r="S50" i="6"/>
  <c r="R50" i="6"/>
  <c r="Q50" i="6"/>
  <c r="P50" i="6"/>
  <c r="O50" i="6"/>
  <c r="N50" i="6"/>
  <c r="A50" i="6"/>
  <c r="V49" i="6"/>
  <c r="U49" i="6"/>
  <c r="T49" i="6"/>
  <c r="S49" i="6"/>
  <c r="R49" i="6"/>
  <c r="Q49" i="6"/>
  <c r="P49" i="6"/>
  <c r="O49" i="6"/>
  <c r="N49" i="6"/>
  <c r="A49" i="6"/>
  <c r="V48" i="6"/>
  <c r="U48" i="6"/>
  <c r="T48" i="6"/>
  <c r="S48" i="6"/>
  <c r="R48" i="6"/>
  <c r="Q48" i="6"/>
  <c r="P48" i="6"/>
  <c r="O48" i="6"/>
  <c r="N48" i="6"/>
  <c r="A48" i="6"/>
  <c r="V47" i="6"/>
  <c r="U47" i="6"/>
  <c r="T47" i="6"/>
  <c r="S47" i="6"/>
  <c r="R47" i="6"/>
  <c r="Q47" i="6"/>
  <c r="P47" i="6"/>
  <c r="O47" i="6"/>
  <c r="N47" i="6"/>
  <c r="A47" i="6"/>
  <c r="V46" i="6"/>
  <c r="U46" i="6"/>
  <c r="T46" i="6"/>
  <c r="S46" i="6"/>
  <c r="R46" i="6"/>
  <c r="Q46" i="6"/>
  <c r="P46" i="6"/>
  <c r="O46" i="6"/>
  <c r="N46" i="6"/>
  <c r="A46" i="6"/>
  <c r="V45" i="6"/>
  <c r="U45" i="6"/>
  <c r="T45" i="6"/>
  <c r="S45" i="6"/>
  <c r="R45" i="6"/>
  <c r="Q45" i="6"/>
  <c r="P45" i="6"/>
  <c r="O45" i="6"/>
  <c r="N45" i="6"/>
  <c r="A45" i="6"/>
  <c r="V44" i="6"/>
  <c r="U44" i="6"/>
  <c r="T44" i="6"/>
  <c r="S44" i="6"/>
  <c r="R44" i="6"/>
  <c r="Q44" i="6"/>
  <c r="P44" i="6"/>
  <c r="O44" i="6"/>
  <c r="N44" i="6"/>
  <c r="A44" i="6"/>
  <c r="V43" i="6"/>
  <c r="U43" i="6"/>
  <c r="T43" i="6"/>
  <c r="S43" i="6"/>
  <c r="R43" i="6"/>
  <c r="Q43" i="6"/>
  <c r="P43" i="6"/>
  <c r="O43" i="6"/>
  <c r="N43" i="6"/>
  <c r="L43" i="6"/>
  <c r="K43" i="6"/>
  <c r="J43" i="6"/>
  <c r="I43" i="6"/>
  <c r="H43" i="6"/>
  <c r="G43" i="6"/>
  <c r="F43" i="6"/>
  <c r="E43" i="6"/>
  <c r="D43" i="6"/>
  <c r="C43" i="6"/>
  <c r="A43" i="6"/>
  <c r="V42" i="6"/>
  <c r="U42" i="6"/>
  <c r="T42" i="6"/>
  <c r="S42" i="6"/>
  <c r="R42" i="6"/>
  <c r="Q42" i="6"/>
  <c r="P42" i="6"/>
  <c r="O42" i="6"/>
  <c r="N42" i="6"/>
  <c r="L42" i="6"/>
  <c r="K42" i="6"/>
  <c r="J42" i="6"/>
  <c r="I42" i="6"/>
  <c r="H42" i="6"/>
  <c r="G42" i="6"/>
  <c r="F42" i="6"/>
  <c r="E42" i="6"/>
  <c r="D42" i="6"/>
  <c r="C42" i="6"/>
  <c r="A42" i="6"/>
  <c r="V41" i="6"/>
  <c r="U41" i="6"/>
  <c r="T41" i="6"/>
  <c r="S41" i="6"/>
  <c r="R41" i="6"/>
  <c r="Q41" i="6"/>
  <c r="P41" i="6"/>
  <c r="O41" i="6"/>
  <c r="N41" i="6"/>
  <c r="L41" i="6"/>
  <c r="K41" i="6"/>
  <c r="J41" i="6"/>
  <c r="I41" i="6"/>
  <c r="H41" i="6"/>
  <c r="G41" i="6"/>
  <c r="F41" i="6"/>
  <c r="E41" i="6"/>
  <c r="D41" i="6"/>
  <c r="C41" i="6"/>
  <c r="A41" i="6"/>
  <c r="V40" i="6"/>
  <c r="U40" i="6"/>
  <c r="T40" i="6"/>
  <c r="S40" i="6"/>
  <c r="R40" i="6"/>
  <c r="Q40" i="6"/>
  <c r="P40" i="6"/>
  <c r="O40" i="6"/>
  <c r="N40" i="6"/>
  <c r="A40" i="6"/>
  <c r="V39" i="6"/>
  <c r="U39" i="6"/>
  <c r="T39" i="6"/>
  <c r="S39" i="6"/>
  <c r="R39" i="6"/>
  <c r="Q39" i="6"/>
  <c r="P39" i="6"/>
  <c r="O39" i="6"/>
  <c r="N39" i="6"/>
  <c r="L39" i="6"/>
  <c r="K39" i="6"/>
  <c r="J39" i="6"/>
  <c r="I39" i="6"/>
  <c r="H39" i="6"/>
  <c r="G39" i="6"/>
  <c r="F39" i="6"/>
  <c r="E39" i="6"/>
  <c r="D39" i="6"/>
  <c r="C39" i="6"/>
  <c r="A39" i="6"/>
  <c r="V38" i="6"/>
  <c r="U38" i="6"/>
  <c r="T38" i="6"/>
  <c r="S38" i="6"/>
  <c r="R38" i="6"/>
  <c r="Q38" i="6"/>
  <c r="P38" i="6"/>
  <c r="O38" i="6"/>
  <c r="N38" i="6"/>
  <c r="A38" i="6"/>
  <c r="V37" i="6"/>
  <c r="U37" i="6"/>
  <c r="T37" i="6"/>
  <c r="S37" i="6"/>
  <c r="R37" i="6"/>
  <c r="Q37" i="6"/>
  <c r="P37" i="6"/>
  <c r="O37" i="6"/>
  <c r="N37" i="6"/>
  <c r="L37" i="6"/>
  <c r="K37" i="6"/>
  <c r="J37" i="6"/>
  <c r="I37" i="6"/>
  <c r="H37" i="6"/>
  <c r="G37" i="6"/>
  <c r="F37" i="6"/>
  <c r="E37" i="6"/>
  <c r="D37" i="6"/>
  <c r="C37" i="6"/>
  <c r="A37" i="6"/>
  <c r="V36" i="6"/>
  <c r="U36" i="6"/>
  <c r="T36" i="6"/>
  <c r="S36" i="6"/>
  <c r="R36" i="6"/>
  <c r="Q36" i="6"/>
  <c r="P36" i="6"/>
  <c r="O36" i="6"/>
  <c r="N36" i="6"/>
  <c r="C36" i="6"/>
  <c r="A36" i="6"/>
  <c r="V35" i="6"/>
  <c r="U35" i="6"/>
  <c r="T35" i="6"/>
  <c r="S35" i="6"/>
  <c r="R35" i="6"/>
  <c r="Q35" i="6"/>
  <c r="P35" i="6"/>
  <c r="O35" i="6"/>
  <c r="N35" i="6"/>
  <c r="A35" i="6"/>
  <c r="V34" i="6"/>
  <c r="U34" i="6"/>
  <c r="T34" i="6"/>
  <c r="S34" i="6"/>
  <c r="R34" i="6"/>
  <c r="Q34" i="6"/>
  <c r="P34" i="6"/>
  <c r="O34" i="6"/>
  <c r="N34" i="6"/>
  <c r="L34" i="6"/>
  <c r="K34" i="6"/>
  <c r="J34" i="6"/>
  <c r="I34" i="6"/>
  <c r="H34" i="6"/>
  <c r="G34" i="6"/>
  <c r="F34" i="6"/>
  <c r="E34" i="6"/>
  <c r="D34" i="6"/>
  <c r="C34" i="6"/>
  <c r="A34" i="6"/>
  <c r="V33" i="6"/>
  <c r="U33" i="6"/>
  <c r="T33" i="6"/>
  <c r="S33" i="6"/>
  <c r="R33" i="6"/>
  <c r="Q33" i="6"/>
  <c r="P33" i="6"/>
  <c r="O33" i="6"/>
  <c r="N33" i="6"/>
  <c r="L33" i="6"/>
  <c r="K33" i="6"/>
  <c r="J33" i="6"/>
  <c r="I33" i="6"/>
  <c r="H33" i="6"/>
  <c r="G33" i="6"/>
  <c r="F33" i="6"/>
  <c r="E33" i="6"/>
  <c r="D33" i="6"/>
  <c r="T32" i="6"/>
  <c r="S32" i="6"/>
  <c r="V31" i="6"/>
  <c r="U31" i="6"/>
  <c r="T31" i="6"/>
  <c r="S31" i="6"/>
  <c r="R31" i="6"/>
  <c r="Q31" i="6"/>
  <c r="P31" i="6"/>
  <c r="O31" i="6"/>
  <c r="N31" i="6"/>
  <c r="M31" i="6"/>
  <c r="J20" i="6"/>
  <c r="I20" i="6"/>
  <c r="H20" i="6"/>
  <c r="G20" i="6"/>
  <c r="J19" i="6"/>
  <c r="I19" i="6"/>
  <c r="H19" i="6"/>
  <c r="G19" i="6"/>
  <c r="J18" i="6"/>
  <c r="I18" i="6"/>
  <c r="H18" i="6"/>
  <c r="G18" i="6"/>
  <c r="J17" i="6"/>
  <c r="I17" i="6"/>
  <c r="H17" i="6"/>
  <c r="G17" i="6"/>
  <c r="J16" i="6"/>
  <c r="I16" i="6"/>
  <c r="H16" i="6"/>
  <c r="G16" i="6"/>
  <c r="J15" i="6"/>
  <c r="I15" i="6"/>
  <c r="H15" i="6"/>
  <c r="G15" i="6"/>
  <c r="J14" i="6"/>
  <c r="I14" i="6"/>
  <c r="H14" i="6"/>
  <c r="G14" i="6"/>
  <c r="J13" i="6"/>
  <c r="I13" i="6"/>
  <c r="H13" i="6"/>
  <c r="G13" i="6"/>
  <c r="J12" i="6"/>
  <c r="I12" i="6"/>
  <c r="H12" i="6"/>
  <c r="G12" i="6"/>
  <c r="J11" i="6"/>
  <c r="H11" i="6"/>
  <c r="G11" i="6"/>
  <c r="E7" i="6"/>
  <c r="B7" i="6"/>
  <c r="I11" i="6" s="1"/>
  <c r="C33" i="6" s="1"/>
  <c r="J165" i="5"/>
  <c r="I165" i="5"/>
  <c r="H165" i="5"/>
  <c r="G165" i="5"/>
  <c r="F165" i="5"/>
  <c r="E165" i="5"/>
  <c r="D165" i="5"/>
  <c r="C165" i="5"/>
  <c r="K164" i="5"/>
  <c r="J164" i="5"/>
  <c r="I164" i="5"/>
  <c r="G164" i="5"/>
  <c r="F164" i="5"/>
  <c r="E164" i="5"/>
  <c r="D164" i="5"/>
  <c r="C164" i="5"/>
  <c r="K163" i="5"/>
  <c r="J163" i="5"/>
  <c r="I163" i="5"/>
  <c r="G163" i="5"/>
  <c r="F163" i="5"/>
  <c r="E163" i="5"/>
  <c r="D163" i="5"/>
  <c r="C163" i="5"/>
  <c r="K162" i="5"/>
  <c r="J162" i="5"/>
  <c r="I162" i="5"/>
  <c r="G162" i="5"/>
  <c r="F162" i="5"/>
  <c r="E162" i="5"/>
  <c r="D162" i="5"/>
  <c r="C162" i="5"/>
  <c r="J157" i="5"/>
  <c r="I157" i="5"/>
  <c r="H157" i="5"/>
  <c r="G157" i="5"/>
  <c r="F157" i="5"/>
  <c r="E157" i="5"/>
  <c r="D157" i="5"/>
  <c r="C157" i="5"/>
  <c r="K156" i="5"/>
  <c r="J156" i="5"/>
  <c r="I156" i="5"/>
  <c r="H156" i="5"/>
  <c r="G156" i="5"/>
  <c r="F156" i="5"/>
  <c r="E156" i="5"/>
  <c r="D156" i="5"/>
  <c r="C156" i="5"/>
  <c r="K155" i="5"/>
  <c r="J155" i="5"/>
  <c r="I155" i="5"/>
  <c r="H155" i="5"/>
  <c r="G155" i="5"/>
  <c r="F155" i="5"/>
  <c r="E155" i="5"/>
  <c r="D155" i="5"/>
  <c r="C155" i="5"/>
  <c r="K154" i="5"/>
  <c r="J154" i="5"/>
  <c r="I154" i="5"/>
  <c r="H154" i="5"/>
  <c r="G154" i="5"/>
  <c r="F154" i="5"/>
  <c r="E154" i="5"/>
  <c r="D154" i="5"/>
  <c r="C154" i="5"/>
  <c r="V103" i="5"/>
  <c r="U103" i="5"/>
  <c r="T103" i="5"/>
  <c r="S103" i="5"/>
  <c r="R103" i="5"/>
  <c r="Q103" i="5"/>
  <c r="P103" i="5"/>
  <c r="O103" i="5"/>
  <c r="A103" i="5"/>
  <c r="V102" i="5"/>
  <c r="U102" i="5"/>
  <c r="T102" i="5"/>
  <c r="S102" i="5"/>
  <c r="R102" i="5"/>
  <c r="Q102" i="5"/>
  <c r="P102" i="5"/>
  <c r="O102" i="5"/>
  <c r="A102" i="5"/>
  <c r="V101" i="5"/>
  <c r="U101" i="5"/>
  <c r="T101" i="5"/>
  <c r="S101" i="5"/>
  <c r="R101" i="5"/>
  <c r="Q101" i="5"/>
  <c r="P101" i="5"/>
  <c r="O101" i="5"/>
  <c r="A101" i="5"/>
  <c r="V100" i="5"/>
  <c r="U100" i="5"/>
  <c r="T100" i="5"/>
  <c r="S100" i="5"/>
  <c r="R100" i="5"/>
  <c r="Q100" i="5"/>
  <c r="P100" i="5"/>
  <c r="O100" i="5"/>
  <c r="A100" i="5"/>
  <c r="V99" i="5"/>
  <c r="U99" i="5"/>
  <c r="T99" i="5"/>
  <c r="S99" i="5"/>
  <c r="R99" i="5"/>
  <c r="Q99" i="5"/>
  <c r="P99" i="5"/>
  <c r="O99" i="5"/>
  <c r="A99" i="5"/>
  <c r="V98" i="5"/>
  <c r="U98" i="5"/>
  <c r="T98" i="5"/>
  <c r="S98" i="5"/>
  <c r="R98" i="5"/>
  <c r="Q98" i="5"/>
  <c r="P98" i="5"/>
  <c r="O98" i="5"/>
  <c r="A98" i="5"/>
  <c r="V97" i="5"/>
  <c r="U97" i="5"/>
  <c r="T97" i="5"/>
  <c r="S97" i="5"/>
  <c r="R97" i="5"/>
  <c r="Q97" i="5"/>
  <c r="P97" i="5"/>
  <c r="O97" i="5"/>
  <c r="A97" i="5"/>
  <c r="V96" i="5"/>
  <c r="U96" i="5"/>
  <c r="T96" i="5"/>
  <c r="S96" i="5"/>
  <c r="R96" i="5"/>
  <c r="Q96" i="5"/>
  <c r="P96" i="5"/>
  <c r="O96" i="5"/>
  <c r="A96" i="5"/>
  <c r="V95" i="5"/>
  <c r="U95" i="5"/>
  <c r="T95" i="5"/>
  <c r="S95" i="5"/>
  <c r="R95" i="5"/>
  <c r="Q95" i="5"/>
  <c r="P95" i="5"/>
  <c r="O95" i="5"/>
  <c r="A95" i="5"/>
  <c r="V94" i="5"/>
  <c r="U94" i="5"/>
  <c r="T94" i="5"/>
  <c r="S94" i="5"/>
  <c r="R94" i="5"/>
  <c r="Q94" i="5"/>
  <c r="P94" i="5"/>
  <c r="O94" i="5"/>
  <c r="A94" i="5"/>
  <c r="V93" i="5"/>
  <c r="U93" i="5"/>
  <c r="T93" i="5"/>
  <c r="S93" i="5"/>
  <c r="R93" i="5"/>
  <c r="Q93" i="5"/>
  <c r="P93" i="5"/>
  <c r="O93" i="5"/>
  <c r="A93" i="5"/>
  <c r="V92" i="5"/>
  <c r="U92" i="5"/>
  <c r="T92" i="5"/>
  <c r="S92" i="5"/>
  <c r="R92" i="5"/>
  <c r="Q92" i="5"/>
  <c r="P92" i="5"/>
  <c r="O92" i="5"/>
  <c r="A92" i="5"/>
  <c r="V91" i="5"/>
  <c r="U91" i="5"/>
  <c r="T91" i="5"/>
  <c r="S91" i="5"/>
  <c r="R91" i="5"/>
  <c r="Q91" i="5"/>
  <c r="P91" i="5"/>
  <c r="O91" i="5"/>
  <c r="A91" i="5"/>
  <c r="V90" i="5"/>
  <c r="U90" i="5"/>
  <c r="T90" i="5"/>
  <c r="S90" i="5"/>
  <c r="R90" i="5"/>
  <c r="Q90" i="5"/>
  <c r="P90" i="5"/>
  <c r="O90" i="5"/>
  <c r="A90" i="5"/>
  <c r="V89" i="5"/>
  <c r="U89" i="5"/>
  <c r="T89" i="5"/>
  <c r="S89" i="5"/>
  <c r="R89" i="5"/>
  <c r="Q89" i="5"/>
  <c r="P89" i="5"/>
  <c r="O89" i="5"/>
  <c r="A89" i="5"/>
  <c r="V88" i="5"/>
  <c r="U88" i="5"/>
  <c r="T88" i="5"/>
  <c r="S88" i="5"/>
  <c r="R88" i="5"/>
  <c r="Q88" i="5"/>
  <c r="P88" i="5"/>
  <c r="O88" i="5"/>
  <c r="A88" i="5"/>
  <c r="V87" i="5"/>
  <c r="U87" i="5"/>
  <c r="T87" i="5"/>
  <c r="S87" i="5"/>
  <c r="R87" i="5"/>
  <c r="Q87" i="5"/>
  <c r="P87" i="5"/>
  <c r="O87" i="5"/>
  <c r="A87" i="5"/>
  <c r="V86" i="5"/>
  <c r="U86" i="5"/>
  <c r="T86" i="5"/>
  <c r="S86" i="5"/>
  <c r="R86" i="5"/>
  <c r="Q86" i="5"/>
  <c r="P86" i="5"/>
  <c r="O86" i="5"/>
  <c r="A86" i="5"/>
  <c r="V85" i="5"/>
  <c r="U85" i="5"/>
  <c r="T85" i="5"/>
  <c r="S85" i="5"/>
  <c r="R85" i="5"/>
  <c r="Q85" i="5"/>
  <c r="P85" i="5"/>
  <c r="O85" i="5"/>
  <c r="A85" i="5"/>
  <c r="V84" i="5"/>
  <c r="U84" i="5"/>
  <c r="T84" i="5"/>
  <c r="S84" i="5"/>
  <c r="R84" i="5"/>
  <c r="Q84" i="5"/>
  <c r="P84" i="5"/>
  <c r="O84" i="5"/>
  <c r="A84" i="5"/>
  <c r="V83" i="5"/>
  <c r="U83" i="5"/>
  <c r="T83" i="5"/>
  <c r="S83" i="5"/>
  <c r="R83" i="5"/>
  <c r="Q83" i="5"/>
  <c r="P83" i="5"/>
  <c r="O83" i="5"/>
  <c r="A83" i="5"/>
  <c r="V82" i="5"/>
  <c r="U82" i="5"/>
  <c r="T82" i="5"/>
  <c r="S82" i="5"/>
  <c r="R82" i="5"/>
  <c r="Q82" i="5"/>
  <c r="P82" i="5"/>
  <c r="O82" i="5"/>
  <c r="L82" i="5"/>
  <c r="K82" i="5"/>
  <c r="J82" i="5"/>
  <c r="I82" i="5"/>
  <c r="H82" i="5"/>
  <c r="G82" i="5"/>
  <c r="F82" i="5"/>
  <c r="A82" i="5"/>
  <c r="V81" i="5"/>
  <c r="U81" i="5"/>
  <c r="T81" i="5"/>
  <c r="S81" i="5"/>
  <c r="R81" i="5"/>
  <c r="Q81" i="5"/>
  <c r="P81" i="5"/>
  <c r="O81" i="5"/>
  <c r="A81" i="5"/>
  <c r="V80" i="5"/>
  <c r="U80" i="5"/>
  <c r="T80" i="5"/>
  <c r="S80" i="5"/>
  <c r="R80" i="5"/>
  <c r="Q80" i="5"/>
  <c r="P80" i="5"/>
  <c r="O80" i="5"/>
  <c r="A80" i="5"/>
  <c r="V79" i="5"/>
  <c r="U79" i="5"/>
  <c r="T79" i="5"/>
  <c r="S79" i="5"/>
  <c r="R79" i="5"/>
  <c r="Q79" i="5"/>
  <c r="P79" i="5"/>
  <c r="O79" i="5"/>
  <c r="A79" i="5"/>
  <c r="V78" i="5"/>
  <c r="U78" i="5"/>
  <c r="T78" i="5"/>
  <c r="S78" i="5"/>
  <c r="R78" i="5"/>
  <c r="Q78" i="5"/>
  <c r="P78" i="5"/>
  <c r="O78" i="5"/>
  <c r="A78" i="5"/>
  <c r="V77" i="5"/>
  <c r="U77" i="5"/>
  <c r="T77" i="5"/>
  <c r="S77" i="5"/>
  <c r="R77" i="5"/>
  <c r="Q77" i="5"/>
  <c r="P77" i="5"/>
  <c r="O77" i="5"/>
  <c r="A77" i="5"/>
  <c r="V76" i="5"/>
  <c r="U76" i="5"/>
  <c r="T76" i="5"/>
  <c r="S76" i="5"/>
  <c r="R76" i="5"/>
  <c r="Q76" i="5"/>
  <c r="P76" i="5"/>
  <c r="O76" i="5"/>
  <c r="A76" i="5"/>
  <c r="V75" i="5"/>
  <c r="U75" i="5"/>
  <c r="T75" i="5"/>
  <c r="S75" i="5"/>
  <c r="R75" i="5"/>
  <c r="Q75" i="5"/>
  <c r="P75" i="5"/>
  <c r="O75" i="5"/>
  <c r="A75" i="5"/>
  <c r="V74" i="5"/>
  <c r="U74" i="5"/>
  <c r="T74" i="5"/>
  <c r="S74" i="5"/>
  <c r="R74" i="5"/>
  <c r="Q74" i="5"/>
  <c r="P74" i="5"/>
  <c r="O74" i="5"/>
  <c r="A74" i="5"/>
  <c r="V73" i="5"/>
  <c r="U73" i="5"/>
  <c r="T73" i="5"/>
  <c r="S73" i="5"/>
  <c r="R73" i="5"/>
  <c r="Q73" i="5"/>
  <c r="P73" i="5"/>
  <c r="O73" i="5"/>
  <c r="A73" i="5"/>
  <c r="V72" i="5"/>
  <c r="U72" i="5"/>
  <c r="T72" i="5"/>
  <c r="S72" i="5"/>
  <c r="R72" i="5"/>
  <c r="Q72" i="5"/>
  <c r="P72" i="5"/>
  <c r="O72" i="5"/>
  <c r="A72" i="5"/>
  <c r="V71" i="5"/>
  <c r="U71" i="5"/>
  <c r="T71" i="5"/>
  <c r="S71" i="5"/>
  <c r="R71" i="5"/>
  <c r="Q71" i="5"/>
  <c r="P71" i="5"/>
  <c r="O71" i="5"/>
  <c r="L71" i="5"/>
  <c r="K71" i="5"/>
  <c r="J71" i="5"/>
  <c r="I71" i="5"/>
  <c r="H71" i="5"/>
  <c r="G71" i="5"/>
  <c r="F71" i="5"/>
  <c r="E71" i="5"/>
  <c r="D71" i="5"/>
  <c r="C71" i="5"/>
  <c r="A71" i="5"/>
  <c r="V70" i="5"/>
  <c r="U70" i="5"/>
  <c r="T70" i="5"/>
  <c r="S70" i="5"/>
  <c r="R70" i="5"/>
  <c r="Q70" i="5"/>
  <c r="P70" i="5"/>
  <c r="O70" i="5"/>
  <c r="A70" i="5"/>
  <c r="L69" i="5"/>
  <c r="K69" i="5"/>
  <c r="J69" i="5"/>
  <c r="I69" i="5"/>
  <c r="H69" i="5"/>
  <c r="G69" i="5"/>
  <c r="F69" i="5"/>
  <c r="C69" i="5"/>
  <c r="A69" i="5"/>
  <c r="V68" i="5"/>
  <c r="U68" i="5"/>
  <c r="T68" i="5"/>
  <c r="S68" i="5"/>
  <c r="R68" i="5"/>
  <c r="Q68" i="5"/>
  <c r="P68" i="5"/>
  <c r="O68" i="5"/>
  <c r="A68" i="5"/>
  <c r="V67" i="5"/>
  <c r="U67" i="5"/>
  <c r="T67" i="5"/>
  <c r="S67" i="5"/>
  <c r="R67" i="5"/>
  <c r="Q67" i="5"/>
  <c r="P67" i="5"/>
  <c r="O67" i="5"/>
  <c r="A67" i="5"/>
  <c r="V66" i="5"/>
  <c r="U66" i="5"/>
  <c r="T66" i="5"/>
  <c r="S66" i="5"/>
  <c r="R66" i="5"/>
  <c r="Q66" i="5"/>
  <c r="P66" i="5"/>
  <c r="O66" i="5"/>
  <c r="A66" i="5"/>
  <c r="D65" i="5"/>
  <c r="C65" i="5"/>
  <c r="A65" i="5"/>
  <c r="V64" i="5"/>
  <c r="U64" i="5"/>
  <c r="T64" i="5"/>
  <c r="S64" i="5"/>
  <c r="R64" i="5"/>
  <c r="Q64" i="5"/>
  <c r="P64" i="5"/>
  <c r="O64" i="5"/>
  <c r="D64" i="5"/>
  <c r="C64" i="5"/>
  <c r="A64" i="5"/>
  <c r="V63" i="5"/>
  <c r="U63" i="5"/>
  <c r="T63" i="5"/>
  <c r="S63" i="5"/>
  <c r="R63" i="5"/>
  <c r="Q63" i="5"/>
  <c r="P63" i="5"/>
  <c r="O63" i="5"/>
  <c r="A63" i="5"/>
  <c r="V62" i="5"/>
  <c r="U62" i="5"/>
  <c r="T62" i="5"/>
  <c r="S62" i="5"/>
  <c r="R62" i="5"/>
  <c r="Q62" i="5"/>
  <c r="P62" i="5"/>
  <c r="O62" i="5"/>
  <c r="A62" i="5"/>
  <c r="V61" i="5"/>
  <c r="U61" i="5"/>
  <c r="T61" i="5"/>
  <c r="S61" i="5"/>
  <c r="R61" i="5"/>
  <c r="Q61" i="5"/>
  <c r="P61" i="5"/>
  <c r="O61" i="5"/>
  <c r="A61" i="5"/>
  <c r="V60" i="5"/>
  <c r="U60" i="5"/>
  <c r="T60" i="5"/>
  <c r="S60" i="5"/>
  <c r="R60" i="5"/>
  <c r="Q60" i="5"/>
  <c r="P60" i="5"/>
  <c r="O60" i="5"/>
  <c r="A60" i="5"/>
  <c r="V59" i="5"/>
  <c r="U59" i="5"/>
  <c r="T59" i="5"/>
  <c r="S59" i="5"/>
  <c r="R59" i="5"/>
  <c r="Q59" i="5"/>
  <c r="P59" i="5"/>
  <c r="O59" i="5"/>
  <c r="A59" i="5"/>
  <c r="V58" i="5"/>
  <c r="U58" i="5"/>
  <c r="T58" i="5"/>
  <c r="S58" i="5"/>
  <c r="R58" i="5"/>
  <c r="Q58" i="5"/>
  <c r="P58" i="5"/>
  <c r="O58" i="5"/>
  <c r="C58" i="5"/>
  <c r="A58" i="5"/>
  <c r="V57" i="5"/>
  <c r="U57" i="5"/>
  <c r="T57" i="5"/>
  <c r="S57" i="5"/>
  <c r="R57" i="5"/>
  <c r="Q57" i="5"/>
  <c r="P57" i="5"/>
  <c r="O57" i="5"/>
  <c r="C57" i="5"/>
  <c r="A57" i="5"/>
  <c r="V56" i="5"/>
  <c r="U56" i="5"/>
  <c r="T56" i="5"/>
  <c r="S56" i="5"/>
  <c r="R56" i="5"/>
  <c r="Q56" i="5"/>
  <c r="P56" i="5"/>
  <c r="O56" i="5"/>
  <c r="A56" i="5"/>
  <c r="V55" i="5"/>
  <c r="U55" i="5"/>
  <c r="T55" i="5"/>
  <c r="S55" i="5"/>
  <c r="R55" i="5"/>
  <c r="Q55" i="5"/>
  <c r="P55" i="5"/>
  <c r="O55" i="5"/>
  <c r="A55" i="5"/>
  <c r="V54" i="5"/>
  <c r="U54" i="5"/>
  <c r="T54" i="5"/>
  <c r="S54" i="5"/>
  <c r="R54" i="5"/>
  <c r="Q54" i="5"/>
  <c r="P54" i="5"/>
  <c r="O54" i="5"/>
  <c r="A54" i="5"/>
  <c r="V53" i="5"/>
  <c r="U53" i="5"/>
  <c r="T53" i="5"/>
  <c r="S53" i="5"/>
  <c r="R53" i="5"/>
  <c r="Q53" i="5"/>
  <c r="P53" i="5"/>
  <c r="O53" i="5"/>
  <c r="L53" i="5"/>
  <c r="K53" i="5"/>
  <c r="J53" i="5"/>
  <c r="I53" i="5"/>
  <c r="H53" i="5"/>
  <c r="G53" i="5"/>
  <c r="F53" i="5"/>
  <c r="E53" i="5"/>
  <c r="D53" i="5"/>
  <c r="C53" i="5"/>
  <c r="A53" i="5"/>
  <c r="V52" i="5"/>
  <c r="U52" i="5"/>
  <c r="T52" i="5"/>
  <c r="S52" i="5"/>
  <c r="R52" i="5"/>
  <c r="Q52" i="5"/>
  <c r="P52" i="5"/>
  <c r="O52" i="5"/>
  <c r="L52" i="5"/>
  <c r="K52" i="5"/>
  <c r="J52" i="5"/>
  <c r="I52" i="5"/>
  <c r="H52" i="5"/>
  <c r="G52" i="5"/>
  <c r="F52" i="5"/>
  <c r="E52" i="5"/>
  <c r="D52" i="5"/>
  <c r="C52" i="5"/>
  <c r="A52" i="5"/>
  <c r="V51" i="5"/>
  <c r="U51" i="5"/>
  <c r="T51" i="5"/>
  <c r="S51" i="5"/>
  <c r="R51" i="5"/>
  <c r="Q51" i="5"/>
  <c r="P51" i="5"/>
  <c r="O51" i="5"/>
  <c r="A51" i="5"/>
  <c r="V50" i="5"/>
  <c r="U50" i="5"/>
  <c r="T50" i="5"/>
  <c r="S50" i="5"/>
  <c r="R50" i="5"/>
  <c r="Q50" i="5"/>
  <c r="P50" i="5"/>
  <c r="O50" i="5"/>
  <c r="A50" i="5"/>
  <c r="V49" i="5"/>
  <c r="U49" i="5"/>
  <c r="T49" i="5"/>
  <c r="S49" i="5"/>
  <c r="R49" i="5"/>
  <c r="Q49" i="5"/>
  <c r="P49" i="5"/>
  <c r="O49" i="5"/>
  <c r="A49" i="5"/>
  <c r="V48" i="5"/>
  <c r="U48" i="5"/>
  <c r="T48" i="5"/>
  <c r="S48" i="5"/>
  <c r="R48" i="5"/>
  <c r="Q48" i="5"/>
  <c r="P48" i="5"/>
  <c r="O48" i="5"/>
  <c r="A48" i="5"/>
  <c r="V47" i="5"/>
  <c r="U47" i="5"/>
  <c r="T47" i="5"/>
  <c r="S47" i="5"/>
  <c r="R47" i="5"/>
  <c r="Q47" i="5"/>
  <c r="P47" i="5"/>
  <c r="O47" i="5"/>
  <c r="A47" i="5"/>
  <c r="V46" i="5"/>
  <c r="U46" i="5"/>
  <c r="T46" i="5"/>
  <c r="S46" i="5"/>
  <c r="R46" i="5"/>
  <c r="Q46" i="5"/>
  <c r="P46" i="5"/>
  <c r="O46" i="5"/>
  <c r="A46" i="5"/>
  <c r="V45" i="5"/>
  <c r="U45" i="5"/>
  <c r="T45" i="5"/>
  <c r="S45" i="5"/>
  <c r="R45" i="5"/>
  <c r="Q45" i="5"/>
  <c r="P45" i="5"/>
  <c r="O45" i="5"/>
  <c r="A45" i="5"/>
  <c r="V44" i="5"/>
  <c r="U44" i="5"/>
  <c r="T44" i="5"/>
  <c r="S44" i="5"/>
  <c r="R44" i="5"/>
  <c r="Q44" i="5"/>
  <c r="P44" i="5"/>
  <c r="O44" i="5"/>
  <c r="A44" i="5"/>
  <c r="V43" i="5"/>
  <c r="U43" i="5"/>
  <c r="T43" i="5"/>
  <c r="S43" i="5"/>
  <c r="R43" i="5"/>
  <c r="Q43" i="5"/>
  <c r="P43" i="5"/>
  <c r="O43" i="5"/>
  <c r="L43" i="5"/>
  <c r="K43" i="5"/>
  <c r="J43" i="5"/>
  <c r="I43" i="5"/>
  <c r="H43" i="5"/>
  <c r="G43" i="5"/>
  <c r="F43" i="5"/>
  <c r="D43" i="5"/>
  <c r="C43" i="5"/>
  <c r="A43" i="5"/>
  <c r="V42" i="5"/>
  <c r="U42" i="5"/>
  <c r="T42" i="5"/>
  <c r="S42" i="5"/>
  <c r="R42" i="5"/>
  <c r="Q42" i="5"/>
  <c r="P42" i="5"/>
  <c r="O42" i="5"/>
  <c r="L42" i="5"/>
  <c r="K42" i="5"/>
  <c r="J42" i="5"/>
  <c r="I42" i="5"/>
  <c r="H42" i="5"/>
  <c r="G42" i="5"/>
  <c r="F42" i="5"/>
  <c r="D42" i="5"/>
  <c r="C42" i="5"/>
  <c r="A42" i="5"/>
  <c r="V41" i="5"/>
  <c r="U41" i="5"/>
  <c r="T41" i="5"/>
  <c r="S41" i="5"/>
  <c r="R41" i="5"/>
  <c r="Q41" i="5"/>
  <c r="P41" i="5"/>
  <c r="O41" i="5"/>
  <c r="L41" i="5"/>
  <c r="K41" i="5"/>
  <c r="J41" i="5"/>
  <c r="I41" i="5"/>
  <c r="H41" i="5"/>
  <c r="G41" i="5"/>
  <c r="F41" i="5"/>
  <c r="D41" i="5"/>
  <c r="C41" i="5"/>
  <c r="A41" i="5"/>
  <c r="V40" i="5"/>
  <c r="U40" i="5"/>
  <c r="T40" i="5"/>
  <c r="S40" i="5"/>
  <c r="R40" i="5"/>
  <c r="Q40" i="5"/>
  <c r="P40" i="5"/>
  <c r="O40" i="5"/>
  <c r="A40" i="5"/>
  <c r="V39" i="5"/>
  <c r="U39" i="5"/>
  <c r="T39" i="5"/>
  <c r="S39" i="5"/>
  <c r="R39" i="5"/>
  <c r="Q39" i="5"/>
  <c r="P39" i="5"/>
  <c r="O39" i="5"/>
  <c r="L39" i="5"/>
  <c r="K39" i="5"/>
  <c r="J39" i="5"/>
  <c r="I39" i="5"/>
  <c r="H39" i="5"/>
  <c r="G39" i="5"/>
  <c r="F39" i="5"/>
  <c r="E39" i="5"/>
  <c r="D39" i="5"/>
  <c r="C39" i="5"/>
  <c r="A39" i="5"/>
  <c r="V38" i="5"/>
  <c r="U38" i="5"/>
  <c r="T38" i="5"/>
  <c r="S38" i="5"/>
  <c r="R38" i="5"/>
  <c r="Q38" i="5"/>
  <c r="P38" i="5"/>
  <c r="O38" i="5"/>
  <c r="A38" i="5"/>
  <c r="V37" i="5"/>
  <c r="U37" i="5"/>
  <c r="T37" i="5"/>
  <c r="S37" i="5"/>
  <c r="R37" i="5"/>
  <c r="Q37" i="5"/>
  <c r="P37" i="5"/>
  <c r="O37" i="5"/>
  <c r="L37" i="5"/>
  <c r="K37" i="5"/>
  <c r="J37" i="5"/>
  <c r="I37" i="5"/>
  <c r="H37" i="5"/>
  <c r="G37" i="5"/>
  <c r="F37" i="5"/>
  <c r="D37" i="5"/>
  <c r="C37" i="5"/>
  <c r="A37" i="5"/>
  <c r="V36" i="5"/>
  <c r="U36" i="5"/>
  <c r="T36" i="5"/>
  <c r="S36" i="5"/>
  <c r="R36" i="5"/>
  <c r="Q36" i="5"/>
  <c r="P36" i="5"/>
  <c r="O36" i="5"/>
  <c r="A36" i="5"/>
  <c r="V35" i="5"/>
  <c r="U35" i="5"/>
  <c r="T35" i="5"/>
  <c r="S35" i="5"/>
  <c r="R35" i="5"/>
  <c r="Q35" i="5"/>
  <c r="P35" i="5"/>
  <c r="O35" i="5"/>
  <c r="A35" i="5"/>
  <c r="V34" i="5"/>
  <c r="U34" i="5"/>
  <c r="T34" i="5"/>
  <c r="S34" i="5"/>
  <c r="R34" i="5"/>
  <c r="Q34" i="5"/>
  <c r="P34" i="5"/>
  <c r="O34" i="5"/>
  <c r="L34" i="5"/>
  <c r="K34" i="5"/>
  <c r="J34" i="5"/>
  <c r="I34" i="5"/>
  <c r="H34" i="5"/>
  <c r="G34" i="5"/>
  <c r="F34" i="5"/>
  <c r="E34" i="5"/>
  <c r="D34" i="5"/>
  <c r="C34" i="5"/>
  <c r="A34" i="5"/>
  <c r="V33" i="5"/>
  <c r="U33" i="5"/>
  <c r="T33" i="5"/>
  <c r="S33" i="5"/>
  <c r="R33" i="5"/>
  <c r="Q33" i="5"/>
  <c r="P33" i="5"/>
  <c r="O33" i="5"/>
  <c r="L33" i="5"/>
  <c r="K33" i="5"/>
  <c r="J33" i="5"/>
  <c r="I33" i="5"/>
  <c r="H33" i="5"/>
  <c r="G33" i="5"/>
  <c r="F33" i="5"/>
  <c r="E33" i="5"/>
  <c r="T32" i="5"/>
  <c r="S32" i="5"/>
  <c r="V31" i="5"/>
  <c r="U31" i="5"/>
  <c r="T31" i="5"/>
  <c r="S31" i="5"/>
  <c r="R31" i="5"/>
  <c r="Q31" i="5"/>
  <c r="P31" i="5"/>
  <c r="O31" i="5"/>
  <c r="N31" i="5"/>
  <c r="M31" i="5"/>
  <c r="J20" i="5"/>
  <c r="I20" i="5"/>
  <c r="H20" i="5"/>
  <c r="G20" i="5"/>
  <c r="J19" i="5"/>
  <c r="I19" i="5"/>
  <c r="H19" i="5"/>
  <c r="G19" i="5"/>
  <c r="J18" i="5"/>
  <c r="I18" i="5"/>
  <c r="H18" i="5"/>
  <c r="G18" i="5"/>
  <c r="J17" i="5"/>
  <c r="I17" i="5"/>
  <c r="H17" i="5"/>
  <c r="G17" i="5"/>
  <c r="J16" i="5"/>
  <c r="I16" i="5"/>
  <c r="H16" i="5"/>
  <c r="G16" i="5"/>
  <c r="J15" i="5"/>
  <c r="I15" i="5"/>
  <c r="H15" i="5"/>
  <c r="G15" i="5"/>
  <c r="J14" i="5"/>
  <c r="I14" i="5"/>
  <c r="H14" i="5"/>
  <c r="G14" i="5"/>
  <c r="J12" i="5"/>
  <c r="H12" i="5"/>
  <c r="G12" i="5"/>
  <c r="J11" i="5"/>
  <c r="H11" i="5"/>
  <c r="G11" i="5"/>
  <c r="E7" i="5"/>
  <c r="B7" i="5"/>
  <c r="I11" i="5" s="1"/>
  <c r="C33" i="5" s="1"/>
  <c r="L144" i="4"/>
  <c r="K144" i="4"/>
  <c r="J144" i="4"/>
  <c r="I144" i="4"/>
  <c r="H144" i="4"/>
  <c r="G144" i="4"/>
  <c r="F144" i="4"/>
  <c r="E144" i="4"/>
  <c r="D144" i="4"/>
  <c r="C144" i="4"/>
  <c r="B144" i="4"/>
  <c r="L143" i="4"/>
  <c r="K143" i="4"/>
  <c r="J143" i="4"/>
  <c r="I143" i="4"/>
  <c r="H143" i="4"/>
  <c r="G143" i="4"/>
  <c r="F143" i="4"/>
  <c r="E143" i="4"/>
  <c r="M142" i="4"/>
  <c r="L142" i="4"/>
  <c r="K142" i="4"/>
  <c r="J142" i="4"/>
  <c r="I142" i="4"/>
  <c r="H142" i="4"/>
  <c r="G142" i="4"/>
  <c r="F142" i="4"/>
  <c r="E142" i="4"/>
  <c r="D142" i="4"/>
  <c r="C142" i="4"/>
  <c r="M141" i="4"/>
  <c r="L141" i="4"/>
  <c r="K141" i="4"/>
  <c r="J141" i="4"/>
  <c r="I141" i="4"/>
  <c r="H141" i="4"/>
  <c r="G141" i="4"/>
  <c r="F141" i="4"/>
  <c r="E141" i="4"/>
  <c r="D141" i="4"/>
  <c r="C141" i="4"/>
  <c r="M140" i="4"/>
  <c r="L140" i="4"/>
  <c r="K140" i="4"/>
  <c r="J140" i="4"/>
  <c r="I140" i="4"/>
  <c r="H140" i="4"/>
  <c r="G140" i="4"/>
  <c r="F140" i="4"/>
  <c r="E140" i="4"/>
  <c r="D140" i="4"/>
  <c r="C140" i="4"/>
  <c r="L136" i="4"/>
  <c r="K136" i="4"/>
  <c r="J136" i="4"/>
  <c r="I136" i="4"/>
  <c r="H136" i="4"/>
  <c r="G136" i="4"/>
  <c r="F136" i="4"/>
  <c r="E136" i="4"/>
  <c r="D136" i="4"/>
  <c r="C136" i="4"/>
  <c r="B136" i="4"/>
  <c r="L135" i="4"/>
  <c r="K135" i="4"/>
  <c r="J135" i="4"/>
  <c r="I135" i="4"/>
  <c r="H135" i="4"/>
  <c r="G135" i="4"/>
  <c r="F135" i="4"/>
  <c r="E135" i="4"/>
  <c r="M134" i="4"/>
  <c r="L134" i="4"/>
  <c r="K134" i="4"/>
  <c r="J134" i="4"/>
  <c r="I134" i="4"/>
  <c r="H134" i="4"/>
  <c r="G134" i="4"/>
  <c r="F134" i="4"/>
  <c r="E134" i="4"/>
  <c r="D134" i="4"/>
  <c r="C134" i="4"/>
  <c r="M133" i="4"/>
  <c r="L133" i="4"/>
  <c r="K133" i="4"/>
  <c r="J133" i="4"/>
  <c r="I133" i="4"/>
  <c r="H133" i="4"/>
  <c r="G133" i="4"/>
  <c r="F133" i="4"/>
  <c r="E133" i="4"/>
  <c r="D133" i="4"/>
  <c r="C133" i="4"/>
  <c r="M132" i="4"/>
  <c r="L132" i="4"/>
  <c r="K132" i="4"/>
  <c r="J132" i="4"/>
  <c r="I132" i="4"/>
  <c r="H132" i="4"/>
  <c r="G132" i="4"/>
  <c r="F132" i="4"/>
  <c r="E132" i="4"/>
  <c r="D132" i="4"/>
  <c r="C132" i="4"/>
  <c r="V103" i="4"/>
  <c r="U103" i="4"/>
  <c r="T103" i="4"/>
  <c r="S103" i="4"/>
  <c r="R103" i="4"/>
  <c r="Q103" i="4"/>
  <c r="P103" i="4"/>
  <c r="O103" i="4"/>
  <c r="N103" i="4"/>
  <c r="A103" i="4"/>
  <c r="V102" i="4"/>
  <c r="U102" i="4"/>
  <c r="T102" i="4"/>
  <c r="S102" i="4"/>
  <c r="R102" i="4"/>
  <c r="Q102" i="4"/>
  <c r="P102" i="4"/>
  <c r="O102" i="4"/>
  <c r="N102" i="4"/>
  <c r="A102" i="4"/>
  <c r="V101" i="4"/>
  <c r="U101" i="4"/>
  <c r="T101" i="4"/>
  <c r="S101" i="4"/>
  <c r="R101" i="4"/>
  <c r="Q101" i="4"/>
  <c r="P101" i="4"/>
  <c r="O101" i="4"/>
  <c r="N101" i="4"/>
  <c r="A101" i="4"/>
  <c r="V100" i="4"/>
  <c r="U100" i="4"/>
  <c r="T100" i="4"/>
  <c r="S100" i="4"/>
  <c r="R100" i="4"/>
  <c r="Q100" i="4"/>
  <c r="P100" i="4"/>
  <c r="O100" i="4"/>
  <c r="N100" i="4"/>
  <c r="A100" i="4"/>
  <c r="V99" i="4"/>
  <c r="U99" i="4"/>
  <c r="T99" i="4"/>
  <c r="S99" i="4"/>
  <c r="R99" i="4"/>
  <c r="Q99" i="4"/>
  <c r="P99" i="4"/>
  <c r="O99" i="4"/>
  <c r="N99" i="4"/>
  <c r="A99" i="4"/>
  <c r="V98" i="4"/>
  <c r="U98" i="4"/>
  <c r="T98" i="4"/>
  <c r="S98" i="4"/>
  <c r="R98" i="4"/>
  <c r="Q98" i="4"/>
  <c r="P98" i="4"/>
  <c r="O98" i="4"/>
  <c r="N98" i="4"/>
  <c r="A98" i="4"/>
  <c r="V97" i="4"/>
  <c r="U97" i="4"/>
  <c r="T97" i="4"/>
  <c r="S97" i="4"/>
  <c r="R97" i="4"/>
  <c r="Q97" i="4"/>
  <c r="P97" i="4"/>
  <c r="O97" i="4"/>
  <c r="N97" i="4"/>
  <c r="A97" i="4"/>
  <c r="V96" i="4"/>
  <c r="U96" i="4"/>
  <c r="T96" i="4"/>
  <c r="S96" i="4"/>
  <c r="R96" i="4"/>
  <c r="Q96" i="4"/>
  <c r="P96" i="4"/>
  <c r="O96" i="4"/>
  <c r="N96" i="4"/>
  <c r="A96" i="4"/>
  <c r="V95" i="4"/>
  <c r="U95" i="4"/>
  <c r="T95" i="4"/>
  <c r="S95" i="4"/>
  <c r="R95" i="4"/>
  <c r="Q95" i="4"/>
  <c r="P95" i="4"/>
  <c r="O95" i="4"/>
  <c r="N95" i="4"/>
  <c r="A95" i="4"/>
  <c r="V94" i="4"/>
  <c r="U94" i="4"/>
  <c r="T94" i="4"/>
  <c r="S94" i="4"/>
  <c r="R94" i="4"/>
  <c r="Q94" i="4"/>
  <c r="P94" i="4"/>
  <c r="O94" i="4"/>
  <c r="N94" i="4"/>
  <c r="A94" i="4"/>
  <c r="V93" i="4"/>
  <c r="U93" i="4"/>
  <c r="T93" i="4"/>
  <c r="S93" i="4"/>
  <c r="R93" i="4"/>
  <c r="Q93" i="4"/>
  <c r="P93" i="4"/>
  <c r="O93" i="4"/>
  <c r="N93" i="4"/>
  <c r="A93" i="4"/>
  <c r="V92" i="4"/>
  <c r="U92" i="4"/>
  <c r="T92" i="4"/>
  <c r="S92" i="4"/>
  <c r="R92" i="4"/>
  <c r="Q92" i="4"/>
  <c r="P92" i="4"/>
  <c r="O92" i="4"/>
  <c r="N92" i="4"/>
  <c r="A92" i="4"/>
  <c r="V91" i="4"/>
  <c r="U91" i="4"/>
  <c r="T91" i="4"/>
  <c r="S91" i="4"/>
  <c r="R91" i="4"/>
  <c r="Q91" i="4"/>
  <c r="P91" i="4"/>
  <c r="O91" i="4"/>
  <c r="N91" i="4"/>
  <c r="A91" i="4"/>
  <c r="V90" i="4"/>
  <c r="U90" i="4"/>
  <c r="T90" i="4"/>
  <c r="S90" i="4"/>
  <c r="R90" i="4"/>
  <c r="Q90" i="4"/>
  <c r="P90" i="4"/>
  <c r="O90" i="4"/>
  <c r="N90" i="4"/>
  <c r="A90" i="4"/>
  <c r="V89" i="4"/>
  <c r="U89" i="4"/>
  <c r="T89" i="4"/>
  <c r="S89" i="4"/>
  <c r="R89" i="4"/>
  <c r="Q89" i="4"/>
  <c r="P89" i="4"/>
  <c r="O89" i="4"/>
  <c r="N89" i="4"/>
  <c r="A89" i="4"/>
  <c r="V88" i="4"/>
  <c r="U88" i="4"/>
  <c r="T88" i="4"/>
  <c r="S88" i="4"/>
  <c r="R88" i="4"/>
  <c r="Q88" i="4"/>
  <c r="P88" i="4"/>
  <c r="O88" i="4"/>
  <c r="N88" i="4"/>
  <c r="A88" i="4"/>
  <c r="V87" i="4"/>
  <c r="U87" i="4"/>
  <c r="T87" i="4"/>
  <c r="S87" i="4"/>
  <c r="R87" i="4"/>
  <c r="Q87" i="4"/>
  <c r="P87" i="4"/>
  <c r="O87" i="4"/>
  <c r="N87" i="4"/>
  <c r="A87" i="4"/>
  <c r="V86" i="4"/>
  <c r="U86" i="4"/>
  <c r="T86" i="4"/>
  <c r="S86" i="4"/>
  <c r="R86" i="4"/>
  <c r="Q86" i="4"/>
  <c r="P86" i="4"/>
  <c r="O86" i="4"/>
  <c r="N86" i="4"/>
  <c r="A86" i="4"/>
  <c r="V85" i="4"/>
  <c r="U85" i="4"/>
  <c r="T85" i="4"/>
  <c r="S85" i="4"/>
  <c r="R85" i="4"/>
  <c r="Q85" i="4"/>
  <c r="P85" i="4"/>
  <c r="O85" i="4"/>
  <c r="N85" i="4"/>
  <c r="A85" i="4"/>
  <c r="V84" i="4"/>
  <c r="U84" i="4"/>
  <c r="T84" i="4"/>
  <c r="S84" i="4"/>
  <c r="R84" i="4"/>
  <c r="Q84" i="4"/>
  <c r="P84" i="4"/>
  <c r="O84" i="4"/>
  <c r="N84" i="4"/>
  <c r="A84" i="4"/>
  <c r="V83" i="4"/>
  <c r="U83" i="4"/>
  <c r="T83" i="4"/>
  <c r="S83" i="4"/>
  <c r="R83" i="4"/>
  <c r="Q83" i="4"/>
  <c r="P83" i="4"/>
  <c r="O83" i="4"/>
  <c r="N83" i="4"/>
  <c r="A83" i="4"/>
  <c r="V82" i="4"/>
  <c r="U82" i="4"/>
  <c r="T82" i="4"/>
  <c r="S82" i="4"/>
  <c r="R82" i="4"/>
  <c r="Q82" i="4"/>
  <c r="P82" i="4"/>
  <c r="O82" i="4"/>
  <c r="N82" i="4"/>
  <c r="L82" i="4"/>
  <c r="K82" i="4"/>
  <c r="J82" i="4"/>
  <c r="I82" i="4"/>
  <c r="H82" i="4"/>
  <c r="G82" i="4"/>
  <c r="F82" i="4"/>
  <c r="A82" i="4"/>
  <c r="V81" i="4"/>
  <c r="U81" i="4"/>
  <c r="T81" i="4"/>
  <c r="S81" i="4"/>
  <c r="R81" i="4"/>
  <c r="Q81" i="4"/>
  <c r="P81" i="4"/>
  <c r="O81" i="4"/>
  <c r="N81" i="4"/>
  <c r="A81" i="4"/>
  <c r="V80" i="4"/>
  <c r="U80" i="4"/>
  <c r="T80" i="4"/>
  <c r="S80" i="4"/>
  <c r="R80" i="4"/>
  <c r="Q80" i="4"/>
  <c r="P80" i="4"/>
  <c r="O80" i="4"/>
  <c r="N80" i="4"/>
  <c r="A80" i="4"/>
  <c r="V79" i="4"/>
  <c r="U79" i="4"/>
  <c r="T79" i="4"/>
  <c r="S79" i="4"/>
  <c r="R79" i="4"/>
  <c r="Q79" i="4"/>
  <c r="P79" i="4"/>
  <c r="O79" i="4"/>
  <c r="N79" i="4"/>
  <c r="A79" i="4"/>
  <c r="V78" i="4"/>
  <c r="U78" i="4"/>
  <c r="T78" i="4"/>
  <c r="S78" i="4"/>
  <c r="R78" i="4"/>
  <c r="Q78" i="4"/>
  <c r="P78" i="4"/>
  <c r="O78" i="4"/>
  <c r="N78" i="4"/>
  <c r="A78" i="4"/>
  <c r="V77" i="4"/>
  <c r="U77" i="4"/>
  <c r="T77" i="4"/>
  <c r="S77" i="4"/>
  <c r="R77" i="4"/>
  <c r="Q77" i="4"/>
  <c r="P77" i="4"/>
  <c r="O77" i="4"/>
  <c r="N77" i="4"/>
  <c r="A77" i="4"/>
  <c r="V76" i="4"/>
  <c r="U76" i="4"/>
  <c r="T76" i="4"/>
  <c r="S76" i="4"/>
  <c r="R76" i="4"/>
  <c r="Q76" i="4"/>
  <c r="P76" i="4"/>
  <c r="O76" i="4"/>
  <c r="N76" i="4"/>
  <c r="A76" i="4"/>
  <c r="V75" i="4"/>
  <c r="U75" i="4"/>
  <c r="T75" i="4"/>
  <c r="S75" i="4"/>
  <c r="R75" i="4"/>
  <c r="Q75" i="4"/>
  <c r="P75" i="4"/>
  <c r="O75" i="4"/>
  <c r="N75" i="4"/>
  <c r="A75" i="4"/>
  <c r="V74" i="4"/>
  <c r="U74" i="4"/>
  <c r="T74" i="4"/>
  <c r="S74" i="4"/>
  <c r="R74" i="4"/>
  <c r="Q74" i="4"/>
  <c r="P74" i="4"/>
  <c r="O74" i="4"/>
  <c r="N74" i="4"/>
  <c r="A74" i="4"/>
  <c r="V73" i="4"/>
  <c r="U73" i="4"/>
  <c r="T73" i="4"/>
  <c r="S73" i="4"/>
  <c r="R73" i="4"/>
  <c r="Q73" i="4"/>
  <c r="P73" i="4"/>
  <c r="O73" i="4"/>
  <c r="N73" i="4"/>
  <c r="A73" i="4"/>
  <c r="V72" i="4"/>
  <c r="U72" i="4"/>
  <c r="T72" i="4"/>
  <c r="S72" i="4"/>
  <c r="R72" i="4"/>
  <c r="Q72" i="4"/>
  <c r="P72" i="4"/>
  <c r="O72" i="4"/>
  <c r="N72" i="4"/>
  <c r="A72" i="4"/>
  <c r="V71" i="4"/>
  <c r="U71" i="4"/>
  <c r="T71" i="4"/>
  <c r="S71" i="4"/>
  <c r="R71" i="4"/>
  <c r="Q71" i="4"/>
  <c r="P71" i="4"/>
  <c r="O71" i="4"/>
  <c r="N71" i="4"/>
  <c r="L71" i="4"/>
  <c r="K71" i="4"/>
  <c r="J71" i="4"/>
  <c r="I71" i="4"/>
  <c r="H71" i="4"/>
  <c r="G71" i="4"/>
  <c r="F71" i="4"/>
  <c r="E71" i="4"/>
  <c r="D71" i="4"/>
  <c r="C71" i="4"/>
  <c r="A71" i="4"/>
  <c r="V70" i="4"/>
  <c r="U70" i="4"/>
  <c r="T70" i="4"/>
  <c r="S70" i="4"/>
  <c r="R70" i="4"/>
  <c r="Q70" i="4"/>
  <c r="P70" i="4"/>
  <c r="O70" i="4"/>
  <c r="N70" i="4"/>
  <c r="A70" i="4"/>
  <c r="L69" i="4"/>
  <c r="K69" i="4"/>
  <c r="J69" i="4"/>
  <c r="I69" i="4"/>
  <c r="H69" i="4"/>
  <c r="G69" i="4"/>
  <c r="F69" i="4"/>
  <c r="E69" i="4"/>
  <c r="D69" i="4"/>
  <c r="C69" i="4"/>
  <c r="A69" i="4"/>
  <c r="V68" i="4"/>
  <c r="U68" i="4"/>
  <c r="T68" i="4"/>
  <c r="S68" i="4"/>
  <c r="R68" i="4"/>
  <c r="Q68" i="4"/>
  <c r="P68" i="4"/>
  <c r="O68" i="4"/>
  <c r="N68" i="4"/>
  <c r="C68" i="4"/>
  <c r="A68" i="4"/>
  <c r="V67" i="4"/>
  <c r="U67" i="4"/>
  <c r="T67" i="4"/>
  <c r="S67" i="4"/>
  <c r="R67" i="4"/>
  <c r="Q67" i="4"/>
  <c r="P67" i="4"/>
  <c r="O67" i="4"/>
  <c r="N67" i="4"/>
  <c r="A67" i="4"/>
  <c r="V66" i="4"/>
  <c r="U66" i="4"/>
  <c r="T66" i="4"/>
  <c r="S66" i="4"/>
  <c r="R66" i="4"/>
  <c r="Q66" i="4"/>
  <c r="P66" i="4"/>
  <c r="O66" i="4"/>
  <c r="N66" i="4"/>
  <c r="A66" i="4"/>
  <c r="C65" i="4"/>
  <c r="A65" i="4"/>
  <c r="V64" i="4"/>
  <c r="U64" i="4"/>
  <c r="T64" i="4"/>
  <c r="S64" i="4"/>
  <c r="R64" i="4"/>
  <c r="Q64" i="4"/>
  <c r="P64" i="4"/>
  <c r="O64" i="4"/>
  <c r="N64" i="4"/>
  <c r="C64" i="4"/>
  <c r="A64" i="4"/>
  <c r="V63" i="4"/>
  <c r="U63" i="4"/>
  <c r="T63" i="4"/>
  <c r="S63" i="4"/>
  <c r="R63" i="4"/>
  <c r="Q63" i="4"/>
  <c r="P63" i="4"/>
  <c r="O63" i="4"/>
  <c r="N63" i="4"/>
  <c r="A63" i="4"/>
  <c r="V62" i="4"/>
  <c r="U62" i="4"/>
  <c r="T62" i="4"/>
  <c r="S62" i="4"/>
  <c r="R62" i="4"/>
  <c r="Q62" i="4"/>
  <c r="P62" i="4"/>
  <c r="O62" i="4"/>
  <c r="N62" i="4"/>
  <c r="A62" i="4"/>
  <c r="V61" i="4"/>
  <c r="U61" i="4"/>
  <c r="T61" i="4"/>
  <c r="S61" i="4"/>
  <c r="R61" i="4"/>
  <c r="Q61" i="4"/>
  <c r="P61" i="4"/>
  <c r="O61" i="4"/>
  <c r="N61" i="4"/>
  <c r="A61" i="4"/>
  <c r="V60" i="4"/>
  <c r="U60" i="4"/>
  <c r="T60" i="4"/>
  <c r="S60" i="4"/>
  <c r="R60" i="4"/>
  <c r="Q60" i="4"/>
  <c r="P60" i="4"/>
  <c r="O60" i="4"/>
  <c r="N60" i="4"/>
  <c r="A60" i="4"/>
  <c r="V59" i="4"/>
  <c r="U59" i="4"/>
  <c r="T59" i="4"/>
  <c r="S59" i="4"/>
  <c r="R59" i="4"/>
  <c r="Q59" i="4"/>
  <c r="P59" i="4"/>
  <c r="O59" i="4"/>
  <c r="N59" i="4"/>
  <c r="A59" i="4"/>
  <c r="V58" i="4"/>
  <c r="U58" i="4"/>
  <c r="T58" i="4"/>
  <c r="S58" i="4"/>
  <c r="R58" i="4"/>
  <c r="Q58" i="4"/>
  <c r="P58" i="4"/>
  <c r="O58" i="4"/>
  <c r="N58" i="4"/>
  <c r="C58" i="4"/>
  <c r="A58" i="4"/>
  <c r="V57" i="4"/>
  <c r="U57" i="4"/>
  <c r="T57" i="4"/>
  <c r="S57" i="4"/>
  <c r="R57" i="4"/>
  <c r="Q57" i="4"/>
  <c r="P57" i="4"/>
  <c r="O57" i="4"/>
  <c r="N57" i="4"/>
  <c r="C57" i="4"/>
  <c r="A57" i="4"/>
  <c r="V56" i="4"/>
  <c r="U56" i="4"/>
  <c r="T56" i="4"/>
  <c r="S56" i="4"/>
  <c r="R56" i="4"/>
  <c r="Q56" i="4"/>
  <c r="P56" i="4"/>
  <c r="O56" i="4"/>
  <c r="N56" i="4"/>
  <c r="A56" i="4"/>
  <c r="V55" i="4"/>
  <c r="U55" i="4"/>
  <c r="T55" i="4"/>
  <c r="S55" i="4"/>
  <c r="R55" i="4"/>
  <c r="Q55" i="4"/>
  <c r="P55" i="4"/>
  <c r="O55" i="4"/>
  <c r="N55" i="4"/>
  <c r="A55" i="4"/>
  <c r="V54" i="4"/>
  <c r="U54" i="4"/>
  <c r="T54" i="4"/>
  <c r="S54" i="4"/>
  <c r="R54" i="4"/>
  <c r="Q54" i="4"/>
  <c r="P54" i="4"/>
  <c r="O54" i="4"/>
  <c r="N54" i="4"/>
  <c r="C54" i="4"/>
  <c r="A54" i="4"/>
  <c r="V53" i="4"/>
  <c r="U53" i="4"/>
  <c r="T53" i="4"/>
  <c r="S53" i="4"/>
  <c r="R53" i="4"/>
  <c r="Q53" i="4"/>
  <c r="P53" i="4"/>
  <c r="O53" i="4"/>
  <c r="N53" i="4"/>
  <c r="L53" i="4"/>
  <c r="K53" i="4"/>
  <c r="J53" i="4"/>
  <c r="I53" i="4"/>
  <c r="H53" i="4"/>
  <c r="G53" i="4"/>
  <c r="F53" i="4"/>
  <c r="E53" i="4"/>
  <c r="D53" i="4"/>
  <c r="C53" i="4"/>
  <c r="A53" i="4"/>
  <c r="V52" i="4"/>
  <c r="U52" i="4"/>
  <c r="T52" i="4"/>
  <c r="S52" i="4"/>
  <c r="R52" i="4"/>
  <c r="Q52" i="4"/>
  <c r="P52" i="4"/>
  <c r="O52" i="4"/>
  <c r="N52" i="4"/>
  <c r="L52" i="4"/>
  <c r="K52" i="4"/>
  <c r="J52" i="4"/>
  <c r="I52" i="4"/>
  <c r="H52" i="4"/>
  <c r="G52" i="4"/>
  <c r="F52" i="4"/>
  <c r="E52" i="4"/>
  <c r="D52" i="4"/>
  <c r="C52" i="4"/>
  <c r="A52" i="4"/>
  <c r="V51" i="4"/>
  <c r="U51" i="4"/>
  <c r="T51" i="4"/>
  <c r="S51" i="4"/>
  <c r="R51" i="4"/>
  <c r="Q51" i="4"/>
  <c r="P51" i="4"/>
  <c r="O51" i="4"/>
  <c r="N51" i="4"/>
  <c r="A51" i="4"/>
  <c r="V50" i="4"/>
  <c r="U50" i="4"/>
  <c r="T50" i="4"/>
  <c r="S50" i="4"/>
  <c r="R50" i="4"/>
  <c r="Q50" i="4"/>
  <c r="P50" i="4"/>
  <c r="O50" i="4"/>
  <c r="N50" i="4"/>
  <c r="A50" i="4"/>
  <c r="V49" i="4"/>
  <c r="U49" i="4"/>
  <c r="T49" i="4"/>
  <c r="S49" i="4"/>
  <c r="R49" i="4"/>
  <c r="Q49" i="4"/>
  <c r="P49" i="4"/>
  <c r="O49" i="4"/>
  <c r="N49" i="4"/>
  <c r="A49" i="4"/>
  <c r="V48" i="4"/>
  <c r="U48" i="4"/>
  <c r="T48" i="4"/>
  <c r="S48" i="4"/>
  <c r="R48" i="4"/>
  <c r="Q48" i="4"/>
  <c r="P48" i="4"/>
  <c r="O48" i="4"/>
  <c r="N48" i="4"/>
  <c r="A48" i="4"/>
  <c r="V47" i="4"/>
  <c r="U47" i="4"/>
  <c r="T47" i="4"/>
  <c r="S47" i="4"/>
  <c r="R47" i="4"/>
  <c r="Q47" i="4"/>
  <c r="P47" i="4"/>
  <c r="O47" i="4"/>
  <c r="N47" i="4"/>
  <c r="A47" i="4"/>
  <c r="V46" i="4"/>
  <c r="U46" i="4"/>
  <c r="T46" i="4"/>
  <c r="S46" i="4"/>
  <c r="R46" i="4"/>
  <c r="Q46" i="4"/>
  <c r="P46" i="4"/>
  <c r="O46" i="4"/>
  <c r="N46" i="4"/>
  <c r="A46" i="4"/>
  <c r="V45" i="4"/>
  <c r="U45" i="4"/>
  <c r="T45" i="4"/>
  <c r="S45" i="4"/>
  <c r="R45" i="4"/>
  <c r="Q45" i="4"/>
  <c r="P45" i="4"/>
  <c r="O45" i="4"/>
  <c r="N45" i="4"/>
  <c r="A45" i="4"/>
  <c r="V44" i="4"/>
  <c r="U44" i="4"/>
  <c r="T44" i="4"/>
  <c r="S44" i="4"/>
  <c r="R44" i="4"/>
  <c r="Q44" i="4"/>
  <c r="P44" i="4"/>
  <c r="O44" i="4"/>
  <c r="N44" i="4"/>
  <c r="A44" i="4"/>
  <c r="V43" i="4"/>
  <c r="U43" i="4"/>
  <c r="T43" i="4"/>
  <c r="S43" i="4"/>
  <c r="R43" i="4"/>
  <c r="Q43" i="4"/>
  <c r="P43" i="4"/>
  <c r="O43" i="4"/>
  <c r="N43" i="4"/>
  <c r="L43" i="4"/>
  <c r="K43" i="4"/>
  <c r="J43" i="4"/>
  <c r="I43" i="4"/>
  <c r="H43" i="4"/>
  <c r="G43" i="4"/>
  <c r="F43" i="4"/>
  <c r="E43" i="4"/>
  <c r="D43" i="4"/>
  <c r="C43" i="4"/>
  <c r="A43" i="4"/>
  <c r="V42" i="4"/>
  <c r="U42" i="4"/>
  <c r="T42" i="4"/>
  <c r="S42" i="4"/>
  <c r="R42" i="4"/>
  <c r="Q42" i="4"/>
  <c r="P42" i="4"/>
  <c r="O42" i="4"/>
  <c r="N42" i="4"/>
  <c r="L42" i="4"/>
  <c r="K42" i="4"/>
  <c r="J42" i="4"/>
  <c r="I42" i="4"/>
  <c r="H42" i="4"/>
  <c r="G42" i="4"/>
  <c r="F42" i="4"/>
  <c r="E42" i="4"/>
  <c r="D42" i="4"/>
  <c r="C42" i="4"/>
  <c r="A42" i="4"/>
  <c r="V41" i="4"/>
  <c r="U41" i="4"/>
  <c r="T41" i="4"/>
  <c r="S41" i="4"/>
  <c r="R41" i="4"/>
  <c r="Q41" i="4"/>
  <c r="P41" i="4"/>
  <c r="O41" i="4"/>
  <c r="N41" i="4"/>
  <c r="L41" i="4"/>
  <c r="K41" i="4"/>
  <c r="J41" i="4"/>
  <c r="I41" i="4"/>
  <c r="H41" i="4"/>
  <c r="G41" i="4"/>
  <c r="F41" i="4"/>
  <c r="E41" i="4"/>
  <c r="D41" i="4"/>
  <c r="C41" i="4"/>
  <c r="A41" i="4"/>
  <c r="V40" i="4"/>
  <c r="U40" i="4"/>
  <c r="T40" i="4"/>
  <c r="S40" i="4"/>
  <c r="R40" i="4"/>
  <c r="Q40" i="4"/>
  <c r="P40" i="4"/>
  <c r="O40" i="4"/>
  <c r="N40" i="4"/>
  <c r="A40" i="4"/>
  <c r="V39" i="4"/>
  <c r="U39" i="4"/>
  <c r="T39" i="4"/>
  <c r="S39" i="4"/>
  <c r="R39" i="4"/>
  <c r="Q39" i="4"/>
  <c r="P39" i="4"/>
  <c r="O39" i="4"/>
  <c r="N39" i="4"/>
  <c r="L39" i="4"/>
  <c r="K39" i="4"/>
  <c r="J39" i="4"/>
  <c r="I39" i="4"/>
  <c r="H39" i="4"/>
  <c r="G39" i="4"/>
  <c r="F39" i="4"/>
  <c r="E39" i="4"/>
  <c r="D39" i="4"/>
  <c r="C39" i="4"/>
  <c r="A39" i="4"/>
  <c r="V38" i="4"/>
  <c r="U38" i="4"/>
  <c r="T38" i="4"/>
  <c r="S38" i="4"/>
  <c r="R38" i="4"/>
  <c r="Q38" i="4"/>
  <c r="P38" i="4"/>
  <c r="O38" i="4"/>
  <c r="N38" i="4"/>
  <c r="A38" i="4"/>
  <c r="V37" i="4"/>
  <c r="U37" i="4"/>
  <c r="T37" i="4"/>
  <c r="S37" i="4"/>
  <c r="R37" i="4"/>
  <c r="Q37" i="4"/>
  <c r="P37" i="4"/>
  <c r="O37" i="4"/>
  <c r="N37" i="4"/>
  <c r="L37" i="4"/>
  <c r="K37" i="4"/>
  <c r="J37" i="4"/>
  <c r="I37" i="4"/>
  <c r="H37" i="4"/>
  <c r="G37" i="4"/>
  <c r="F37" i="4"/>
  <c r="E37" i="4"/>
  <c r="D37" i="4"/>
  <c r="C37" i="4"/>
  <c r="A37" i="4"/>
  <c r="V36" i="4"/>
  <c r="U36" i="4"/>
  <c r="T36" i="4"/>
  <c r="S36" i="4"/>
  <c r="R36" i="4"/>
  <c r="Q36" i="4"/>
  <c r="P36" i="4"/>
  <c r="O36" i="4"/>
  <c r="N36" i="4"/>
  <c r="C36" i="4"/>
  <c r="A36" i="4"/>
  <c r="V35" i="4"/>
  <c r="U35" i="4"/>
  <c r="T35" i="4"/>
  <c r="S35" i="4"/>
  <c r="R35" i="4"/>
  <c r="Q35" i="4"/>
  <c r="P35" i="4"/>
  <c r="O35" i="4"/>
  <c r="N35" i="4"/>
  <c r="A35" i="4"/>
  <c r="V34" i="4"/>
  <c r="U34" i="4"/>
  <c r="T34" i="4"/>
  <c r="S34" i="4"/>
  <c r="R34" i="4"/>
  <c r="Q34" i="4"/>
  <c r="P34" i="4"/>
  <c r="O34" i="4"/>
  <c r="N34" i="4"/>
  <c r="L34" i="4"/>
  <c r="K34" i="4"/>
  <c r="J34" i="4"/>
  <c r="I34" i="4"/>
  <c r="H34" i="4"/>
  <c r="G34" i="4"/>
  <c r="F34" i="4"/>
  <c r="E34" i="4"/>
  <c r="D34" i="4"/>
  <c r="C34" i="4"/>
  <c r="A34" i="4"/>
  <c r="V33" i="4"/>
  <c r="U33" i="4"/>
  <c r="T33" i="4"/>
  <c r="S33" i="4"/>
  <c r="R33" i="4"/>
  <c r="Q33" i="4"/>
  <c r="P33" i="4"/>
  <c r="O33" i="4"/>
  <c r="N33" i="4"/>
  <c r="L33" i="4"/>
  <c r="K33" i="4"/>
  <c r="J33" i="4"/>
  <c r="I33" i="4"/>
  <c r="H33" i="4"/>
  <c r="G33" i="4"/>
  <c r="F33" i="4"/>
  <c r="E33" i="4"/>
  <c r="D33" i="4"/>
  <c r="T32" i="4"/>
  <c r="S32" i="4"/>
  <c r="V31" i="4"/>
  <c r="U31" i="4"/>
  <c r="T31" i="4"/>
  <c r="S31" i="4"/>
  <c r="R31" i="4"/>
  <c r="Q31" i="4"/>
  <c r="P31" i="4"/>
  <c r="O31" i="4"/>
  <c r="N31" i="4"/>
  <c r="M31" i="4"/>
  <c r="J20" i="4"/>
  <c r="I20" i="4"/>
  <c r="H20" i="4"/>
  <c r="G20" i="4"/>
  <c r="J19" i="4"/>
  <c r="I19" i="4"/>
  <c r="H19" i="4"/>
  <c r="G19" i="4"/>
  <c r="J18" i="4"/>
  <c r="I18" i="4"/>
  <c r="H18" i="4"/>
  <c r="G18" i="4"/>
  <c r="J17" i="4"/>
  <c r="I17" i="4"/>
  <c r="H17" i="4"/>
  <c r="G17" i="4"/>
  <c r="J16" i="4"/>
  <c r="I16" i="4"/>
  <c r="H16" i="4"/>
  <c r="G16" i="4"/>
  <c r="J15" i="4"/>
  <c r="I15" i="4"/>
  <c r="H15" i="4"/>
  <c r="G15" i="4"/>
  <c r="J14" i="4"/>
  <c r="I14" i="4"/>
  <c r="H14" i="4"/>
  <c r="G14" i="4"/>
  <c r="J13" i="4"/>
  <c r="I13" i="4"/>
  <c r="H13" i="4"/>
  <c r="G13" i="4"/>
  <c r="J12" i="4"/>
  <c r="I12" i="4"/>
  <c r="H12" i="4"/>
  <c r="G12" i="4"/>
  <c r="J11" i="4"/>
  <c r="H11" i="4"/>
  <c r="G11" i="4"/>
  <c r="E7" i="4"/>
  <c r="B7" i="4"/>
  <c r="I11" i="4" s="1"/>
  <c r="C33" i="4" s="1"/>
  <c r="K169" i="2"/>
  <c r="J169" i="2"/>
  <c r="I169" i="2"/>
  <c r="H169" i="2"/>
  <c r="G169" i="2"/>
  <c r="L168" i="2"/>
  <c r="K168" i="2"/>
  <c r="J168" i="2"/>
  <c r="I168" i="2"/>
  <c r="H168" i="2"/>
  <c r="G168" i="2"/>
  <c r="F168" i="2"/>
  <c r="E168" i="2"/>
  <c r="D168" i="2"/>
  <c r="L167" i="2"/>
  <c r="K167" i="2"/>
  <c r="J167" i="2"/>
  <c r="I167" i="2"/>
  <c r="H167" i="2"/>
  <c r="G167" i="2"/>
  <c r="F167" i="2"/>
  <c r="E167" i="2"/>
  <c r="D167" i="2"/>
  <c r="L166" i="2"/>
  <c r="K166" i="2"/>
  <c r="J166" i="2"/>
  <c r="I166" i="2"/>
  <c r="H166" i="2"/>
  <c r="G166" i="2"/>
  <c r="F166" i="2"/>
  <c r="E166" i="2"/>
  <c r="D166" i="2"/>
  <c r="L165" i="2"/>
  <c r="K165" i="2"/>
  <c r="J165" i="2"/>
  <c r="I165" i="2"/>
  <c r="H165" i="2"/>
  <c r="G165" i="2"/>
  <c r="F165" i="2"/>
  <c r="E165" i="2"/>
  <c r="D165" i="2"/>
  <c r="L164" i="2"/>
  <c r="K164" i="2"/>
  <c r="J164" i="2"/>
  <c r="I164" i="2"/>
  <c r="H164" i="2"/>
  <c r="G164" i="2"/>
  <c r="F164" i="2"/>
  <c r="E164" i="2"/>
  <c r="D164" i="2"/>
  <c r="L163" i="2"/>
  <c r="K163" i="2"/>
  <c r="J163" i="2"/>
  <c r="I163" i="2"/>
  <c r="H163" i="2"/>
  <c r="G163" i="2"/>
  <c r="F163" i="2"/>
  <c r="E163" i="2"/>
  <c r="D163" i="2"/>
  <c r="K159" i="2"/>
  <c r="J159" i="2"/>
  <c r="I159" i="2"/>
  <c r="H159" i="2"/>
  <c r="G159" i="2"/>
  <c r="L158" i="2"/>
  <c r="K158" i="2"/>
  <c r="J158" i="2"/>
  <c r="I158" i="2"/>
  <c r="H158" i="2"/>
  <c r="G158" i="2"/>
  <c r="F158" i="2"/>
  <c r="E158" i="2"/>
  <c r="D158" i="2"/>
  <c r="L157" i="2"/>
  <c r="K157" i="2"/>
  <c r="J157" i="2"/>
  <c r="I157" i="2"/>
  <c r="H157" i="2"/>
  <c r="G157" i="2"/>
  <c r="F157" i="2"/>
  <c r="E157" i="2"/>
  <c r="D157" i="2"/>
  <c r="L156" i="2"/>
  <c r="K156" i="2"/>
  <c r="J156" i="2"/>
  <c r="I156" i="2"/>
  <c r="H156" i="2"/>
  <c r="G156" i="2"/>
  <c r="F156" i="2"/>
  <c r="E156" i="2"/>
  <c r="D156" i="2"/>
  <c r="L155" i="2"/>
  <c r="K155" i="2"/>
  <c r="J155" i="2"/>
  <c r="I155" i="2"/>
  <c r="H155" i="2"/>
  <c r="G155" i="2"/>
  <c r="F155" i="2"/>
  <c r="E155" i="2"/>
  <c r="D155" i="2"/>
  <c r="L154" i="2"/>
  <c r="K154" i="2"/>
  <c r="J154" i="2"/>
  <c r="I154" i="2"/>
  <c r="H154" i="2"/>
  <c r="G154" i="2"/>
  <c r="F154" i="2"/>
  <c r="E154" i="2"/>
  <c r="D154" i="2"/>
  <c r="L153" i="2"/>
  <c r="K153" i="2"/>
  <c r="J153" i="2"/>
  <c r="I153" i="2"/>
  <c r="H153" i="2"/>
  <c r="G153" i="2"/>
  <c r="F153" i="2"/>
  <c r="E153" i="2"/>
  <c r="D153" i="2"/>
  <c r="V105" i="2"/>
  <c r="U105" i="2"/>
  <c r="T105" i="2"/>
  <c r="S105" i="2"/>
  <c r="R105" i="2"/>
  <c r="Q105" i="2"/>
  <c r="P105" i="2"/>
  <c r="O105" i="2"/>
  <c r="N105" i="2"/>
  <c r="A105" i="2"/>
  <c r="V104" i="2"/>
  <c r="U104" i="2"/>
  <c r="T104" i="2"/>
  <c r="S104" i="2"/>
  <c r="R104" i="2"/>
  <c r="Q104" i="2"/>
  <c r="P104" i="2"/>
  <c r="O104" i="2"/>
  <c r="N104" i="2"/>
  <c r="A104" i="2"/>
  <c r="V103" i="2"/>
  <c r="U103" i="2"/>
  <c r="T103" i="2"/>
  <c r="S103" i="2"/>
  <c r="R103" i="2"/>
  <c r="Q103" i="2"/>
  <c r="P103" i="2"/>
  <c r="O103" i="2"/>
  <c r="N103" i="2"/>
  <c r="A103" i="2"/>
  <c r="V102" i="2"/>
  <c r="U102" i="2"/>
  <c r="T102" i="2"/>
  <c r="S102" i="2"/>
  <c r="R102" i="2"/>
  <c r="Q102" i="2"/>
  <c r="P102" i="2"/>
  <c r="O102" i="2"/>
  <c r="N102" i="2"/>
  <c r="A102" i="2"/>
  <c r="V101" i="2"/>
  <c r="U101" i="2"/>
  <c r="T101" i="2"/>
  <c r="S101" i="2"/>
  <c r="R101" i="2"/>
  <c r="Q101" i="2"/>
  <c r="P101" i="2"/>
  <c r="O101" i="2"/>
  <c r="N101" i="2"/>
  <c r="A101" i="2"/>
  <c r="V100" i="2"/>
  <c r="U100" i="2"/>
  <c r="T100" i="2"/>
  <c r="S100" i="2"/>
  <c r="R100" i="2"/>
  <c r="Q100" i="2"/>
  <c r="P100" i="2"/>
  <c r="O100" i="2"/>
  <c r="N100" i="2"/>
  <c r="A100" i="2"/>
  <c r="V99" i="2"/>
  <c r="U99" i="2"/>
  <c r="T99" i="2"/>
  <c r="S99" i="2"/>
  <c r="R99" i="2"/>
  <c r="Q99" i="2"/>
  <c r="P99" i="2"/>
  <c r="O99" i="2"/>
  <c r="N99" i="2"/>
  <c r="A99" i="2"/>
  <c r="V98" i="2"/>
  <c r="U98" i="2"/>
  <c r="T98" i="2"/>
  <c r="S98" i="2"/>
  <c r="R98" i="2"/>
  <c r="Q98" i="2"/>
  <c r="P98" i="2"/>
  <c r="O98" i="2"/>
  <c r="N98" i="2"/>
  <c r="A98" i="2"/>
  <c r="V97" i="2"/>
  <c r="U97" i="2"/>
  <c r="T97" i="2"/>
  <c r="S97" i="2"/>
  <c r="R97" i="2"/>
  <c r="Q97" i="2"/>
  <c r="P97" i="2"/>
  <c r="O97" i="2"/>
  <c r="N97" i="2"/>
  <c r="A97" i="2"/>
  <c r="V96" i="2"/>
  <c r="U96" i="2"/>
  <c r="T96" i="2"/>
  <c r="S96" i="2"/>
  <c r="R96" i="2"/>
  <c r="Q96" i="2"/>
  <c r="P96" i="2"/>
  <c r="O96" i="2"/>
  <c r="N96" i="2"/>
  <c r="A96" i="2"/>
  <c r="V95" i="2"/>
  <c r="U95" i="2"/>
  <c r="T95" i="2"/>
  <c r="S95" i="2"/>
  <c r="R95" i="2"/>
  <c r="Q95" i="2"/>
  <c r="P95" i="2"/>
  <c r="O95" i="2"/>
  <c r="N95" i="2"/>
  <c r="A95" i="2"/>
  <c r="V94" i="2"/>
  <c r="U94" i="2"/>
  <c r="T94" i="2"/>
  <c r="S94" i="2"/>
  <c r="R94" i="2"/>
  <c r="Q94" i="2"/>
  <c r="P94" i="2"/>
  <c r="O94" i="2"/>
  <c r="N94" i="2"/>
  <c r="A94" i="2"/>
  <c r="V93" i="2"/>
  <c r="U93" i="2"/>
  <c r="T93" i="2"/>
  <c r="S93" i="2"/>
  <c r="R93" i="2"/>
  <c r="Q93" i="2"/>
  <c r="P93" i="2"/>
  <c r="O93" i="2"/>
  <c r="N93" i="2"/>
  <c r="A93" i="2"/>
  <c r="V92" i="2"/>
  <c r="U92" i="2"/>
  <c r="T92" i="2"/>
  <c r="S92" i="2"/>
  <c r="R92" i="2"/>
  <c r="Q92" i="2"/>
  <c r="P92" i="2"/>
  <c r="O92" i="2"/>
  <c r="N92" i="2"/>
  <c r="A92" i="2"/>
  <c r="V91" i="2"/>
  <c r="U91" i="2"/>
  <c r="T91" i="2"/>
  <c r="S91" i="2"/>
  <c r="R91" i="2"/>
  <c r="Q91" i="2"/>
  <c r="P91" i="2"/>
  <c r="O91" i="2"/>
  <c r="N91" i="2"/>
  <c r="A91" i="2"/>
  <c r="V90" i="2"/>
  <c r="U90" i="2"/>
  <c r="T90" i="2"/>
  <c r="S90" i="2"/>
  <c r="R90" i="2"/>
  <c r="Q90" i="2"/>
  <c r="P90" i="2"/>
  <c r="O90" i="2"/>
  <c r="N90" i="2"/>
  <c r="A90" i="2"/>
  <c r="V89" i="2"/>
  <c r="U89" i="2"/>
  <c r="T89" i="2"/>
  <c r="S89" i="2"/>
  <c r="R89" i="2"/>
  <c r="Q89" i="2"/>
  <c r="P89" i="2"/>
  <c r="O89" i="2"/>
  <c r="N89" i="2"/>
  <c r="V88" i="2"/>
  <c r="U88" i="2"/>
  <c r="T88" i="2"/>
  <c r="S88" i="2"/>
  <c r="R88" i="2"/>
  <c r="Q88" i="2"/>
  <c r="P88" i="2"/>
  <c r="O88" i="2"/>
  <c r="N88" i="2"/>
  <c r="V87" i="2"/>
  <c r="U87" i="2"/>
  <c r="T87" i="2"/>
  <c r="S87" i="2"/>
  <c r="R87" i="2"/>
  <c r="Q87" i="2"/>
  <c r="P87" i="2"/>
  <c r="O87" i="2"/>
  <c r="N87" i="2"/>
  <c r="A87" i="2"/>
  <c r="V86" i="2"/>
  <c r="U86" i="2"/>
  <c r="T86" i="2"/>
  <c r="S86" i="2"/>
  <c r="R86" i="2"/>
  <c r="Q86" i="2"/>
  <c r="P86" i="2"/>
  <c r="O86" i="2"/>
  <c r="N86" i="2"/>
  <c r="A86" i="2"/>
  <c r="V85" i="2"/>
  <c r="U85" i="2"/>
  <c r="T85" i="2"/>
  <c r="S85" i="2"/>
  <c r="R85" i="2"/>
  <c r="Q85" i="2"/>
  <c r="P85" i="2"/>
  <c r="O85" i="2"/>
  <c r="N85" i="2"/>
  <c r="A85" i="2"/>
  <c r="V84" i="2"/>
  <c r="U84" i="2"/>
  <c r="T84" i="2"/>
  <c r="S84" i="2"/>
  <c r="R84" i="2"/>
  <c r="Q84" i="2"/>
  <c r="P84" i="2"/>
  <c r="O84" i="2"/>
  <c r="N84" i="2"/>
  <c r="A84" i="2"/>
  <c r="V83" i="2"/>
  <c r="U83" i="2"/>
  <c r="T83" i="2"/>
  <c r="S83" i="2"/>
  <c r="R83" i="2"/>
  <c r="Q83" i="2"/>
  <c r="P83" i="2"/>
  <c r="O83" i="2"/>
  <c r="N83" i="2"/>
  <c r="A83" i="2"/>
  <c r="V82" i="2"/>
  <c r="U82" i="2"/>
  <c r="T82" i="2"/>
  <c r="S82" i="2"/>
  <c r="R82" i="2"/>
  <c r="Q82" i="2"/>
  <c r="P82" i="2"/>
  <c r="O82" i="2"/>
  <c r="N82" i="2"/>
  <c r="L82" i="2"/>
  <c r="K82" i="2"/>
  <c r="J82" i="2"/>
  <c r="I82" i="2"/>
  <c r="H82" i="2"/>
  <c r="G82" i="2"/>
  <c r="F82" i="2"/>
  <c r="A82" i="2"/>
  <c r="V81" i="2"/>
  <c r="U81" i="2"/>
  <c r="T81" i="2"/>
  <c r="S81" i="2"/>
  <c r="R81" i="2"/>
  <c r="Q81" i="2"/>
  <c r="P81" i="2"/>
  <c r="O81" i="2"/>
  <c r="N81" i="2"/>
  <c r="A81" i="2"/>
  <c r="V80" i="2"/>
  <c r="U80" i="2"/>
  <c r="T80" i="2"/>
  <c r="S80" i="2"/>
  <c r="R80" i="2"/>
  <c r="Q80" i="2"/>
  <c r="P80" i="2"/>
  <c r="O80" i="2"/>
  <c r="N80" i="2"/>
  <c r="A80" i="2"/>
  <c r="V79" i="2"/>
  <c r="U79" i="2"/>
  <c r="T79" i="2"/>
  <c r="S79" i="2"/>
  <c r="R79" i="2"/>
  <c r="Q79" i="2"/>
  <c r="P79" i="2"/>
  <c r="O79" i="2"/>
  <c r="N79" i="2"/>
  <c r="A79" i="2"/>
  <c r="V78" i="2"/>
  <c r="U78" i="2"/>
  <c r="T78" i="2"/>
  <c r="S78" i="2"/>
  <c r="R78" i="2"/>
  <c r="Q78" i="2"/>
  <c r="P78" i="2"/>
  <c r="O78" i="2"/>
  <c r="N78" i="2"/>
  <c r="A78" i="2"/>
  <c r="V77" i="2"/>
  <c r="U77" i="2"/>
  <c r="T77" i="2"/>
  <c r="S77" i="2"/>
  <c r="R77" i="2"/>
  <c r="Q77" i="2"/>
  <c r="P77" i="2"/>
  <c r="O77" i="2"/>
  <c r="N77" i="2"/>
  <c r="A77" i="2"/>
  <c r="V76" i="2"/>
  <c r="U76" i="2"/>
  <c r="T76" i="2"/>
  <c r="S76" i="2"/>
  <c r="R76" i="2"/>
  <c r="Q76" i="2"/>
  <c r="P76" i="2"/>
  <c r="O76" i="2"/>
  <c r="N76" i="2"/>
  <c r="A76" i="2"/>
  <c r="V75" i="2"/>
  <c r="U75" i="2"/>
  <c r="T75" i="2"/>
  <c r="S75" i="2"/>
  <c r="R75" i="2"/>
  <c r="Q75" i="2"/>
  <c r="P75" i="2"/>
  <c r="O75" i="2"/>
  <c r="N75" i="2"/>
  <c r="A75" i="2"/>
  <c r="V74" i="2"/>
  <c r="U74" i="2"/>
  <c r="T74" i="2"/>
  <c r="S74" i="2"/>
  <c r="R74" i="2"/>
  <c r="Q74" i="2"/>
  <c r="P74" i="2"/>
  <c r="O74" i="2"/>
  <c r="N74" i="2"/>
  <c r="A74" i="2"/>
  <c r="V73" i="2"/>
  <c r="U73" i="2"/>
  <c r="T73" i="2"/>
  <c r="S73" i="2"/>
  <c r="R73" i="2"/>
  <c r="Q73" i="2"/>
  <c r="P73" i="2"/>
  <c r="O73" i="2"/>
  <c r="N73" i="2"/>
  <c r="A73" i="2"/>
  <c r="V72" i="2"/>
  <c r="U72" i="2"/>
  <c r="T72" i="2"/>
  <c r="S72" i="2"/>
  <c r="R72" i="2"/>
  <c r="Q72" i="2"/>
  <c r="P72" i="2"/>
  <c r="O72" i="2"/>
  <c r="N72" i="2"/>
  <c r="A72" i="2"/>
  <c r="V71" i="2"/>
  <c r="U71" i="2"/>
  <c r="T71" i="2"/>
  <c r="S71" i="2"/>
  <c r="R71" i="2"/>
  <c r="Q71" i="2"/>
  <c r="P71" i="2"/>
  <c r="O71" i="2"/>
  <c r="N71" i="2"/>
  <c r="L71" i="2"/>
  <c r="K71" i="2"/>
  <c r="J71" i="2"/>
  <c r="I71" i="2"/>
  <c r="H71" i="2"/>
  <c r="G71" i="2"/>
  <c r="F71" i="2"/>
  <c r="E71" i="2"/>
  <c r="D71" i="2"/>
  <c r="C71" i="2"/>
  <c r="A71" i="2"/>
  <c r="V70" i="2"/>
  <c r="U70" i="2"/>
  <c r="T70" i="2"/>
  <c r="S70" i="2"/>
  <c r="R70" i="2"/>
  <c r="Q70" i="2"/>
  <c r="P70" i="2"/>
  <c r="O70" i="2"/>
  <c r="N70" i="2"/>
  <c r="A70" i="2"/>
  <c r="V69" i="2"/>
  <c r="U69" i="2"/>
  <c r="T69" i="2"/>
  <c r="C69" i="2"/>
  <c r="A69" i="2"/>
  <c r="V68" i="2"/>
  <c r="U68" i="2"/>
  <c r="T68" i="2"/>
  <c r="S68" i="2"/>
  <c r="R68" i="2"/>
  <c r="Q68" i="2"/>
  <c r="P68" i="2"/>
  <c r="O68" i="2"/>
  <c r="N68" i="2"/>
  <c r="C68" i="2"/>
  <c r="A68" i="2"/>
  <c r="V67" i="2"/>
  <c r="U67" i="2"/>
  <c r="T67" i="2"/>
  <c r="S67" i="2"/>
  <c r="R67" i="2"/>
  <c r="Q67" i="2"/>
  <c r="P67" i="2"/>
  <c r="O67" i="2"/>
  <c r="N67" i="2"/>
  <c r="A67" i="2"/>
  <c r="V66" i="2"/>
  <c r="U66" i="2"/>
  <c r="T66" i="2"/>
  <c r="S66" i="2"/>
  <c r="R66" i="2"/>
  <c r="Q66" i="2"/>
  <c r="P66" i="2"/>
  <c r="O66" i="2"/>
  <c r="N66" i="2"/>
  <c r="A66" i="2"/>
  <c r="V65" i="2"/>
  <c r="U65" i="2"/>
  <c r="T65" i="2"/>
  <c r="C65" i="2"/>
  <c r="A65" i="2"/>
  <c r="V64" i="2"/>
  <c r="U64" i="2"/>
  <c r="T64" i="2"/>
  <c r="S64" i="2"/>
  <c r="R64" i="2"/>
  <c r="Q64" i="2"/>
  <c r="P64" i="2"/>
  <c r="O64" i="2"/>
  <c r="N64" i="2"/>
  <c r="C64" i="2"/>
  <c r="A64" i="2"/>
  <c r="V63" i="2"/>
  <c r="U63" i="2"/>
  <c r="T63" i="2"/>
  <c r="S63" i="2"/>
  <c r="R63" i="2"/>
  <c r="Q63" i="2"/>
  <c r="P63" i="2"/>
  <c r="O63" i="2"/>
  <c r="N63" i="2"/>
  <c r="A63" i="2"/>
  <c r="V62" i="2"/>
  <c r="U62" i="2"/>
  <c r="T62" i="2"/>
  <c r="S62" i="2"/>
  <c r="R62" i="2"/>
  <c r="Q62" i="2"/>
  <c r="P62" i="2"/>
  <c r="O62" i="2"/>
  <c r="N62" i="2"/>
  <c r="A62" i="2"/>
  <c r="V61" i="2"/>
  <c r="U61" i="2"/>
  <c r="T61" i="2"/>
  <c r="S61" i="2"/>
  <c r="R61" i="2"/>
  <c r="Q61" i="2"/>
  <c r="P61" i="2"/>
  <c r="O61" i="2"/>
  <c r="N61" i="2"/>
  <c r="A61" i="2"/>
  <c r="V60" i="2"/>
  <c r="U60" i="2"/>
  <c r="T60" i="2"/>
  <c r="S60" i="2"/>
  <c r="R60" i="2"/>
  <c r="Q60" i="2"/>
  <c r="P60" i="2"/>
  <c r="O60" i="2"/>
  <c r="N60" i="2"/>
  <c r="A60" i="2"/>
  <c r="V59" i="2"/>
  <c r="U59" i="2"/>
  <c r="T59" i="2"/>
  <c r="S59" i="2"/>
  <c r="R59" i="2"/>
  <c r="Q59" i="2"/>
  <c r="P59" i="2"/>
  <c r="O59" i="2"/>
  <c r="N59" i="2"/>
  <c r="A59" i="2"/>
  <c r="V58" i="2"/>
  <c r="U58" i="2"/>
  <c r="T58" i="2"/>
  <c r="S58" i="2"/>
  <c r="R58" i="2"/>
  <c r="Q58" i="2"/>
  <c r="P58" i="2"/>
  <c r="O58" i="2"/>
  <c r="N58" i="2"/>
  <c r="C58" i="2"/>
  <c r="A58" i="2"/>
  <c r="V57" i="2"/>
  <c r="U57" i="2"/>
  <c r="T57" i="2"/>
  <c r="S57" i="2"/>
  <c r="R57" i="2"/>
  <c r="Q57" i="2"/>
  <c r="P57" i="2"/>
  <c r="O57" i="2"/>
  <c r="N57" i="2"/>
  <c r="C57" i="2"/>
  <c r="A57" i="2"/>
  <c r="V56" i="2"/>
  <c r="U56" i="2"/>
  <c r="T56" i="2"/>
  <c r="S56" i="2"/>
  <c r="R56" i="2"/>
  <c r="Q56" i="2"/>
  <c r="P56" i="2"/>
  <c r="O56" i="2"/>
  <c r="N56" i="2"/>
  <c r="A56" i="2"/>
  <c r="V55" i="2"/>
  <c r="U55" i="2"/>
  <c r="T55" i="2"/>
  <c r="S55" i="2"/>
  <c r="R55" i="2"/>
  <c r="Q55" i="2"/>
  <c r="P55" i="2"/>
  <c r="O55" i="2"/>
  <c r="N55" i="2"/>
  <c r="A55" i="2"/>
  <c r="V54" i="2"/>
  <c r="U54" i="2"/>
  <c r="T54" i="2"/>
  <c r="S54" i="2"/>
  <c r="R54" i="2"/>
  <c r="Q54" i="2"/>
  <c r="P54" i="2"/>
  <c r="O54" i="2"/>
  <c r="N54" i="2"/>
  <c r="C54" i="2"/>
  <c r="A54" i="2"/>
  <c r="V53" i="2"/>
  <c r="U53" i="2"/>
  <c r="T53" i="2"/>
  <c r="S53" i="2"/>
  <c r="R53" i="2"/>
  <c r="Q53" i="2"/>
  <c r="P53" i="2"/>
  <c r="O53" i="2"/>
  <c r="N53" i="2"/>
  <c r="L53" i="2"/>
  <c r="K53" i="2"/>
  <c r="J53" i="2"/>
  <c r="I53" i="2"/>
  <c r="H53" i="2"/>
  <c r="G53" i="2"/>
  <c r="F53" i="2"/>
  <c r="E53" i="2"/>
  <c r="D53" i="2"/>
  <c r="C53" i="2"/>
  <c r="A53" i="2"/>
  <c r="V52" i="2"/>
  <c r="U52" i="2"/>
  <c r="T52" i="2"/>
  <c r="S52" i="2"/>
  <c r="R52" i="2"/>
  <c r="Q52" i="2"/>
  <c r="P52" i="2"/>
  <c r="O52" i="2"/>
  <c r="N52" i="2"/>
  <c r="L52" i="2"/>
  <c r="K52" i="2"/>
  <c r="J52" i="2"/>
  <c r="I52" i="2"/>
  <c r="H52" i="2"/>
  <c r="G52" i="2"/>
  <c r="F52" i="2"/>
  <c r="E52" i="2"/>
  <c r="D52" i="2"/>
  <c r="C52" i="2"/>
  <c r="A52" i="2"/>
  <c r="V51" i="2"/>
  <c r="U51" i="2"/>
  <c r="T51" i="2"/>
  <c r="S51" i="2"/>
  <c r="R51" i="2"/>
  <c r="Q51" i="2"/>
  <c r="P51" i="2"/>
  <c r="O51" i="2"/>
  <c r="N51" i="2"/>
  <c r="A51" i="2"/>
  <c r="V50" i="2"/>
  <c r="U50" i="2"/>
  <c r="T50" i="2"/>
  <c r="S50" i="2"/>
  <c r="R50" i="2"/>
  <c r="Q50" i="2"/>
  <c r="P50" i="2"/>
  <c r="O50" i="2"/>
  <c r="N50" i="2"/>
  <c r="A50" i="2"/>
  <c r="V49" i="2"/>
  <c r="U49" i="2"/>
  <c r="T49" i="2"/>
  <c r="S49" i="2"/>
  <c r="R49" i="2"/>
  <c r="Q49" i="2"/>
  <c r="P49" i="2"/>
  <c r="O49" i="2"/>
  <c r="N49" i="2"/>
  <c r="I49" i="2"/>
  <c r="H49" i="2"/>
  <c r="F49" i="2"/>
  <c r="E49" i="2"/>
  <c r="A49" i="2"/>
  <c r="V48" i="2"/>
  <c r="U48" i="2"/>
  <c r="T48" i="2"/>
  <c r="S48" i="2"/>
  <c r="R48" i="2"/>
  <c r="Q48" i="2"/>
  <c r="P48" i="2"/>
  <c r="O48" i="2"/>
  <c r="N48" i="2"/>
  <c r="A48" i="2"/>
  <c r="V47" i="2"/>
  <c r="U47" i="2"/>
  <c r="T47" i="2"/>
  <c r="S47" i="2"/>
  <c r="R47" i="2"/>
  <c r="Q47" i="2"/>
  <c r="P47" i="2"/>
  <c r="O47" i="2"/>
  <c r="N47" i="2"/>
  <c r="A47" i="2"/>
  <c r="V46" i="2"/>
  <c r="U46" i="2"/>
  <c r="T46" i="2"/>
  <c r="S46" i="2"/>
  <c r="R46" i="2"/>
  <c r="Q46" i="2"/>
  <c r="P46" i="2"/>
  <c r="O46" i="2"/>
  <c r="N46" i="2"/>
  <c r="A46" i="2"/>
  <c r="V45" i="2"/>
  <c r="U45" i="2"/>
  <c r="T45" i="2"/>
  <c r="S45" i="2"/>
  <c r="R45" i="2"/>
  <c r="Q45" i="2"/>
  <c r="P45" i="2"/>
  <c r="O45" i="2"/>
  <c r="N45" i="2"/>
  <c r="A45" i="2"/>
  <c r="V44" i="2"/>
  <c r="U44" i="2"/>
  <c r="T44" i="2"/>
  <c r="S44" i="2"/>
  <c r="R44" i="2"/>
  <c r="Q44" i="2"/>
  <c r="P44" i="2"/>
  <c r="O44" i="2"/>
  <c r="N44" i="2"/>
  <c r="A44" i="2"/>
  <c r="V43" i="2"/>
  <c r="U43" i="2"/>
  <c r="T43" i="2"/>
  <c r="S43" i="2"/>
  <c r="R43" i="2"/>
  <c r="Q43" i="2"/>
  <c r="P43" i="2"/>
  <c r="O43" i="2"/>
  <c r="N43" i="2"/>
  <c r="L43" i="2"/>
  <c r="K43" i="2"/>
  <c r="J43" i="2"/>
  <c r="I43" i="2"/>
  <c r="H43" i="2"/>
  <c r="G43" i="2"/>
  <c r="F43" i="2"/>
  <c r="E43" i="2"/>
  <c r="D43" i="2"/>
  <c r="C43" i="2"/>
  <c r="A43" i="2"/>
  <c r="V42" i="2"/>
  <c r="U42" i="2"/>
  <c r="T42" i="2"/>
  <c r="S42" i="2"/>
  <c r="R42" i="2"/>
  <c r="Q42" i="2"/>
  <c r="P42" i="2"/>
  <c r="O42" i="2"/>
  <c r="N42" i="2"/>
  <c r="L42" i="2"/>
  <c r="K42" i="2"/>
  <c r="J42" i="2"/>
  <c r="I42" i="2"/>
  <c r="H42" i="2"/>
  <c r="G42" i="2"/>
  <c r="F42" i="2"/>
  <c r="E42" i="2"/>
  <c r="D42" i="2"/>
  <c r="C42" i="2"/>
  <c r="A42" i="2"/>
  <c r="V41" i="2"/>
  <c r="U41" i="2"/>
  <c r="T41" i="2"/>
  <c r="S41" i="2"/>
  <c r="R41" i="2"/>
  <c r="Q41" i="2"/>
  <c r="P41" i="2"/>
  <c r="O41" i="2"/>
  <c r="N41" i="2"/>
  <c r="L41" i="2"/>
  <c r="K41" i="2"/>
  <c r="J41" i="2"/>
  <c r="I41" i="2"/>
  <c r="H41" i="2"/>
  <c r="G41" i="2"/>
  <c r="F41" i="2"/>
  <c r="E41" i="2"/>
  <c r="D41" i="2"/>
  <c r="C41" i="2"/>
  <c r="A41" i="2"/>
  <c r="V40" i="2"/>
  <c r="U40" i="2"/>
  <c r="T40" i="2"/>
  <c r="S40" i="2"/>
  <c r="R40" i="2"/>
  <c r="Q40" i="2"/>
  <c r="P40" i="2"/>
  <c r="O40" i="2"/>
  <c r="N40" i="2"/>
  <c r="A40" i="2"/>
  <c r="V39" i="2"/>
  <c r="U39" i="2"/>
  <c r="T39" i="2"/>
  <c r="S39" i="2"/>
  <c r="R39" i="2"/>
  <c r="Q39" i="2"/>
  <c r="P39" i="2"/>
  <c r="O39" i="2"/>
  <c r="N39" i="2"/>
  <c r="L39" i="2"/>
  <c r="K39" i="2"/>
  <c r="J39" i="2"/>
  <c r="I39" i="2"/>
  <c r="H39" i="2"/>
  <c r="G39" i="2"/>
  <c r="F39" i="2"/>
  <c r="E39" i="2"/>
  <c r="D39" i="2"/>
  <c r="C39" i="2"/>
  <c r="A39" i="2"/>
  <c r="V38" i="2"/>
  <c r="U38" i="2"/>
  <c r="T38" i="2"/>
  <c r="S38" i="2"/>
  <c r="R38" i="2"/>
  <c r="Q38" i="2"/>
  <c r="P38" i="2"/>
  <c r="O38" i="2"/>
  <c r="N38" i="2"/>
  <c r="A38" i="2"/>
  <c r="V37" i="2"/>
  <c r="U37" i="2"/>
  <c r="T37" i="2"/>
  <c r="S37" i="2"/>
  <c r="R37" i="2"/>
  <c r="Q37" i="2"/>
  <c r="P37" i="2"/>
  <c r="O37" i="2"/>
  <c r="N37" i="2"/>
  <c r="L37" i="2"/>
  <c r="K37" i="2"/>
  <c r="J37" i="2"/>
  <c r="I37" i="2"/>
  <c r="C37" i="2"/>
  <c r="A37" i="2"/>
  <c r="V36" i="2"/>
  <c r="U36" i="2"/>
  <c r="T36" i="2"/>
  <c r="S36" i="2"/>
  <c r="R36" i="2"/>
  <c r="Q36" i="2"/>
  <c r="P36" i="2"/>
  <c r="O36" i="2"/>
  <c r="N36" i="2"/>
  <c r="I36" i="2"/>
  <c r="C36" i="2"/>
  <c r="A36" i="2"/>
  <c r="V35" i="2"/>
  <c r="U35" i="2"/>
  <c r="T35" i="2"/>
  <c r="S35" i="2"/>
  <c r="R35" i="2"/>
  <c r="Q35" i="2"/>
  <c r="P35" i="2"/>
  <c r="O35" i="2"/>
  <c r="N35" i="2"/>
  <c r="A35" i="2"/>
  <c r="V34" i="2"/>
  <c r="U34" i="2"/>
  <c r="T34" i="2"/>
  <c r="S34" i="2"/>
  <c r="R34" i="2"/>
  <c r="Q34" i="2"/>
  <c r="P34" i="2"/>
  <c r="O34" i="2"/>
  <c r="N34" i="2"/>
  <c r="L34" i="2"/>
  <c r="K34" i="2"/>
  <c r="J34" i="2"/>
  <c r="I34" i="2"/>
  <c r="H34" i="2"/>
  <c r="G34" i="2"/>
  <c r="F34" i="2"/>
  <c r="E34" i="2"/>
  <c r="D34" i="2"/>
  <c r="C34" i="2"/>
  <c r="A34" i="2"/>
  <c r="V33" i="2"/>
  <c r="U33" i="2"/>
  <c r="T33" i="2"/>
  <c r="S33" i="2"/>
  <c r="R33" i="2"/>
  <c r="Q33" i="2"/>
  <c r="P33" i="2"/>
  <c r="O33" i="2"/>
  <c r="N33" i="2"/>
  <c r="L33" i="2"/>
  <c r="K33" i="2"/>
  <c r="J33" i="2"/>
  <c r="I33" i="2"/>
  <c r="H33" i="2"/>
  <c r="G33" i="2"/>
  <c r="F33" i="2"/>
  <c r="E33" i="2"/>
  <c r="D33" i="2"/>
  <c r="T32" i="2"/>
  <c r="S32" i="2"/>
  <c r="V31" i="2"/>
  <c r="U31" i="2"/>
  <c r="T31" i="2"/>
  <c r="S31" i="2"/>
  <c r="R31" i="2"/>
  <c r="Q31" i="2"/>
  <c r="P31" i="2"/>
  <c r="O31" i="2"/>
  <c r="N31" i="2"/>
  <c r="M31" i="2"/>
  <c r="J20" i="2"/>
  <c r="I20" i="2"/>
  <c r="H20" i="2"/>
  <c r="G20" i="2"/>
  <c r="J19" i="2"/>
  <c r="I19" i="2"/>
  <c r="H19" i="2"/>
  <c r="G19" i="2"/>
  <c r="J18" i="2"/>
  <c r="I18" i="2"/>
  <c r="H18" i="2"/>
  <c r="G18" i="2"/>
  <c r="J17" i="2"/>
  <c r="I17" i="2"/>
  <c r="H17" i="2"/>
  <c r="G17" i="2"/>
  <c r="J16" i="2"/>
  <c r="I16" i="2"/>
  <c r="H16" i="2"/>
  <c r="G16" i="2"/>
  <c r="J15" i="2"/>
  <c r="I15" i="2"/>
  <c r="H15" i="2"/>
  <c r="G15" i="2"/>
  <c r="J14" i="2"/>
  <c r="I14" i="2"/>
  <c r="H14" i="2"/>
  <c r="G14" i="2"/>
  <c r="J13" i="2"/>
  <c r="I13" i="2"/>
  <c r="H13" i="2"/>
  <c r="G13" i="2"/>
  <c r="J12" i="2"/>
  <c r="I12" i="2"/>
  <c r="H12" i="2"/>
  <c r="G12" i="2"/>
  <c r="J11" i="2"/>
  <c r="H11" i="2"/>
  <c r="G11" i="2"/>
  <c r="E7" i="2"/>
  <c r="B7" i="2"/>
  <c r="I11" i="2" s="1"/>
  <c r="C33" i="2" s="1"/>
  <c r="V105" i="88"/>
  <c r="U105" i="88"/>
  <c r="T105" i="88"/>
  <c r="S105" i="88"/>
  <c r="R105" i="88"/>
  <c r="Q105" i="88"/>
  <c r="P105" i="88"/>
  <c r="O105" i="88"/>
  <c r="N105" i="88"/>
  <c r="A105" i="88"/>
  <c r="V104" i="88"/>
  <c r="U104" i="88"/>
  <c r="T104" i="88"/>
  <c r="S104" i="88"/>
  <c r="R104" i="88"/>
  <c r="Q104" i="88"/>
  <c r="P104" i="88"/>
  <c r="O104" i="88"/>
  <c r="N104" i="88"/>
  <c r="A104" i="88"/>
  <c r="V103" i="88"/>
  <c r="U103" i="88"/>
  <c r="T103" i="88"/>
  <c r="S103" i="88"/>
  <c r="R103" i="88"/>
  <c r="Q103" i="88"/>
  <c r="P103" i="88"/>
  <c r="O103" i="88"/>
  <c r="N103" i="88"/>
  <c r="A103" i="88"/>
  <c r="V102" i="88"/>
  <c r="U102" i="88"/>
  <c r="T102" i="88"/>
  <c r="S102" i="88"/>
  <c r="R102" i="88"/>
  <c r="Q102" i="88"/>
  <c r="P102" i="88"/>
  <c r="O102" i="88"/>
  <c r="N102" i="88"/>
  <c r="A102" i="88"/>
  <c r="V101" i="88"/>
  <c r="U101" i="88"/>
  <c r="T101" i="88"/>
  <c r="S101" i="88"/>
  <c r="R101" i="88"/>
  <c r="Q101" i="88"/>
  <c r="P101" i="88"/>
  <c r="O101" i="88"/>
  <c r="N101" i="88"/>
  <c r="A101" i="88"/>
  <c r="V100" i="88"/>
  <c r="U100" i="88"/>
  <c r="T100" i="88"/>
  <c r="S100" i="88"/>
  <c r="R100" i="88"/>
  <c r="Q100" i="88"/>
  <c r="P100" i="88"/>
  <c r="O100" i="88"/>
  <c r="N100" i="88"/>
  <c r="A100" i="88"/>
  <c r="V99" i="88"/>
  <c r="U99" i="88"/>
  <c r="T99" i="88"/>
  <c r="S99" i="88"/>
  <c r="R99" i="88"/>
  <c r="Q99" i="88"/>
  <c r="P99" i="88"/>
  <c r="O99" i="88"/>
  <c r="N99" i="88"/>
  <c r="A99" i="88"/>
  <c r="V98" i="88"/>
  <c r="U98" i="88"/>
  <c r="T98" i="88"/>
  <c r="S98" i="88"/>
  <c r="R98" i="88"/>
  <c r="Q98" i="88"/>
  <c r="P98" i="88"/>
  <c r="O98" i="88"/>
  <c r="N98" i="88"/>
  <c r="A98" i="88"/>
  <c r="V97" i="88"/>
  <c r="U97" i="88"/>
  <c r="T97" i="88"/>
  <c r="S97" i="88"/>
  <c r="R97" i="88"/>
  <c r="Q97" i="88"/>
  <c r="P97" i="88"/>
  <c r="O97" i="88"/>
  <c r="N97" i="88"/>
  <c r="A97" i="88"/>
  <c r="V96" i="88"/>
  <c r="U96" i="88"/>
  <c r="T96" i="88"/>
  <c r="S96" i="88"/>
  <c r="R96" i="88"/>
  <c r="Q96" i="88"/>
  <c r="P96" i="88"/>
  <c r="O96" i="88"/>
  <c r="N96" i="88"/>
  <c r="A96" i="88"/>
  <c r="V95" i="88"/>
  <c r="U95" i="88"/>
  <c r="T95" i="88"/>
  <c r="S95" i="88"/>
  <c r="R95" i="88"/>
  <c r="Q95" i="88"/>
  <c r="P95" i="88"/>
  <c r="O95" i="88"/>
  <c r="N95" i="88"/>
  <c r="A95" i="88"/>
  <c r="V94" i="88"/>
  <c r="U94" i="88"/>
  <c r="T94" i="88"/>
  <c r="S94" i="88"/>
  <c r="R94" i="88"/>
  <c r="Q94" i="88"/>
  <c r="P94" i="88"/>
  <c r="O94" i="88"/>
  <c r="N94" i="88"/>
  <c r="A94" i="88"/>
  <c r="V93" i="88"/>
  <c r="U93" i="88"/>
  <c r="T93" i="88"/>
  <c r="S93" i="88"/>
  <c r="R93" i="88"/>
  <c r="Q93" i="88"/>
  <c r="P93" i="88"/>
  <c r="O93" i="88"/>
  <c r="N93" i="88"/>
  <c r="A93" i="88"/>
  <c r="V92" i="88"/>
  <c r="U92" i="88"/>
  <c r="T92" i="88"/>
  <c r="S92" i="88"/>
  <c r="R92" i="88"/>
  <c r="Q92" i="88"/>
  <c r="P92" i="88"/>
  <c r="O92" i="88"/>
  <c r="N92" i="88"/>
  <c r="A92" i="88"/>
  <c r="V91" i="88"/>
  <c r="U91" i="88"/>
  <c r="T91" i="88"/>
  <c r="S91" i="88"/>
  <c r="R91" i="88"/>
  <c r="Q91" i="88"/>
  <c r="P91" i="88"/>
  <c r="O91" i="88"/>
  <c r="N91" i="88"/>
  <c r="A91" i="88"/>
  <c r="V90" i="88"/>
  <c r="U90" i="88"/>
  <c r="T90" i="88"/>
  <c r="S90" i="88"/>
  <c r="R90" i="88"/>
  <c r="Q90" i="88"/>
  <c r="P90" i="88"/>
  <c r="O90" i="88"/>
  <c r="N90" i="88"/>
  <c r="A90" i="88"/>
  <c r="V89" i="88"/>
  <c r="U89" i="88"/>
  <c r="T89" i="88"/>
  <c r="S89" i="88"/>
  <c r="R89" i="88"/>
  <c r="Q89" i="88"/>
  <c r="P89" i="88"/>
  <c r="O89" i="88"/>
  <c r="N89" i="88"/>
  <c r="V88" i="88"/>
  <c r="U88" i="88"/>
  <c r="T88" i="88"/>
  <c r="S88" i="88"/>
  <c r="R88" i="88"/>
  <c r="Q88" i="88"/>
  <c r="P88" i="88"/>
  <c r="O88" i="88"/>
  <c r="N88" i="88"/>
  <c r="V87" i="88"/>
  <c r="U87" i="88"/>
  <c r="T87" i="88"/>
  <c r="S87" i="88"/>
  <c r="R87" i="88"/>
  <c r="Q87" i="88"/>
  <c r="P87" i="88"/>
  <c r="O87" i="88"/>
  <c r="N87" i="88"/>
  <c r="A87" i="88"/>
  <c r="V86" i="88"/>
  <c r="U86" i="88"/>
  <c r="T86" i="88"/>
  <c r="S86" i="88"/>
  <c r="R86" i="88"/>
  <c r="Q86" i="88"/>
  <c r="P86" i="88"/>
  <c r="O86" i="88"/>
  <c r="N86" i="88"/>
  <c r="A86" i="88"/>
  <c r="V85" i="88"/>
  <c r="U85" i="88"/>
  <c r="T85" i="88"/>
  <c r="S85" i="88"/>
  <c r="R85" i="88"/>
  <c r="Q85" i="88"/>
  <c r="P85" i="88"/>
  <c r="O85" i="88"/>
  <c r="N85" i="88"/>
  <c r="A85" i="88"/>
  <c r="V84" i="88"/>
  <c r="U84" i="88"/>
  <c r="T84" i="88"/>
  <c r="S84" i="88"/>
  <c r="R84" i="88"/>
  <c r="Q84" i="88"/>
  <c r="P84" i="88"/>
  <c r="O84" i="88"/>
  <c r="N84" i="88"/>
  <c r="A84" i="88"/>
  <c r="V83" i="88"/>
  <c r="U83" i="88"/>
  <c r="T83" i="88"/>
  <c r="S83" i="88"/>
  <c r="R83" i="88"/>
  <c r="Q83" i="88"/>
  <c r="P83" i="88"/>
  <c r="O83" i="88"/>
  <c r="N83" i="88"/>
  <c r="A83" i="88"/>
  <c r="V82" i="88"/>
  <c r="U82" i="88"/>
  <c r="T82" i="88"/>
  <c r="S82" i="88"/>
  <c r="R82" i="88"/>
  <c r="Q82" i="88"/>
  <c r="P82" i="88"/>
  <c r="O82" i="88"/>
  <c r="N82" i="88"/>
  <c r="L82" i="88"/>
  <c r="K82" i="88"/>
  <c r="J82" i="88"/>
  <c r="I82" i="88"/>
  <c r="H82" i="88"/>
  <c r="G82" i="88"/>
  <c r="F82" i="88"/>
  <c r="A82" i="88"/>
  <c r="V81" i="88"/>
  <c r="U81" i="88"/>
  <c r="T81" i="88"/>
  <c r="S81" i="88"/>
  <c r="R81" i="88"/>
  <c r="Q81" i="88"/>
  <c r="P81" i="88"/>
  <c r="O81" i="88"/>
  <c r="N81" i="88"/>
  <c r="A81" i="88"/>
  <c r="V80" i="88"/>
  <c r="U80" i="88"/>
  <c r="T80" i="88"/>
  <c r="S80" i="88"/>
  <c r="R80" i="88"/>
  <c r="Q80" i="88"/>
  <c r="P80" i="88"/>
  <c r="O80" i="88"/>
  <c r="N80" i="88"/>
  <c r="A80" i="88"/>
  <c r="V79" i="88"/>
  <c r="U79" i="88"/>
  <c r="T79" i="88"/>
  <c r="S79" i="88"/>
  <c r="R79" i="88"/>
  <c r="Q79" i="88"/>
  <c r="P79" i="88"/>
  <c r="O79" i="88"/>
  <c r="N79" i="88"/>
  <c r="A79" i="88"/>
  <c r="V78" i="88"/>
  <c r="U78" i="88"/>
  <c r="T78" i="88"/>
  <c r="S78" i="88"/>
  <c r="R78" i="88"/>
  <c r="Q78" i="88"/>
  <c r="P78" i="88"/>
  <c r="O78" i="88"/>
  <c r="N78" i="88"/>
  <c r="A78" i="88"/>
  <c r="V77" i="88"/>
  <c r="U77" i="88"/>
  <c r="T77" i="88"/>
  <c r="S77" i="88"/>
  <c r="R77" i="88"/>
  <c r="Q77" i="88"/>
  <c r="P77" i="88"/>
  <c r="O77" i="88"/>
  <c r="N77" i="88"/>
  <c r="A77" i="88"/>
  <c r="V76" i="88"/>
  <c r="U76" i="88"/>
  <c r="T76" i="88"/>
  <c r="S76" i="88"/>
  <c r="R76" i="88"/>
  <c r="Q76" i="88"/>
  <c r="P76" i="88"/>
  <c r="O76" i="88"/>
  <c r="N76" i="88"/>
  <c r="A76" i="88"/>
  <c r="V75" i="88"/>
  <c r="U75" i="88"/>
  <c r="T75" i="88"/>
  <c r="S75" i="88"/>
  <c r="R75" i="88"/>
  <c r="Q75" i="88"/>
  <c r="P75" i="88"/>
  <c r="O75" i="88"/>
  <c r="N75" i="88"/>
  <c r="A75" i="88"/>
  <c r="V74" i="88"/>
  <c r="U74" i="88"/>
  <c r="T74" i="88"/>
  <c r="S74" i="88"/>
  <c r="R74" i="88"/>
  <c r="Q74" i="88"/>
  <c r="P74" i="88"/>
  <c r="O74" i="88"/>
  <c r="N74" i="88"/>
  <c r="A74" i="88"/>
  <c r="V73" i="88"/>
  <c r="U73" i="88"/>
  <c r="T73" i="88"/>
  <c r="S73" i="88"/>
  <c r="R73" i="88"/>
  <c r="Q73" i="88"/>
  <c r="P73" i="88"/>
  <c r="O73" i="88"/>
  <c r="N73" i="88"/>
  <c r="A73" i="88"/>
  <c r="V72" i="88"/>
  <c r="U72" i="88"/>
  <c r="T72" i="88"/>
  <c r="S72" i="88"/>
  <c r="R72" i="88"/>
  <c r="Q72" i="88"/>
  <c r="P72" i="88"/>
  <c r="O72" i="88"/>
  <c r="N72" i="88"/>
  <c r="A72" i="88"/>
  <c r="V71" i="88"/>
  <c r="U71" i="88"/>
  <c r="T71" i="88"/>
  <c r="S71" i="88"/>
  <c r="R71" i="88"/>
  <c r="Q71" i="88"/>
  <c r="P71" i="88"/>
  <c r="O71" i="88"/>
  <c r="N71" i="88"/>
  <c r="L71" i="88"/>
  <c r="K71" i="88"/>
  <c r="J71" i="88"/>
  <c r="I71" i="88"/>
  <c r="H71" i="88"/>
  <c r="G71" i="88"/>
  <c r="F71" i="88"/>
  <c r="E71" i="88"/>
  <c r="D71" i="88"/>
  <c r="C71" i="88"/>
  <c r="A71" i="88"/>
  <c r="V70" i="88"/>
  <c r="U70" i="88"/>
  <c r="T70" i="88"/>
  <c r="S70" i="88"/>
  <c r="R70" i="88"/>
  <c r="Q70" i="88"/>
  <c r="P70" i="88"/>
  <c r="O70" i="88"/>
  <c r="N70" i="88"/>
  <c r="A70" i="88"/>
  <c r="V69" i="88"/>
  <c r="U69" i="88"/>
  <c r="T69" i="88"/>
  <c r="C69" i="88"/>
  <c r="A69" i="88"/>
  <c r="V68" i="88"/>
  <c r="U68" i="88"/>
  <c r="T68" i="88"/>
  <c r="S68" i="88"/>
  <c r="R68" i="88"/>
  <c r="Q68" i="88"/>
  <c r="P68" i="88"/>
  <c r="O68" i="88"/>
  <c r="N68" i="88"/>
  <c r="C68" i="88"/>
  <c r="A68" i="88"/>
  <c r="V67" i="88"/>
  <c r="U67" i="88"/>
  <c r="T67" i="88"/>
  <c r="S67" i="88"/>
  <c r="R67" i="88"/>
  <c r="Q67" i="88"/>
  <c r="P67" i="88"/>
  <c r="O67" i="88"/>
  <c r="N67" i="88"/>
  <c r="A67" i="88"/>
  <c r="V66" i="88"/>
  <c r="U66" i="88"/>
  <c r="T66" i="88"/>
  <c r="S66" i="88"/>
  <c r="R66" i="88"/>
  <c r="Q66" i="88"/>
  <c r="P66" i="88"/>
  <c r="O66" i="88"/>
  <c r="N66" i="88"/>
  <c r="A66" i="88"/>
  <c r="V65" i="88"/>
  <c r="U65" i="88"/>
  <c r="T65" i="88"/>
  <c r="C65" i="88"/>
  <c r="A65" i="88"/>
  <c r="V64" i="88"/>
  <c r="U64" i="88"/>
  <c r="T64" i="88"/>
  <c r="S64" i="88"/>
  <c r="R64" i="88"/>
  <c r="Q64" i="88"/>
  <c r="P64" i="88"/>
  <c r="O64" i="88"/>
  <c r="N64" i="88"/>
  <c r="C64" i="88"/>
  <c r="A64" i="88"/>
  <c r="V63" i="88"/>
  <c r="U63" i="88"/>
  <c r="T63" i="88"/>
  <c r="S63" i="88"/>
  <c r="R63" i="88"/>
  <c r="Q63" i="88"/>
  <c r="P63" i="88"/>
  <c r="O63" i="88"/>
  <c r="N63" i="88"/>
  <c r="A63" i="88"/>
  <c r="V62" i="88"/>
  <c r="U62" i="88"/>
  <c r="T62" i="88"/>
  <c r="S62" i="88"/>
  <c r="R62" i="88"/>
  <c r="Q62" i="88"/>
  <c r="P62" i="88"/>
  <c r="O62" i="88"/>
  <c r="N62" i="88"/>
  <c r="A62" i="88"/>
  <c r="V61" i="88"/>
  <c r="U61" i="88"/>
  <c r="T61" i="88"/>
  <c r="S61" i="88"/>
  <c r="R61" i="88"/>
  <c r="Q61" i="88"/>
  <c r="P61" i="88"/>
  <c r="O61" i="88"/>
  <c r="N61" i="88"/>
  <c r="A61" i="88"/>
  <c r="V60" i="88"/>
  <c r="U60" i="88"/>
  <c r="T60" i="88"/>
  <c r="S60" i="88"/>
  <c r="R60" i="88"/>
  <c r="Q60" i="88"/>
  <c r="P60" i="88"/>
  <c r="O60" i="88"/>
  <c r="N60" i="88"/>
  <c r="A60" i="88"/>
  <c r="V59" i="88"/>
  <c r="U59" i="88"/>
  <c r="T59" i="88"/>
  <c r="S59" i="88"/>
  <c r="R59" i="88"/>
  <c r="Q59" i="88"/>
  <c r="P59" i="88"/>
  <c r="O59" i="88"/>
  <c r="N59" i="88"/>
  <c r="A59" i="88"/>
  <c r="V58" i="88"/>
  <c r="U58" i="88"/>
  <c r="T58" i="88"/>
  <c r="S58" i="88"/>
  <c r="R58" i="88"/>
  <c r="Q58" i="88"/>
  <c r="P58" i="88"/>
  <c r="O58" i="88"/>
  <c r="N58" i="88"/>
  <c r="C58" i="88"/>
  <c r="A58" i="88"/>
  <c r="V57" i="88"/>
  <c r="U57" i="88"/>
  <c r="T57" i="88"/>
  <c r="S57" i="88"/>
  <c r="R57" i="88"/>
  <c r="Q57" i="88"/>
  <c r="P57" i="88"/>
  <c r="O57" i="88"/>
  <c r="N57" i="88"/>
  <c r="C57" i="88"/>
  <c r="A57" i="88"/>
  <c r="V56" i="88"/>
  <c r="U56" i="88"/>
  <c r="T56" i="88"/>
  <c r="S56" i="88"/>
  <c r="R56" i="88"/>
  <c r="Q56" i="88"/>
  <c r="P56" i="88"/>
  <c r="O56" i="88"/>
  <c r="N56" i="88"/>
  <c r="A56" i="88"/>
  <c r="V55" i="88"/>
  <c r="U55" i="88"/>
  <c r="T55" i="88"/>
  <c r="S55" i="88"/>
  <c r="R55" i="88"/>
  <c r="Q55" i="88"/>
  <c r="P55" i="88"/>
  <c r="O55" i="88"/>
  <c r="N55" i="88"/>
  <c r="A55" i="88"/>
  <c r="V54" i="88"/>
  <c r="U54" i="88"/>
  <c r="T54" i="88"/>
  <c r="S54" i="88"/>
  <c r="R54" i="88"/>
  <c r="Q54" i="88"/>
  <c r="P54" i="88"/>
  <c r="O54" i="88"/>
  <c r="N54" i="88"/>
  <c r="C54" i="88"/>
  <c r="A54" i="88"/>
  <c r="V53" i="88"/>
  <c r="U53" i="88"/>
  <c r="T53" i="88"/>
  <c r="S53" i="88"/>
  <c r="R53" i="88"/>
  <c r="Q53" i="88"/>
  <c r="P53" i="88"/>
  <c r="O53" i="88"/>
  <c r="N53" i="88"/>
  <c r="L53" i="88"/>
  <c r="K53" i="88"/>
  <c r="J53" i="88"/>
  <c r="I53" i="88"/>
  <c r="H53" i="88"/>
  <c r="G53" i="88"/>
  <c r="F53" i="88"/>
  <c r="E53" i="88"/>
  <c r="D53" i="88"/>
  <c r="C53" i="88"/>
  <c r="A53" i="88"/>
  <c r="V52" i="88"/>
  <c r="U52" i="88"/>
  <c r="T52" i="88"/>
  <c r="S52" i="88"/>
  <c r="R52" i="88"/>
  <c r="Q52" i="88"/>
  <c r="P52" i="88"/>
  <c r="O52" i="88"/>
  <c r="N52" i="88"/>
  <c r="L52" i="88"/>
  <c r="K52" i="88"/>
  <c r="J52" i="88"/>
  <c r="I52" i="88"/>
  <c r="H52" i="88"/>
  <c r="G52" i="88"/>
  <c r="F52" i="88"/>
  <c r="E52" i="88"/>
  <c r="D52" i="88"/>
  <c r="C52" i="88"/>
  <c r="A52" i="88"/>
  <c r="V51" i="88"/>
  <c r="U51" i="88"/>
  <c r="T51" i="88"/>
  <c r="S51" i="88"/>
  <c r="R51" i="88"/>
  <c r="Q51" i="88"/>
  <c r="P51" i="88"/>
  <c r="O51" i="88"/>
  <c r="N51" i="88"/>
  <c r="A51" i="88"/>
  <c r="V50" i="88"/>
  <c r="U50" i="88"/>
  <c r="T50" i="88"/>
  <c r="S50" i="88"/>
  <c r="R50" i="88"/>
  <c r="Q50" i="88"/>
  <c r="P50" i="88"/>
  <c r="O50" i="88"/>
  <c r="N50" i="88"/>
  <c r="A50" i="88"/>
  <c r="V49" i="88"/>
  <c r="U49" i="88"/>
  <c r="T49" i="88"/>
  <c r="S49" i="88"/>
  <c r="R49" i="88"/>
  <c r="Q49" i="88"/>
  <c r="P49" i="88"/>
  <c r="O49" i="88"/>
  <c r="N49" i="88"/>
  <c r="I49" i="88"/>
  <c r="H49" i="88"/>
  <c r="F49" i="88"/>
  <c r="E49" i="88"/>
  <c r="A49" i="88"/>
  <c r="V48" i="88"/>
  <c r="U48" i="88"/>
  <c r="T48" i="88"/>
  <c r="S48" i="88"/>
  <c r="R48" i="88"/>
  <c r="Q48" i="88"/>
  <c r="P48" i="88"/>
  <c r="O48" i="88"/>
  <c r="N48" i="88"/>
  <c r="A48" i="88"/>
  <c r="V47" i="88"/>
  <c r="U47" i="88"/>
  <c r="T47" i="88"/>
  <c r="S47" i="88"/>
  <c r="R47" i="88"/>
  <c r="Q47" i="88"/>
  <c r="P47" i="88"/>
  <c r="O47" i="88"/>
  <c r="N47" i="88"/>
  <c r="A47" i="88"/>
  <c r="V46" i="88"/>
  <c r="U46" i="88"/>
  <c r="T46" i="88"/>
  <c r="S46" i="88"/>
  <c r="R46" i="88"/>
  <c r="Q46" i="88"/>
  <c r="P46" i="88"/>
  <c r="O46" i="88"/>
  <c r="N46" i="88"/>
  <c r="A46" i="88"/>
  <c r="V45" i="88"/>
  <c r="U45" i="88"/>
  <c r="T45" i="88"/>
  <c r="S45" i="88"/>
  <c r="R45" i="88"/>
  <c r="Q45" i="88"/>
  <c r="P45" i="88"/>
  <c r="O45" i="88"/>
  <c r="N45" i="88"/>
  <c r="A45" i="88"/>
  <c r="V44" i="88"/>
  <c r="U44" i="88"/>
  <c r="T44" i="88"/>
  <c r="S44" i="88"/>
  <c r="R44" i="88"/>
  <c r="Q44" i="88"/>
  <c r="P44" i="88"/>
  <c r="O44" i="88"/>
  <c r="N44" i="88"/>
  <c r="A44" i="88"/>
  <c r="V43" i="88"/>
  <c r="U43" i="88"/>
  <c r="T43" i="88"/>
  <c r="S43" i="88"/>
  <c r="R43" i="88"/>
  <c r="Q43" i="88"/>
  <c r="P43" i="88"/>
  <c r="O43" i="88"/>
  <c r="N43" i="88"/>
  <c r="L43" i="88"/>
  <c r="K43" i="88"/>
  <c r="J43" i="88"/>
  <c r="I43" i="88"/>
  <c r="H43" i="88"/>
  <c r="G43" i="88"/>
  <c r="F43" i="88"/>
  <c r="E43" i="88"/>
  <c r="D43" i="88"/>
  <c r="C43" i="88"/>
  <c r="A43" i="88"/>
  <c r="V42" i="88"/>
  <c r="U42" i="88"/>
  <c r="T42" i="88"/>
  <c r="S42" i="88"/>
  <c r="R42" i="88"/>
  <c r="Q42" i="88"/>
  <c r="P42" i="88"/>
  <c r="O42" i="88"/>
  <c r="N42" i="88"/>
  <c r="L42" i="88"/>
  <c r="K42" i="88"/>
  <c r="J42" i="88"/>
  <c r="I42" i="88"/>
  <c r="H42" i="88"/>
  <c r="G42" i="88"/>
  <c r="F42" i="88"/>
  <c r="E42" i="88"/>
  <c r="D42" i="88"/>
  <c r="C42" i="88"/>
  <c r="A42" i="88"/>
  <c r="V41" i="88"/>
  <c r="U41" i="88"/>
  <c r="T41" i="88"/>
  <c r="S41" i="88"/>
  <c r="R41" i="88"/>
  <c r="Q41" i="88"/>
  <c r="P41" i="88"/>
  <c r="O41" i="88"/>
  <c r="N41" i="88"/>
  <c r="L41" i="88"/>
  <c r="K41" i="88"/>
  <c r="J41" i="88"/>
  <c r="I41" i="88"/>
  <c r="H41" i="88"/>
  <c r="G41" i="88"/>
  <c r="F41" i="88"/>
  <c r="E41" i="88"/>
  <c r="D41" i="88"/>
  <c r="C41" i="88"/>
  <c r="A41" i="88"/>
  <c r="V40" i="88"/>
  <c r="U40" i="88"/>
  <c r="T40" i="88"/>
  <c r="S40" i="88"/>
  <c r="R40" i="88"/>
  <c r="Q40" i="88"/>
  <c r="P40" i="88"/>
  <c r="O40" i="88"/>
  <c r="N40" i="88"/>
  <c r="A40" i="88"/>
  <c r="V39" i="88"/>
  <c r="U39" i="88"/>
  <c r="T39" i="88"/>
  <c r="S39" i="88"/>
  <c r="R39" i="88"/>
  <c r="Q39" i="88"/>
  <c r="P39" i="88"/>
  <c r="O39" i="88"/>
  <c r="N39" i="88"/>
  <c r="L39" i="88"/>
  <c r="K39" i="88"/>
  <c r="J39" i="88"/>
  <c r="I39" i="88"/>
  <c r="H39" i="88"/>
  <c r="G39" i="88"/>
  <c r="F39" i="88"/>
  <c r="E39" i="88"/>
  <c r="D39" i="88"/>
  <c r="C39" i="88"/>
  <c r="A39" i="88"/>
  <c r="V38" i="88"/>
  <c r="U38" i="88"/>
  <c r="T38" i="88"/>
  <c r="S38" i="88"/>
  <c r="R38" i="88"/>
  <c r="Q38" i="88"/>
  <c r="P38" i="88"/>
  <c r="O38" i="88"/>
  <c r="N38" i="88"/>
  <c r="A38" i="88"/>
  <c r="V37" i="88"/>
  <c r="U37" i="88"/>
  <c r="T37" i="88"/>
  <c r="S37" i="88"/>
  <c r="R37" i="88"/>
  <c r="Q37" i="88"/>
  <c r="P37" i="88"/>
  <c r="O37" i="88"/>
  <c r="N37" i="88"/>
  <c r="L37" i="88"/>
  <c r="K37" i="88"/>
  <c r="J37" i="88"/>
  <c r="I37" i="88"/>
  <c r="C37" i="88"/>
  <c r="A37" i="88"/>
  <c r="V36" i="88"/>
  <c r="U36" i="88"/>
  <c r="T36" i="88"/>
  <c r="S36" i="88"/>
  <c r="R36" i="88"/>
  <c r="Q36" i="88"/>
  <c r="P36" i="88"/>
  <c r="O36" i="88"/>
  <c r="N36" i="88"/>
  <c r="I36" i="88"/>
  <c r="C36" i="88"/>
  <c r="A36" i="88"/>
  <c r="V35" i="88"/>
  <c r="U35" i="88"/>
  <c r="T35" i="88"/>
  <c r="S35" i="88"/>
  <c r="R35" i="88"/>
  <c r="Q35" i="88"/>
  <c r="P35" i="88"/>
  <c r="O35" i="88"/>
  <c r="N35" i="88"/>
  <c r="A35" i="88"/>
  <c r="V34" i="88"/>
  <c r="U34" i="88"/>
  <c r="T34" i="88"/>
  <c r="S34" i="88"/>
  <c r="R34" i="88"/>
  <c r="Q34" i="88"/>
  <c r="P34" i="88"/>
  <c r="O34" i="88"/>
  <c r="N34" i="88"/>
  <c r="L34" i="88"/>
  <c r="K34" i="88"/>
  <c r="J34" i="88"/>
  <c r="I34" i="88"/>
  <c r="H34" i="88"/>
  <c r="G34" i="88"/>
  <c r="F34" i="88"/>
  <c r="E34" i="88"/>
  <c r="D34" i="88"/>
  <c r="C34" i="88"/>
  <c r="A34" i="88"/>
  <c r="V33" i="88"/>
  <c r="U33" i="88"/>
  <c r="T33" i="88"/>
  <c r="S33" i="88"/>
  <c r="R33" i="88"/>
  <c r="Q33" i="88"/>
  <c r="P33" i="88"/>
  <c r="O33" i="88"/>
  <c r="N33" i="88"/>
  <c r="L33" i="88"/>
  <c r="K33" i="88"/>
  <c r="J33" i="88"/>
  <c r="I33" i="88"/>
  <c r="H33" i="88"/>
  <c r="G33" i="88"/>
  <c r="F33" i="88"/>
  <c r="E33" i="88"/>
  <c r="D33" i="88"/>
  <c r="T32" i="88"/>
  <c r="S32" i="88"/>
  <c r="V31" i="88"/>
  <c r="U31" i="88"/>
  <c r="T31" i="88"/>
  <c r="S31" i="88"/>
  <c r="R31" i="88"/>
  <c r="Q31" i="88"/>
  <c r="P31" i="88"/>
  <c r="O31" i="88"/>
  <c r="N31" i="88"/>
  <c r="M31" i="88"/>
  <c r="J20" i="88"/>
  <c r="I20" i="88"/>
  <c r="H20" i="88"/>
  <c r="G20" i="88"/>
  <c r="J19" i="88"/>
  <c r="I19" i="88"/>
  <c r="H19" i="88"/>
  <c r="G19" i="88"/>
  <c r="J18" i="88"/>
  <c r="I18" i="88"/>
  <c r="H18" i="88"/>
  <c r="G18" i="88"/>
  <c r="J17" i="88"/>
  <c r="I17" i="88"/>
  <c r="H17" i="88"/>
  <c r="G17" i="88"/>
  <c r="J16" i="88"/>
  <c r="I16" i="88"/>
  <c r="H16" i="88"/>
  <c r="G16" i="88"/>
  <c r="J15" i="88"/>
  <c r="I15" i="88"/>
  <c r="H15" i="88"/>
  <c r="G15" i="88"/>
  <c r="J14" i="88"/>
  <c r="I14" i="88"/>
  <c r="H14" i="88"/>
  <c r="G14" i="88"/>
  <c r="J13" i="88"/>
  <c r="I13" i="88"/>
  <c r="H13" i="88"/>
  <c r="G13" i="88"/>
  <c r="J12" i="88"/>
  <c r="I12" i="88"/>
  <c r="H12" i="88"/>
  <c r="G12" i="88"/>
  <c r="J11" i="88"/>
  <c r="H11" i="88"/>
  <c r="G11" i="88"/>
  <c r="B7" i="88"/>
  <c r="I11" i="88" s="1"/>
  <c r="C33" i="88" s="1"/>
  <c r="M33" i="88" s="1"/>
  <c r="M38" i="88" s="1"/>
  <c r="G1" i="95"/>
  <c r="G1" i="59"/>
  <c r="G1" i="37"/>
  <c r="G1" i="76"/>
  <c r="G1" i="69"/>
  <c r="G1" i="30"/>
  <c r="G1" i="63"/>
  <c r="G1" i="5"/>
  <c r="G1" i="86"/>
  <c r="G1" i="91"/>
  <c r="G1" i="71"/>
  <c r="G1" i="98"/>
  <c r="G1" i="47"/>
  <c r="G1" i="74"/>
  <c r="G1" i="44"/>
  <c r="G1" i="25"/>
  <c r="G1" i="10"/>
  <c r="G1" i="101"/>
  <c r="G1" i="106"/>
  <c r="G1" i="67"/>
  <c r="G1" i="43"/>
  <c r="G1" i="34"/>
  <c r="G1" i="41"/>
  <c r="G1" i="53"/>
  <c r="G1" i="108"/>
  <c r="G1" i="61"/>
  <c r="G1" i="107"/>
  <c r="G1" i="100"/>
  <c r="G1" i="36"/>
  <c r="G1" i="35"/>
  <c r="G1" i="8"/>
  <c r="G1" i="45"/>
  <c r="G1" i="32"/>
  <c r="G1" i="88"/>
  <c r="G1" i="103"/>
  <c r="G1" i="18"/>
  <c r="G1" i="81"/>
  <c r="G1" i="38"/>
  <c r="G1" i="42"/>
  <c r="G1" i="49"/>
  <c r="G1" i="24"/>
  <c r="G1" i="80"/>
  <c r="G1" i="66"/>
  <c r="G1" i="28"/>
  <c r="G1" i="51"/>
  <c r="G1" i="20"/>
  <c r="G1" i="19"/>
  <c r="G1" i="16"/>
  <c r="G1" i="58"/>
  <c r="G1" i="17"/>
  <c r="G1" i="12"/>
  <c r="G1" i="73"/>
  <c r="G1" i="77"/>
  <c r="G1" i="39"/>
  <c r="G1" i="54"/>
  <c r="G1" i="92"/>
  <c r="G1" i="33"/>
  <c r="G1" i="72"/>
  <c r="G1" i="52"/>
  <c r="G1" i="14"/>
  <c r="G1" i="11"/>
  <c r="G1" i="3"/>
  <c r="G1" i="7"/>
  <c r="G1" i="2"/>
  <c r="G1" i="57"/>
  <c r="G1" i="6"/>
  <c r="G1" i="94"/>
  <c r="G1" i="48"/>
  <c r="G1" i="4"/>
  <c r="G1" i="64"/>
  <c r="G1" i="60"/>
  <c r="G1" i="40"/>
  <c r="G1" i="99"/>
  <c r="G1" i="27"/>
  <c r="G1" i="22"/>
  <c r="G1" i="55"/>
  <c r="G1" i="89"/>
  <c r="G1" i="68"/>
  <c r="G1" i="85"/>
  <c r="G1" i="84"/>
  <c r="G1" i="62"/>
  <c r="G1" i="105"/>
  <c r="G1" i="50"/>
  <c r="G1" i="104"/>
  <c r="G1" i="87"/>
  <c r="G1" i="79"/>
  <c r="G1" i="21"/>
  <c r="G1" i="56"/>
  <c r="G1" i="78"/>
  <c r="G1" i="90"/>
  <c r="G1" i="46"/>
  <c r="G1" i="9"/>
  <c r="G1" i="29"/>
  <c r="G1" i="102"/>
  <c r="G1" i="26"/>
  <c r="G1" i="65"/>
  <c r="G1" i="93"/>
  <c r="G1" i="97"/>
  <c r="G1" i="96"/>
  <c r="G1" i="15"/>
  <c r="G1" i="75"/>
  <c r="G1" i="31"/>
  <c r="G1" i="82"/>
  <c r="G1" i="83"/>
  <c r="G1" i="23"/>
  <c r="D58" i="40" l="1"/>
  <c r="D57" i="40"/>
  <c r="N41" i="42"/>
  <c r="I12" i="55"/>
  <c r="D33" i="55" s="1"/>
  <c r="D35" i="55" s="1"/>
  <c r="I11" i="63"/>
  <c r="C33" i="63" s="1"/>
  <c r="M33" i="63" s="1"/>
  <c r="N52" i="42"/>
  <c r="M81" i="38"/>
  <c r="M60" i="38"/>
  <c r="M96" i="34"/>
  <c r="I12" i="5"/>
  <c r="D33" i="5" s="1"/>
  <c r="I12" i="58"/>
  <c r="D33" i="58" s="1"/>
  <c r="N33" i="58" s="1"/>
  <c r="M86" i="38"/>
  <c r="M90" i="38"/>
  <c r="M103" i="106"/>
  <c r="M71" i="106"/>
  <c r="M70" i="106"/>
  <c r="M86" i="106"/>
  <c r="M55" i="101"/>
  <c r="M83" i="101"/>
  <c r="M40" i="51"/>
  <c r="N79" i="42"/>
  <c r="M43" i="51"/>
  <c r="M46" i="34"/>
  <c r="I11" i="41"/>
  <c r="C33" i="41" s="1"/>
  <c r="M33" i="41" s="1"/>
  <c r="M45" i="51"/>
  <c r="I12" i="102"/>
  <c r="D33" i="102" s="1"/>
  <c r="D35" i="102" s="1"/>
  <c r="M33" i="103"/>
  <c r="M75" i="103" s="1"/>
  <c r="M46" i="38"/>
  <c r="M102" i="51"/>
  <c r="I12" i="31"/>
  <c r="D33" i="31" s="1"/>
  <c r="N33" i="31" s="1"/>
  <c r="N89" i="42"/>
  <c r="M71" i="51"/>
  <c r="N72" i="19"/>
  <c r="I11" i="60"/>
  <c r="C33" i="60" s="1"/>
  <c r="C35" i="60" s="1"/>
  <c r="M62" i="38"/>
  <c r="N56" i="19"/>
  <c r="N78" i="42"/>
  <c r="M50" i="51"/>
  <c r="M77" i="38"/>
  <c r="M82" i="38"/>
  <c r="M79" i="38"/>
  <c r="M84" i="38"/>
  <c r="M33" i="91"/>
  <c r="M62" i="91" s="1"/>
  <c r="C35" i="91"/>
  <c r="D35" i="23"/>
  <c r="N33" i="23"/>
  <c r="N42" i="23" s="1"/>
  <c r="M75" i="53"/>
  <c r="M62" i="53"/>
  <c r="M60" i="53"/>
  <c r="M58" i="53"/>
  <c r="C35" i="55"/>
  <c r="M33" i="55"/>
  <c r="M70" i="55" s="1"/>
  <c r="M85" i="101"/>
  <c r="N99" i="42"/>
  <c r="M38" i="106"/>
  <c r="M73" i="106"/>
  <c r="M33" i="48"/>
  <c r="M100" i="48" s="1"/>
  <c r="I12" i="86"/>
  <c r="D33" i="86" s="1"/>
  <c r="I13" i="42"/>
  <c r="E33" i="42" s="1"/>
  <c r="O33" i="42" s="1"/>
  <c r="O75" i="42" s="1"/>
  <c r="C35" i="9"/>
  <c r="N44" i="42"/>
  <c r="N97" i="42"/>
  <c r="M100" i="97"/>
  <c r="C35" i="53"/>
  <c r="M73" i="97"/>
  <c r="M42" i="50"/>
  <c r="M50" i="88"/>
  <c r="M77" i="97"/>
  <c r="M43" i="50"/>
  <c r="M91" i="51"/>
  <c r="M71" i="34"/>
  <c r="M73" i="34"/>
  <c r="N67" i="42"/>
  <c r="M85" i="106"/>
  <c r="M77" i="34"/>
  <c r="M37" i="106"/>
  <c r="M84" i="8"/>
  <c r="N65" i="42"/>
  <c r="N93" i="42"/>
  <c r="N33" i="95"/>
  <c r="N48" i="95" s="1"/>
  <c r="M87" i="106"/>
  <c r="M67" i="34"/>
  <c r="M104" i="88"/>
  <c r="C35" i="8"/>
  <c r="M71" i="8"/>
  <c r="M88" i="8"/>
  <c r="M41" i="106"/>
  <c r="M89" i="106"/>
  <c r="M53" i="106"/>
  <c r="I11" i="32"/>
  <c r="C33" i="32" s="1"/>
  <c r="M33" i="32" s="1"/>
  <c r="M61" i="88"/>
  <c r="N38" i="42"/>
  <c r="N91" i="42"/>
  <c r="I11" i="95"/>
  <c r="C33" i="95" s="1"/>
  <c r="M33" i="95" s="1"/>
  <c r="I11" i="15"/>
  <c r="C33" i="15" s="1"/>
  <c r="C35" i="15" s="1"/>
  <c r="N59" i="42"/>
  <c r="M103" i="97"/>
  <c r="I11" i="23"/>
  <c r="C33" i="23" s="1"/>
  <c r="C35" i="23" s="1"/>
  <c r="I11" i="42"/>
  <c r="C33" i="42" s="1"/>
  <c r="M33" i="42" s="1"/>
  <c r="I11" i="94"/>
  <c r="C33" i="94" s="1"/>
  <c r="M33" i="94" s="1"/>
  <c r="M47" i="97"/>
  <c r="M96" i="50"/>
  <c r="M71" i="50"/>
  <c r="M103" i="50"/>
  <c r="M72" i="50"/>
  <c r="M55" i="50"/>
  <c r="M99" i="50"/>
  <c r="M35" i="50"/>
  <c r="M60" i="50"/>
  <c r="M37" i="50"/>
  <c r="M54" i="50"/>
  <c r="M47" i="50"/>
  <c r="M63" i="50"/>
  <c r="M49" i="50"/>
  <c r="M56" i="50"/>
  <c r="M41" i="50"/>
  <c r="M33" i="66"/>
  <c r="M90" i="66" s="1"/>
  <c r="C35" i="66"/>
  <c r="M100" i="53"/>
  <c r="I12" i="59"/>
  <c r="D33" i="59" s="1"/>
  <c r="I11" i="59"/>
  <c r="C33" i="59" s="1"/>
  <c r="M33" i="59" s="1"/>
  <c r="M70" i="50"/>
  <c r="M92" i="49"/>
  <c r="M56" i="49"/>
  <c r="M102" i="49"/>
  <c r="M86" i="49"/>
  <c r="M73" i="49"/>
  <c r="M50" i="49"/>
  <c r="M55" i="49"/>
  <c r="M63" i="49"/>
  <c r="M49" i="49"/>
  <c r="M61" i="49"/>
  <c r="M47" i="49"/>
  <c r="M41" i="49"/>
  <c r="M45" i="49"/>
  <c r="N58" i="19"/>
  <c r="M71" i="53"/>
  <c r="M67" i="49"/>
  <c r="M33" i="107"/>
  <c r="M70" i="107" s="1"/>
  <c r="C35" i="107"/>
  <c r="I11" i="20"/>
  <c r="C33" i="20" s="1"/>
  <c r="M33" i="20" s="1"/>
  <c r="I12" i="20"/>
  <c r="D33" i="20" s="1"/>
  <c r="N33" i="20" s="1"/>
  <c r="N35" i="20" s="1"/>
  <c r="N99" i="19"/>
  <c r="C35" i="105"/>
  <c r="M33" i="105"/>
  <c r="M62" i="105" s="1"/>
  <c r="I11" i="21"/>
  <c r="C33" i="21" s="1"/>
  <c r="I12" i="21"/>
  <c r="D33" i="21" s="1"/>
  <c r="D35" i="94"/>
  <c r="N33" i="94"/>
  <c r="N46" i="94" s="1"/>
  <c r="N77" i="19"/>
  <c r="N74" i="19"/>
  <c r="N39" i="19"/>
  <c r="N87" i="19"/>
  <c r="N85" i="19"/>
  <c r="N66" i="19"/>
  <c r="N42" i="19"/>
  <c r="N41" i="19"/>
  <c r="N40" i="19"/>
  <c r="N91" i="19"/>
  <c r="N52" i="19"/>
  <c r="N51" i="19"/>
  <c r="N49" i="19"/>
  <c r="N63" i="19"/>
  <c r="N88" i="19"/>
  <c r="N76" i="19"/>
  <c r="N60" i="19"/>
  <c r="N90" i="19"/>
  <c r="N78" i="19"/>
  <c r="N62" i="19"/>
  <c r="N54" i="19"/>
  <c r="N102" i="19"/>
  <c r="N100" i="19"/>
  <c r="N46" i="19"/>
  <c r="N97" i="19"/>
  <c r="N86" i="19"/>
  <c r="N103" i="19"/>
  <c r="N70" i="19"/>
  <c r="N83" i="19"/>
  <c r="N68" i="19"/>
  <c r="N34" i="19"/>
  <c r="N50" i="19"/>
  <c r="N37" i="19"/>
  <c r="N47" i="19"/>
  <c r="N44" i="19"/>
  <c r="N101" i="19"/>
  <c r="M91" i="53"/>
  <c r="M37" i="53"/>
  <c r="M92" i="53"/>
  <c r="M38" i="53"/>
  <c r="M85" i="53"/>
  <c r="M80" i="53"/>
  <c r="M50" i="53"/>
  <c r="M83" i="53"/>
  <c r="M78" i="53"/>
  <c r="M95" i="53"/>
  <c r="M98" i="53"/>
  <c r="M96" i="53"/>
  <c r="M49" i="53"/>
  <c r="M94" i="53"/>
  <c r="M81" i="53"/>
  <c r="M47" i="53"/>
  <c r="M99" i="53"/>
  <c r="M76" i="53"/>
  <c r="M39" i="53"/>
  <c r="M87" i="53"/>
  <c r="M53" i="53"/>
  <c r="M43" i="53"/>
  <c r="M40" i="53"/>
  <c r="M55" i="53"/>
  <c r="M68" i="53"/>
  <c r="M36" i="53"/>
  <c r="M88" i="53"/>
  <c r="M66" i="53"/>
  <c r="M63" i="75"/>
  <c r="M85" i="75"/>
  <c r="M43" i="75"/>
  <c r="M47" i="75"/>
  <c r="M45" i="75"/>
  <c r="M100" i="75"/>
  <c r="M103" i="53"/>
  <c r="M85" i="49"/>
  <c r="M34" i="50"/>
  <c r="M99" i="88"/>
  <c r="M80" i="88"/>
  <c r="M63" i="88"/>
  <c r="M56" i="88"/>
  <c r="M43" i="88"/>
  <c r="M70" i="88"/>
  <c r="M54" i="88"/>
  <c r="M42" i="88"/>
  <c r="M34" i="88"/>
  <c r="M76" i="88"/>
  <c r="M82" i="88"/>
  <c r="M77" i="88"/>
  <c r="M97" i="88"/>
  <c r="M83" i="88"/>
  <c r="M78" i="88"/>
  <c r="M59" i="88"/>
  <c r="M101" i="88"/>
  <c r="M64" i="88"/>
  <c r="M47" i="88"/>
  <c r="M67" i="88"/>
  <c r="M105" i="88"/>
  <c r="M45" i="88"/>
  <c r="M93" i="88"/>
  <c r="M35" i="88"/>
  <c r="M79" i="88"/>
  <c r="M33" i="90"/>
  <c r="M38" i="90" s="1"/>
  <c r="N33" i="63"/>
  <c r="N61" i="63" s="1"/>
  <c r="D35" i="63"/>
  <c r="C35" i="72"/>
  <c r="M33" i="72"/>
  <c r="M72" i="72" s="1"/>
  <c r="M33" i="71"/>
  <c r="M46" i="71" s="1"/>
  <c r="C35" i="71"/>
  <c r="M33" i="100"/>
  <c r="M52" i="100" s="1"/>
  <c r="C35" i="100"/>
  <c r="I11" i="87"/>
  <c r="C33" i="87" s="1"/>
  <c r="M33" i="87" s="1"/>
  <c r="I12" i="87"/>
  <c r="D33" i="87" s="1"/>
  <c r="N33" i="87" s="1"/>
  <c r="M46" i="9"/>
  <c r="M44" i="9"/>
  <c r="C35" i="82"/>
  <c r="M33" i="82"/>
  <c r="M73" i="82" s="1"/>
  <c r="M33" i="22"/>
  <c r="M80" i="22" s="1"/>
  <c r="C35" i="22"/>
  <c r="I11" i="17"/>
  <c r="C33" i="17" s="1"/>
  <c r="I12" i="17"/>
  <c r="D33" i="17" s="1"/>
  <c r="D35" i="17" s="1"/>
  <c r="M70" i="101"/>
  <c r="M43" i="101"/>
  <c r="M40" i="101"/>
  <c r="M67" i="101"/>
  <c r="M54" i="101"/>
  <c r="M92" i="101"/>
  <c r="M64" i="101"/>
  <c r="M90" i="101"/>
  <c r="M79" i="101"/>
  <c r="M95" i="101"/>
  <c r="M66" i="101"/>
  <c r="I12" i="80"/>
  <c r="D33" i="80" s="1"/>
  <c r="I11" i="80"/>
  <c r="C33" i="80" s="1"/>
  <c r="M72" i="51"/>
  <c r="M61" i="51"/>
  <c r="M38" i="51"/>
  <c r="M95" i="51"/>
  <c r="M59" i="51"/>
  <c r="M96" i="51"/>
  <c r="M81" i="51"/>
  <c r="M56" i="51"/>
  <c r="M101" i="51"/>
  <c r="M93" i="51"/>
  <c r="M76" i="51"/>
  <c r="M46" i="51"/>
  <c r="C35" i="97"/>
  <c r="M64" i="51"/>
  <c r="M35" i="97"/>
  <c r="M37" i="51"/>
  <c r="M50" i="97"/>
  <c r="M72" i="97"/>
  <c r="M64" i="97"/>
  <c r="M44" i="97"/>
  <c r="M55" i="97"/>
  <c r="M79" i="97"/>
  <c r="M59" i="97"/>
  <c r="M67" i="97"/>
  <c r="M63" i="51"/>
  <c r="M75" i="34"/>
  <c r="M63" i="34"/>
  <c r="M39" i="34"/>
  <c r="M35" i="34"/>
  <c r="M70" i="34"/>
  <c r="M58" i="34"/>
  <c r="M98" i="34"/>
  <c r="M100" i="34"/>
  <c r="M62" i="8"/>
  <c r="M40" i="8"/>
  <c r="M102" i="106"/>
  <c r="M36" i="106"/>
  <c r="M56" i="106"/>
  <c r="M95" i="106"/>
  <c r="M91" i="106"/>
  <c r="M100" i="106"/>
  <c r="M64" i="106"/>
  <c r="M83" i="106"/>
  <c r="M66" i="38"/>
  <c r="M76" i="38"/>
  <c r="M37" i="38"/>
  <c r="M74" i="38"/>
  <c r="M48" i="38"/>
  <c r="C35" i="106"/>
  <c r="N33" i="61"/>
  <c r="N42" i="61" s="1"/>
  <c r="D35" i="61"/>
  <c r="N49" i="42"/>
  <c r="N95" i="42"/>
  <c r="N48" i="42"/>
  <c r="N54" i="42"/>
  <c r="N56" i="42"/>
  <c r="I12" i="11"/>
  <c r="D33" i="11" s="1"/>
  <c r="I11" i="11"/>
  <c r="C33" i="11" s="1"/>
  <c r="C35" i="89"/>
  <c r="M33" i="89"/>
  <c r="M84" i="9"/>
  <c r="M81" i="9"/>
  <c r="M49" i="9"/>
  <c r="M39" i="9"/>
  <c r="M91" i="9"/>
  <c r="M63" i="9"/>
  <c r="M100" i="9"/>
  <c r="M54" i="9"/>
  <c r="M45" i="9"/>
  <c r="M77" i="9"/>
  <c r="M40" i="9"/>
  <c r="M102" i="9"/>
  <c r="M59" i="9"/>
  <c r="M89" i="9"/>
  <c r="M67" i="9"/>
  <c r="M50" i="9"/>
  <c r="M37" i="9"/>
  <c r="M75" i="9"/>
  <c r="M48" i="9"/>
  <c r="M36" i="9"/>
  <c r="M103" i="9"/>
  <c r="M92" i="9"/>
  <c r="M68" i="9"/>
  <c r="M60" i="9"/>
  <c r="M52" i="9"/>
  <c r="M93" i="9"/>
  <c r="M55" i="9"/>
  <c r="M38" i="9"/>
  <c r="M64" i="9"/>
  <c r="M73" i="9"/>
  <c r="M53" i="9"/>
  <c r="M35" i="9"/>
  <c r="M94" i="9"/>
  <c r="M56" i="9"/>
  <c r="M41" i="9"/>
  <c r="M90" i="9"/>
  <c r="M74" i="9"/>
  <c r="M71" i="9"/>
  <c r="M58" i="9"/>
  <c r="M42" i="9"/>
  <c r="M87" i="9"/>
  <c r="M70" i="9"/>
  <c r="M85" i="9"/>
  <c r="M80" i="9"/>
  <c r="M34" i="9"/>
  <c r="M88" i="9"/>
  <c r="M62" i="9"/>
  <c r="M51" i="9"/>
  <c r="M96" i="9"/>
  <c r="M47" i="9"/>
  <c r="M86" i="9"/>
  <c r="M79" i="9"/>
  <c r="M43" i="9"/>
  <c r="M97" i="9"/>
  <c r="M66" i="9"/>
  <c r="M57" i="9"/>
  <c r="M76" i="9"/>
  <c r="M72" i="9"/>
  <c r="M82" i="9"/>
  <c r="M95" i="9"/>
  <c r="M78" i="9"/>
  <c r="M83" i="9"/>
  <c r="M101" i="9"/>
  <c r="M61" i="9"/>
  <c r="M33" i="12"/>
  <c r="C35" i="12"/>
  <c r="M99" i="9"/>
  <c r="O33" i="40"/>
  <c r="F49" i="40"/>
  <c r="E49" i="40"/>
  <c r="E35" i="40"/>
  <c r="C35" i="69"/>
  <c r="M33" i="69"/>
  <c r="N33" i="32"/>
  <c r="D35" i="32"/>
  <c r="C35" i="16"/>
  <c r="M33" i="16"/>
  <c r="C35" i="98"/>
  <c r="M33" i="98"/>
  <c r="C49" i="2"/>
  <c r="M33" i="2"/>
  <c r="M86" i="8"/>
  <c r="M49" i="8"/>
  <c r="M39" i="8"/>
  <c r="M93" i="8"/>
  <c r="M63" i="8"/>
  <c r="M102" i="8"/>
  <c r="M82" i="8"/>
  <c r="M79" i="8"/>
  <c r="M54" i="8"/>
  <c r="M45" i="8"/>
  <c r="M94" i="8"/>
  <c r="M51" i="8"/>
  <c r="M38" i="8"/>
  <c r="M92" i="8"/>
  <c r="M76" i="8"/>
  <c r="M58" i="8"/>
  <c r="M103" i="8"/>
  <c r="M66" i="8"/>
  <c r="M101" i="8"/>
  <c r="M90" i="8"/>
  <c r="M74" i="8"/>
  <c r="M47" i="8"/>
  <c r="M77" i="8"/>
  <c r="M59" i="8"/>
  <c r="M100" i="8"/>
  <c r="M85" i="8"/>
  <c r="M80" i="8"/>
  <c r="M43" i="8"/>
  <c r="M98" i="8"/>
  <c r="M83" i="8"/>
  <c r="M78" i="8"/>
  <c r="M56" i="8"/>
  <c r="M42" i="8"/>
  <c r="M41" i="8"/>
  <c r="M81" i="8"/>
  <c r="M57" i="8"/>
  <c r="M44" i="8"/>
  <c r="M34" i="8"/>
  <c r="M68" i="8"/>
  <c r="M37" i="8"/>
  <c r="M95" i="8"/>
  <c r="M36" i="8"/>
  <c r="M91" i="8"/>
  <c r="M89" i="8"/>
  <c r="M96" i="8"/>
  <c r="M99" i="8"/>
  <c r="M70" i="8"/>
  <c r="M97" i="8"/>
  <c r="M50" i="8"/>
  <c r="M87" i="8"/>
  <c r="M48" i="8"/>
  <c r="M72" i="8"/>
  <c r="M61" i="8"/>
  <c r="M46" i="8"/>
  <c r="M53" i="8"/>
  <c r="M64" i="8"/>
  <c r="M52" i="8"/>
  <c r="M55" i="8"/>
  <c r="M75" i="8"/>
  <c r="M60" i="8"/>
  <c r="M35" i="8"/>
  <c r="M67" i="8"/>
  <c r="M33" i="67"/>
  <c r="C35" i="67"/>
  <c r="I12" i="40"/>
  <c r="D33" i="40" s="1"/>
  <c r="I11" i="40"/>
  <c r="C33" i="40" s="1"/>
  <c r="C35" i="7"/>
  <c r="M33" i="7"/>
  <c r="N33" i="15"/>
  <c r="D35" i="15"/>
  <c r="M33" i="10"/>
  <c r="C35" i="10"/>
  <c r="I12" i="24"/>
  <c r="D33" i="24" s="1"/>
  <c r="I11" i="24"/>
  <c r="C33" i="24" s="1"/>
  <c r="O33" i="3"/>
  <c r="I11" i="18"/>
  <c r="C33" i="18" s="1"/>
  <c r="I12" i="18"/>
  <c r="D33" i="18" s="1"/>
  <c r="C35" i="68"/>
  <c r="M33" i="68"/>
  <c r="C35" i="6"/>
  <c r="M33" i="6"/>
  <c r="I12" i="28"/>
  <c r="D33" i="28" s="1"/>
  <c r="I11" i="28"/>
  <c r="C33" i="28" s="1"/>
  <c r="C35" i="93"/>
  <c r="M33" i="93"/>
  <c r="I11" i="25"/>
  <c r="C33" i="25" s="1"/>
  <c r="I12" i="25"/>
  <c r="D33" i="25" s="1"/>
  <c r="N33" i="25" s="1"/>
  <c r="M91" i="88"/>
  <c r="M57" i="88"/>
  <c r="M98" i="88"/>
  <c r="M73" i="88"/>
  <c r="M55" i="88"/>
  <c r="M41" i="88"/>
  <c r="M36" i="88"/>
  <c r="M85" i="88"/>
  <c r="M62" i="88"/>
  <c r="M40" i="88"/>
  <c r="M75" i="88"/>
  <c r="M68" i="88"/>
  <c r="M37" i="88"/>
  <c r="M102" i="88"/>
  <c r="M53" i="88"/>
  <c r="M48" i="88"/>
  <c r="M89" i="88"/>
  <c r="M87" i="88"/>
  <c r="M52" i="88"/>
  <c r="M100" i="88"/>
  <c r="M71" i="88"/>
  <c r="M66" i="88"/>
  <c r="M60" i="88"/>
  <c r="M51" i="88"/>
  <c r="M46" i="88"/>
  <c r="M103" i="88"/>
  <c r="M92" i="88"/>
  <c r="M74" i="88"/>
  <c r="M94" i="88"/>
  <c r="M72" i="88"/>
  <c r="M90" i="88"/>
  <c r="M88" i="88"/>
  <c r="M86" i="88"/>
  <c r="M95" i="88"/>
  <c r="M58" i="88"/>
  <c r="M39" i="88"/>
  <c r="M49" i="88"/>
  <c r="M81" i="88"/>
  <c r="M84" i="88"/>
  <c r="M96" i="88"/>
  <c r="C35" i="4"/>
  <c r="M33" i="4"/>
  <c r="C35" i="65"/>
  <c r="M33" i="65"/>
  <c r="M33" i="86"/>
  <c r="C35" i="86"/>
  <c r="M44" i="88"/>
  <c r="I12" i="89"/>
  <c r="D33" i="89" s="1"/>
  <c r="I13" i="85"/>
  <c r="E33" i="85" s="1"/>
  <c r="I12" i="85"/>
  <c r="D33" i="85" s="1"/>
  <c r="I11" i="85"/>
  <c r="C33" i="85" s="1"/>
  <c r="I14" i="85"/>
  <c r="F33" i="85" s="1"/>
  <c r="C35" i="30"/>
  <c r="M33" i="30"/>
  <c r="D49" i="5"/>
  <c r="C49" i="5"/>
  <c r="M33" i="5"/>
  <c r="I11" i="99"/>
  <c r="C33" i="99" s="1"/>
  <c r="I12" i="99"/>
  <c r="D33" i="99" s="1"/>
  <c r="C49" i="88"/>
  <c r="M33" i="43"/>
  <c r="C35" i="43"/>
  <c r="C35" i="46"/>
  <c r="M33" i="46"/>
  <c r="I11" i="62"/>
  <c r="C33" i="62" s="1"/>
  <c r="I12" i="62"/>
  <c r="D33" i="62" s="1"/>
  <c r="I13" i="62"/>
  <c r="E33" i="62" s="1"/>
  <c r="I12" i="3"/>
  <c r="D33" i="3" s="1"/>
  <c r="N33" i="3" s="1"/>
  <c r="I11" i="3"/>
  <c r="C33" i="3" s="1"/>
  <c r="C35" i="31"/>
  <c r="M33" i="31"/>
  <c r="I13" i="17"/>
  <c r="E33" i="17" s="1"/>
  <c r="I14" i="17"/>
  <c r="F33" i="17" s="1"/>
  <c r="N33" i="41"/>
  <c r="D35" i="41"/>
  <c r="M101" i="75"/>
  <c r="M78" i="75"/>
  <c r="M51" i="75"/>
  <c r="M90" i="75"/>
  <c r="M67" i="75"/>
  <c r="M58" i="75"/>
  <c r="M88" i="75"/>
  <c r="M38" i="75"/>
  <c r="M95" i="75"/>
  <c r="M68" i="75"/>
  <c r="M59" i="75"/>
  <c r="M82" i="75"/>
  <c r="M79" i="75"/>
  <c r="M48" i="75"/>
  <c r="M37" i="75"/>
  <c r="M102" i="75"/>
  <c r="M91" i="75"/>
  <c r="M75" i="75"/>
  <c r="M64" i="75"/>
  <c r="M34" i="75"/>
  <c r="M83" i="75"/>
  <c r="M80" i="75"/>
  <c r="M49" i="75"/>
  <c r="M39" i="75"/>
  <c r="M44" i="75"/>
  <c r="M103" i="75"/>
  <c r="M66" i="75"/>
  <c r="M99" i="75"/>
  <c r="M77" i="75"/>
  <c r="M97" i="75"/>
  <c r="M62" i="75"/>
  <c r="M52" i="75"/>
  <c r="M89" i="75"/>
  <c r="M74" i="75"/>
  <c r="M46" i="75"/>
  <c r="M96" i="75"/>
  <c r="M55" i="75"/>
  <c r="M92" i="75"/>
  <c r="M41" i="75"/>
  <c r="M93" i="75"/>
  <c r="M50" i="75"/>
  <c r="M36" i="75"/>
  <c r="M70" i="75"/>
  <c r="M56" i="75"/>
  <c r="M54" i="75"/>
  <c r="M86" i="75"/>
  <c r="M81" i="75"/>
  <c r="M60" i="75"/>
  <c r="M84" i="75"/>
  <c r="M73" i="75"/>
  <c r="M87" i="75"/>
  <c r="M61" i="75"/>
  <c r="M42" i="75"/>
  <c r="M40" i="75"/>
  <c r="M98" i="75"/>
  <c r="M94" i="75"/>
  <c r="M71" i="75"/>
  <c r="M76" i="75"/>
  <c r="M53" i="75"/>
  <c r="M57" i="75"/>
  <c r="M35" i="75"/>
  <c r="M91" i="101"/>
  <c r="M72" i="101"/>
  <c r="M56" i="101"/>
  <c r="M47" i="101"/>
  <c r="M98" i="101"/>
  <c r="M77" i="101"/>
  <c r="M61" i="101"/>
  <c r="M97" i="101"/>
  <c r="M86" i="101"/>
  <c r="M93" i="101"/>
  <c r="M42" i="101"/>
  <c r="M100" i="101"/>
  <c r="M87" i="101"/>
  <c r="M57" i="101"/>
  <c r="M48" i="101"/>
  <c r="M37" i="101"/>
  <c r="M99" i="101"/>
  <c r="M41" i="101"/>
  <c r="M59" i="101"/>
  <c r="M50" i="101"/>
  <c r="M36" i="101"/>
  <c r="M96" i="101"/>
  <c r="M71" i="101"/>
  <c r="M52" i="101"/>
  <c r="M94" i="101"/>
  <c r="M78" i="101"/>
  <c r="M68" i="101"/>
  <c r="M60" i="101"/>
  <c r="M49" i="101"/>
  <c r="M35" i="101"/>
  <c r="M88" i="101"/>
  <c r="M74" i="101"/>
  <c r="M63" i="101"/>
  <c r="M46" i="101"/>
  <c r="M84" i="101"/>
  <c r="M81" i="101"/>
  <c r="M34" i="101"/>
  <c r="M103" i="101"/>
  <c r="M44" i="101"/>
  <c r="M75" i="101"/>
  <c r="M51" i="101"/>
  <c r="M102" i="101"/>
  <c r="M76" i="101"/>
  <c r="M53" i="101"/>
  <c r="M89" i="101"/>
  <c r="M39" i="101"/>
  <c r="M38" i="101"/>
  <c r="M82" i="101"/>
  <c r="M45" i="101"/>
  <c r="M62" i="101"/>
  <c r="M101" i="101"/>
  <c r="M73" i="101"/>
  <c r="M58" i="101"/>
  <c r="C35" i="101"/>
  <c r="I12" i="22"/>
  <c r="D33" i="22" s="1"/>
  <c r="M80" i="101"/>
  <c r="M33" i="44"/>
  <c r="C35" i="44"/>
  <c r="M72" i="75"/>
  <c r="M33" i="74"/>
  <c r="C35" i="74"/>
  <c r="N98" i="19"/>
  <c r="N75" i="19"/>
  <c r="N67" i="19"/>
  <c r="N61" i="19"/>
  <c r="N45" i="19"/>
  <c r="N96" i="19"/>
  <c r="N73" i="19"/>
  <c r="N59" i="19"/>
  <c r="N43" i="19"/>
  <c r="N48" i="19"/>
  <c r="N36" i="19"/>
  <c r="N89" i="19"/>
  <c r="N57" i="19"/>
  <c r="N82" i="19"/>
  <c r="N79" i="19"/>
  <c r="N95" i="19"/>
  <c r="N93" i="19"/>
  <c r="N71" i="19"/>
  <c r="N64" i="19"/>
  <c r="N35" i="19"/>
  <c r="N53" i="19"/>
  <c r="N84" i="19"/>
  <c r="M100" i="52"/>
  <c r="M77" i="52"/>
  <c r="M50" i="52"/>
  <c r="M40" i="52"/>
  <c r="M89" i="52"/>
  <c r="M66" i="52"/>
  <c r="M61" i="52"/>
  <c r="M42" i="52"/>
  <c r="M95" i="52"/>
  <c r="M84" i="52"/>
  <c r="M81" i="52"/>
  <c r="M41" i="52"/>
  <c r="M68" i="52"/>
  <c r="M59" i="52"/>
  <c r="M48" i="52"/>
  <c r="M37" i="52"/>
  <c r="M102" i="52"/>
  <c r="M91" i="52"/>
  <c r="M57" i="52"/>
  <c r="M36" i="52"/>
  <c r="M34" i="52"/>
  <c r="M94" i="52"/>
  <c r="M76" i="52"/>
  <c r="M54" i="52"/>
  <c r="M103" i="52"/>
  <c r="M88" i="52"/>
  <c r="M72" i="52"/>
  <c r="M101" i="52"/>
  <c r="M67" i="52"/>
  <c r="M56" i="52"/>
  <c r="M43" i="52"/>
  <c r="M85" i="52"/>
  <c r="M80" i="52"/>
  <c r="M96" i="52"/>
  <c r="M74" i="52"/>
  <c r="M86" i="52"/>
  <c r="M98" i="52"/>
  <c r="M39" i="52"/>
  <c r="M55" i="52"/>
  <c r="M38" i="52"/>
  <c r="M53" i="52"/>
  <c r="M35" i="52"/>
  <c r="M92" i="52"/>
  <c r="M64" i="52"/>
  <c r="M52" i="52"/>
  <c r="M70" i="52"/>
  <c r="M99" i="52"/>
  <c r="M97" i="52"/>
  <c r="M46" i="52"/>
  <c r="M93" i="52"/>
  <c r="M63" i="52"/>
  <c r="M87" i="52"/>
  <c r="M47" i="52"/>
  <c r="M82" i="52"/>
  <c r="M75" i="52"/>
  <c r="M73" i="52"/>
  <c r="M71" i="52"/>
  <c r="M44" i="52"/>
  <c r="M51" i="52"/>
  <c r="M58" i="52"/>
  <c r="M79" i="52"/>
  <c r="M83" i="52"/>
  <c r="M62" i="52"/>
  <c r="M60" i="52"/>
  <c r="M78" i="52"/>
  <c r="M49" i="52"/>
  <c r="M45" i="52"/>
  <c r="N38" i="19"/>
  <c r="N55" i="19"/>
  <c r="N81" i="19"/>
  <c r="I12" i="27"/>
  <c r="D33" i="27" s="1"/>
  <c r="I11" i="27"/>
  <c r="C33" i="27" s="1"/>
  <c r="C35" i="92"/>
  <c r="M33" i="92"/>
  <c r="M33" i="73"/>
  <c r="C35" i="73"/>
  <c r="N92" i="19"/>
  <c r="N94" i="19"/>
  <c r="C35" i="102"/>
  <c r="M33" i="102"/>
  <c r="C35" i="84"/>
  <c r="M33" i="84"/>
  <c r="C35" i="45"/>
  <c r="M33" i="45"/>
  <c r="I11" i="19"/>
  <c r="C33" i="19" s="1"/>
  <c r="I12" i="26"/>
  <c r="D33" i="26" s="1"/>
  <c r="I11" i="26"/>
  <c r="C33" i="26" s="1"/>
  <c r="M33" i="108"/>
  <c r="C35" i="108"/>
  <c r="I12" i="29"/>
  <c r="D33" i="29" s="1"/>
  <c r="I11" i="29"/>
  <c r="C33" i="29" s="1"/>
  <c r="N87" i="42"/>
  <c r="N96" i="42"/>
  <c r="N103" i="42"/>
  <c r="N88" i="42"/>
  <c r="N86" i="42"/>
  <c r="N46" i="42"/>
  <c r="N36" i="42"/>
  <c r="N53" i="42"/>
  <c r="N80" i="42"/>
  <c r="N58" i="42"/>
  <c r="N76" i="42"/>
  <c r="N51" i="42"/>
  <c r="N39" i="42"/>
  <c r="N100" i="42"/>
  <c r="N68" i="42"/>
  <c r="N35" i="42"/>
  <c r="N81" i="42"/>
  <c r="N77" i="42"/>
  <c r="N62" i="42"/>
  <c r="N43" i="42"/>
  <c r="N61" i="42"/>
  <c r="N50" i="42"/>
  <c r="N74" i="42"/>
  <c r="N72" i="42"/>
  <c r="N69" i="42"/>
  <c r="N66" i="42"/>
  <c r="N57" i="42"/>
  <c r="N102" i="42"/>
  <c r="N94" i="42"/>
  <c r="N92" i="42"/>
  <c r="N82" i="42"/>
  <c r="N40" i="42"/>
  <c r="N60" i="42"/>
  <c r="N71" i="42"/>
  <c r="N75" i="42"/>
  <c r="N73" i="42"/>
  <c r="N70" i="42"/>
  <c r="N34" i="42"/>
  <c r="N63" i="42"/>
  <c r="N37" i="42"/>
  <c r="N85" i="42"/>
  <c r="N83" i="42"/>
  <c r="N55" i="42"/>
  <c r="N47" i="42"/>
  <c r="N42" i="42"/>
  <c r="N101" i="42"/>
  <c r="N64" i="42"/>
  <c r="N45" i="42"/>
  <c r="N98" i="42"/>
  <c r="M33" i="14"/>
  <c r="C35" i="14"/>
  <c r="N90" i="42"/>
  <c r="M33" i="104"/>
  <c r="C35" i="104"/>
  <c r="I12" i="64"/>
  <c r="D33" i="64" s="1"/>
  <c r="I11" i="64"/>
  <c r="C33" i="64" s="1"/>
  <c r="C35" i="56"/>
  <c r="M33" i="56"/>
  <c r="M33" i="76"/>
  <c r="C35" i="76"/>
  <c r="M90" i="106"/>
  <c r="M67" i="106"/>
  <c r="M58" i="106"/>
  <c r="M99" i="106"/>
  <c r="M76" i="106"/>
  <c r="M49" i="106"/>
  <c r="M39" i="106"/>
  <c r="M97" i="106"/>
  <c r="M74" i="106"/>
  <c r="M47" i="106"/>
  <c r="M92" i="106"/>
  <c r="M78" i="106"/>
  <c r="M45" i="106"/>
  <c r="M35" i="106"/>
  <c r="M101" i="106"/>
  <c r="M88" i="106"/>
  <c r="M63" i="106"/>
  <c r="M54" i="106"/>
  <c r="M42" i="106"/>
  <c r="M93" i="106"/>
  <c r="M82" i="106"/>
  <c r="M79" i="106"/>
  <c r="M66" i="106"/>
  <c r="M57" i="106"/>
  <c r="M46" i="106"/>
  <c r="M96" i="106"/>
  <c r="M61" i="106"/>
  <c r="M50" i="106"/>
  <c r="M94" i="106"/>
  <c r="M72" i="106"/>
  <c r="M48" i="106"/>
  <c r="M34" i="106"/>
  <c r="M59" i="106"/>
  <c r="M44" i="106"/>
  <c r="M68" i="106"/>
  <c r="M75" i="106"/>
  <c r="M62" i="106"/>
  <c r="M51" i="106"/>
  <c r="M80" i="106"/>
  <c r="M98" i="106"/>
  <c r="M55" i="106"/>
  <c r="M52" i="106"/>
  <c r="M43" i="106"/>
  <c r="M81" i="106"/>
  <c r="M84" i="106"/>
  <c r="M77" i="106"/>
  <c r="M60" i="106"/>
  <c r="I11" i="81"/>
  <c r="C33" i="81" s="1"/>
  <c r="I12" i="81"/>
  <c r="D33" i="81" s="1"/>
  <c r="C35" i="79"/>
  <c r="M33" i="79"/>
  <c r="M93" i="53"/>
  <c r="M63" i="53"/>
  <c r="M102" i="53"/>
  <c r="M82" i="53"/>
  <c r="M79" i="53"/>
  <c r="M54" i="53"/>
  <c r="M45" i="53"/>
  <c r="M89" i="53"/>
  <c r="M67" i="53"/>
  <c r="M59" i="53"/>
  <c r="M42" i="53"/>
  <c r="M101" i="53"/>
  <c r="M90" i="53"/>
  <c r="M74" i="53"/>
  <c r="M56" i="53"/>
  <c r="M35" i="53"/>
  <c r="M86" i="53"/>
  <c r="M41" i="53"/>
  <c r="M84" i="53"/>
  <c r="M46" i="53"/>
  <c r="M97" i="53"/>
  <c r="M77" i="53"/>
  <c r="M57" i="53"/>
  <c r="M34" i="53"/>
  <c r="M73" i="53"/>
  <c r="M64" i="53"/>
  <c r="M70" i="53"/>
  <c r="M51" i="53"/>
  <c r="M44" i="53"/>
  <c r="M52" i="53"/>
  <c r="M48" i="53"/>
  <c r="M61" i="53"/>
  <c r="M72" i="53"/>
  <c r="M40" i="106"/>
  <c r="M33" i="83"/>
  <c r="C35" i="83"/>
  <c r="M33" i="33"/>
  <c r="C35" i="33"/>
  <c r="M102" i="97"/>
  <c r="M82" i="97"/>
  <c r="M91" i="97"/>
  <c r="M87" i="97"/>
  <c r="M101" i="97"/>
  <c r="M90" i="97"/>
  <c r="M66" i="97"/>
  <c r="M58" i="97"/>
  <c r="M51" i="97"/>
  <c r="M74" i="97"/>
  <c r="M84" i="97"/>
  <c r="M63" i="97"/>
  <c r="M70" i="97"/>
  <c r="M53" i="97"/>
  <c r="M98" i="97"/>
  <c r="M85" i="97"/>
  <c r="M80" i="97"/>
  <c r="M60" i="97"/>
  <c r="M52" i="97"/>
  <c r="M96" i="97"/>
  <c r="M78" i="97"/>
  <c r="M49" i="97"/>
  <c r="M39" i="97"/>
  <c r="M38" i="97"/>
  <c r="M99" i="97"/>
  <c r="M86" i="97"/>
  <c r="M81" i="97"/>
  <c r="M61" i="97"/>
  <c r="M42" i="97"/>
  <c r="M93" i="97"/>
  <c r="M68" i="97"/>
  <c r="M45" i="97"/>
  <c r="M41" i="97"/>
  <c r="M94" i="97"/>
  <c r="M46" i="97"/>
  <c r="M34" i="97"/>
  <c r="M97" i="97"/>
  <c r="M43" i="97"/>
  <c r="M95" i="97"/>
  <c r="M40" i="97"/>
  <c r="M37" i="97"/>
  <c r="M56" i="97"/>
  <c r="M36" i="97"/>
  <c r="M89" i="97"/>
  <c r="M54" i="97"/>
  <c r="M83" i="97"/>
  <c r="M76" i="97"/>
  <c r="M57" i="97"/>
  <c r="M71" i="97"/>
  <c r="M48" i="97"/>
  <c r="M33" i="77"/>
  <c r="C35" i="77"/>
  <c r="C35" i="78"/>
  <c r="M33" i="78"/>
  <c r="M62" i="97"/>
  <c r="M75" i="97"/>
  <c r="M88" i="97"/>
  <c r="M33" i="47"/>
  <c r="C35" i="47"/>
  <c r="C35" i="96"/>
  <c r="M33" i="96"/>
  <c r="C35" i="54"/>
  <c r="M33" i="54"/>
  <c r="D35" i="60"/>
  <c r="N33" i="60"/>
  <c r="M103" i="49"/>
  <c r="M83" i="49"/>
  <c r="M80" i="49"/>
  <c r="M70" i="49"/>
  <c r="M91" i="49"/>
  <c r="M57" i="49"/>
  <c r="M48" i="49"/>
  <c r="M100" i="49"/>
  <c r="M75" i="49"/>
  <c r="M64" i="49"/>
  <c r="M37" i="49"/>
  <c r="M89" i="49"/>
  <c r="M46" i="49"/>
  <c r="M36" i="49"/>
  <c r="M87" i="49"/>
  <c r="M62" i="49"/>
  <c r="M44" i="49"/>
  <c r="M34" i="49"/>
  <c r="M96" i="49"/>
  <c r="M71" i="49"/>
  <c r="M53" i="49"/>
  <c r="M94" i="49"/>
  <c r="M51" i="49"/>
  <c r="M101" i="49"/>
  <c r="M81" i="49"/>
  <c r="M99" i="49"/>
  <c r="M84" i="49"/>
  <c r="M79" i="49"/>
  <c r="M66" i="49"/>
  <c r="M95" i="49"/>
  <c r="M52" i="49"/>
  <c r="M38" i="49"/>
  <c r="M93" i="49"/>
  <c r="M35" i="49"/>
  <c r="M58" i="49"/>
  <c r="M43" i="49"/>
  <c r="M97" i="49"/>
  <c r="M42" i="49"/>
  <c r="M78" i="49"/>
  <c r="M54" i="49"/>
  <c r="M98" i="49"/>
  <c r="M72" i="49"/>
  <c r="M74" i="49"/>
  <c r="M59" i="49"/>
  <c r="M39" i="49"/>
  <c r="M68" i="49"/>
  <c r="M82" i="49"/>
  <c r="M40" i="49"/>
  <c r="M77" i="49"/>
  <c r="M88" i="49"/>
  <c r="C35" i="35"/>
  <c r="M33" i="35"/>
  <c r="M60" i="49"/>
  <c r="M90" i="49"/>
  <c r="M89" i="51"/>
  <c r="M66" i="51"/>
  <c r="M98" i="51"/>
  <c r="M75" i="51"/>
  <c r="M57" i="51"/>
  <c r="M48" i="51"/>
  <c r="M100" i="51"/>
  <c r="M55" i="51"/>
  <c r="M44" i="51"/>
  <c r="M34" i="51"/>
  <c r="M87" i="51"/>
  <c r="M73" i="51"/>
  <c r="M62" i="51"/>
  <c r="M53" i="51"/>
  <c r="M70" i="51"/>
  <c r="M60" i="51"/>
  <c r="M51" i="51"/>
  <c r="M94" i="51"/>
  <c r="M83" i="51"/>
  <c r="M80" i="51"/>
  <c r="M39" i="51"/>
  <c r="M103" i="51"/>
  <c r="M92" i="51"/>
  <c r="M78" i="51"/>
  <c r="M67" i="51"/>
  <c r="M47" i="51"/>
  <c r="M90" i="51"/>
  <c r="M68" i="51"/>
  <c r="M88" i="51"/>
  <c r="M99" i="51"/>
  <c r="M84" i="51"/>
  <c r="M79" i="51"/>
  <c r="M97" i="51"/>
  <c r="M82" i="51"/>
  <c r="M77" i="51"/>
  <c r="M49" i="51"/>
  <c r="M35" i="51"/>
  <c r="M58" i="51"/>
  <c r="M42" i="51"/>
  <c r="M41" i="51"/>
  <c r="M36" i="51"/>
  <c r="M85" i="51"/>
  <c r="M74" i="51"/>
  <c r="M54" i="51"/>
  <c r="M33" i="37"/>
  <c r="C35" i="37"/>
  <c r="M33" i="36"/>
  <c r="C35" i="36"/>
  <c r="M101" i="50"/>
  <c r="M78" i="50"/>
  <c r="M51" i="50"/>
  <c r="M90" i="50"/>
  <c r="M67" i="50"/>
  <c r="M58" i="50"/>
  <c r="M95" i="50"/>
  <c r="M84" i="50"/>
  <c r="M81" i="50"/>
  <c r="M50" i="50"/>
  <c r="M40" i="50"/>
  <c r="M68" i="50"/>
  <c r="M59" i="50"/>
  <c r="M93" i="50"/>
  <c r="M82" i="50"/>
  <c r="M79" i="50"/>
  <c r="M48" i="50"/>
  <c r="M102" i="50"/>
  <c r="M91" i="50"/>
  <c r="M46" i="50"/>
  <c r="M36" i="50"/>
  <c r="M100" i="50"/>
  <c r="M89" i="50"/>
  <c r="M75" i="50"/>
  <c r="M64" i="50"/>
  <c r="M98" i="50"/>
  <c r="M87" i="50"/>
  <c r="M73" i="50"/>
  <c r="M94" i="50"/>
  <c r="M92" i="50"/>
  <c r="M66" i="50"/>
  <c r="M77" i="50"/>
  <c r="M53" i="50"/>
  <c r="M38" i="50"/>
  <c r="M62" i="50"/>
  <c r="M52" i="50"/>
  <c r="M80" i="50"/>
  <c r="M61" i="50"/>
  <c r="M85" i="50"/>
  <c r="M76" i="50"/>
  <c r="M44" i="50"/>
  <c r="M39" i="50"/>
  <c r="M86" i="50"/>
  <c r="M45" i="50"/>
  <c r="M83" i="50"/>
  <c r="M57" i="50"/>
  <c r="M74" i="50"/>
  <c r="M52" i="51"/>
  <c r="M64" i="38"/>
  <c r="M97" i="50"/>
  <c r="M98" i="38"/>
  <c r="M75" i="38"/>
  <c r="M58" i="38"/>
  <c r="M87" i="38"/>
  <c r="M49" i="38"/>
  <c r="M39" i="38"/>
  <c r="M96" i="38"/>
  <c r="M73" i="38"/>
  <c r="M67" i="38"/>
  <c r="M38" i="38"/>
  <c r="M85" i="38"/>
  <c r="M47" i="38"/>
  <c r="M94" i="38"/>
  <c r="M71" i="38"/>
  <c r="M56" i="38"/>
  <c r="M103" i="38"/>
  <c r="M83" i="38"/>
  <c r="M80" i="38"/>
  <c r="M70" i="38"/>
  <c r="M63" i="38"/>
  <c r="M45" i="38"/>
  <c r="M92" i="38"/>
  <c r="M54" i="38"/>
  <c r="M34" i="38"/>
  <c r="M101" i="38"/>
  <c r="M78" i="38"/>
  <c r="M61" i="38"/>
  <c r="M43" i="38"/>
  <c r="M88" i="38"/>
  <c r="M68" i="38"/>
  <c r="M50" i="38"/>
  <c r="M40" i="38"/>
  <c r="M35" i="38"/>
  <c r="M95" i="38"/>
  <c r="M59" i="38"/>
  <c r="M44" i="38"/>
  <c r="M93" i="38"/>
  <c r="M91" i="38"/>
  <c r="M57" i="38"/>
  <c r="M89" i="38"/>
  <c r="M55" i="38"/>
  <c r="M53" i="38"/>
  <c r="M100" i="38"/>
  <c r="M51" i="38"/>
  <c r="M99" i="38"/>
  <c r="M52" i="38"/>
  <c r="M97" i="38"/>
  <c r="M42" i="38"/>
  <c r="M41" i="38"/>
  <c r="M72" i="38"/>
  <c r="C35" i="38"/>
  <c r="M36" i="38"/>
  <c r="M99" i="34"/>
  <c r="M54" i="34"/>
  <c r="M42" i="34"/>
  <c r="M88" i="34"/>
  <c r="M78" i="34"/>
  <c r="M61" i="34"/>
  <c r="M43" i="34"/>
  <c r="M86" i="34"/>
  <c r="M76" i="34"/>
  <c r="M59" i="34"/>
  <c r="M95" i="34"/>
  <c r="M68" i="34"/>
  <c r="M50" i="34"/>
  <c r="M93" i="34"/>
  <c r="M57" i="34"/>
  <c r="M48" i="34"/>
  <c r="M34" i="34"/>
  <c r="M102" i="34"/>
  <c r="M82" i="34"/>
  <c r="M72" i="34"/>
  <c r="M66" i="34"/>
  <c r="M64" i="34"/>
  <c r="M89" i="34"/>
  <c r="M79" i="34"/>
  <c r="M62" i="34"/>
  <c r="M44" i="34"/>
  <c r="M92" i="34"/>
  <c r="M51" i="34"/>
  <c r="M40" i="34"/>
  <c r="M36" i="34"/>
  <c r="M74" i="34"/>
  <c r="M49" i="34"/>
  <c r="M41" i="34"/>
  <c r="M37" i="34"/>
  <c r="M90" i="34"/>
  <c r="M60" i="34"/>
  <c r="M47" i="34"/>
  <c r="M101" i="34"/>
  <c r="M45" i="34"/>
  <c r="M84" i="34"/>
  <c r="M97" i="34"/>
  <c r="M81" i="34"/>
  <c r="M91" i="34"/>
  <c r="M87" i="34"/>
  <c r="M55" i="34"/>
  <c r="M85" i="34"/>
  <c r="M53" i="34"/>
  <c r="M83" i="34"/>
  <c r="M52" i="34"/>
  <c r="M80" i="34"/>
  <c r="C35" i="34"/>
  <c r="M56" i="34"/>
  <c r="M38" i="34"/>
  <c r="I11" i="61"/>
  <c r="C33" i="61" s="1"/>
  <c r="C35" i="57"/>
  <c r="M33" i="57"/>
  <c r="M103" i="34"/>
  <c r="M33" i="58"/>
  <c r="I13" i="39"/>
  <c r="E33" i="39" s="1"/>
  <c r="I12" i="39"/>
  <c r="D33" i="39" s="1"/>
  <c r="I11" i="39"/>
  <c r="C33" i="39" s="1"/>
  <c r="N59" i="23" l="1"/>
  <c r="M50" i="91"/>
  <c r="N82" i="23"/>
  <c r="M76" i="91"/>
  <c r="N67" i="23" l="1"/>
  <c r="N46" i="23"/>
  <c r="N36" i="23"/>
  <c r="N84" i="23"/>
  <c r="N34" i="20"/>
  <c r="N50" i="20"/>
  <c r="N56" i="20"/>
  <c r="N88" i="20"/>
  <c r="N87" i="23"/>
  <c r="N91" i="23"/>
  <c r="N33" i="55"/>
  <c r="N63" i="55" s="1"/>
  <c r="N51" i="23"/>
  <c r="N84" i="61"/>
  <c r="N97" i="23"/>
  <c r="N103" i="23"/>
  <c r="N74" i="95"/>
  <c r="N68" i="61"/>
  <c r="M76" i="103"/>
  <c r="M36" i="105"/>
  <c r="M71" i="103"/>
  <c r="N102" i="23"/>
  <c r="M41" i="103"/>
  <c r="N62" i="23"/>
  <c r="N96" i="23"/>
  <c r="N34" i="23"/>
  <c r="N44" i="23"/>
  <c r="N61" i="23"/>
  <c r="N83" i="23"/>
  <c r="N47" i="23"/>
  <c r="N49" i="23"/>
  <c r="N86" i="23"/>
  <c r="N52" i="23"/>
  <c r="N85" i="23"/>
  <c r="N38" i="23"/>
  <c r="N63" i="23"/>
  <c r="N53" i="23"/>
  <c r="M50" i="105"/>
  <c r="N58" i="23"/>
  <c r="N64" i="23"/>
  <c r="N66" i="23"/>
  <c r="M47" i="103"/>
  <c r="N67" i="95"/>
  <c r="N34" i="95"/>
  <c r="N89" i="95"/>
  <c r="M87" i="103"/>
  <c r="M54" i="103"/>
  <c r="N97" i="20"/>
  <c r="N76" i="95"/>
  <c r="N50" i="95"/>
  <c r="M76" i="48"/>
  <c r="M92" i="48"/>
  <c r="M67" i="48"/>
  <c r="N86" i="95"/>
  <c r="N95" i="95"/>
  <c r="M78" i="48"/>
  <c r="N90" i="95"/>
  <c r="N88" i="95"/>
  <c r="M94" i="48"/>
  <c r="M46" i="48"/>
  <c r="M83" i="48"/>
  <c r="N39" i="95"/>
  <c r="N40" i="95"/>
  <c r="M77" i="48"/>
  <c r="N55" i="95"/>
  <c r="N91" i="95"/>
  <c r="M44" i="91"/>
  <c r="M77" i="103"/>
  <c r="M59" i="103"/>
  <c r="M71" i="105"/>
  <c r="M48" i="91"/>
  <c r="M63" i="103"/>
  <c r="C49" i="63"/>
  <c r="M97" i="105"/>
  <c r="M59" i="91"/>
  <c r="M58" i="103"/>
  <c r="M67" i="91"/>
  <c r="N77" i="20"/>
  <c r="M68" i="103"/>
  <c r="N51" i="20"/>
  <c r="M80" i="103"/>
  <c r="M91" i="103"/>
  <c r="M72" i="100"/>
  <c r="M37" i="100"/>
  <c r="D35" i="58"/>
  <c r="M53" i="90"/>
  <c r="N101" i="63"/>
  <c r="C35" i="94"/>
  <c r="M101" i="90"/>
  <c r="N76" i="63"/>
  <c r="N100" i="95"/>
  <c r="M35" i="90"/>
  <c r="N64" i="63"/>
  <c r="N36" i="63"/>
  <c r="N79" i="95"/>
  <c r="C35" i="87"/>
  <c r="M87" i="48"/>
  <c r="M96" i="90"/>
  <c r="N92" i="94"/>
  <c r="M93" i="48"/>
  <c r="N43" i="94"/>
  <c r="N81" i="95"/>
  <c r="N84" i="95"/>
  <c r="M35" i="48"/>
  <c r="M41" i="48"/>
  <c r="M33" i="60"/>
  <c r="M71" i="60" s="1"/>
  <c r="M57" i="48"/>
  <c r="M86" i="66"/>
  <c r="M48" i="103"/>
  <c r="N37" i="23"/>
  <c r="M74" i="66"/>
  <c r="N84" i="94"/>
  <c r="M72" i="103"/>
  <c r="N82" i="94"/>
  <c r="M45" i="100"/>
  <c r="M85" i="107"/>
  <c r="M81" i="72"/>
  <c r="M59" i="100"/>
  <c r="M49" i="103"/>
  <c r="N76" i="94"/>
  <c r="N47" i="61"/>
  <c r="N54" i="61"/>
  <c r="M93" i="107"/>
  <c r="M35" i="72"/>
  <c r="M88" i="100"/>
  <c r="M94" i="103"/>
  <c r="N48" i="94"/>
  <c r="M64" i="48"/>
  <c r="M82" i="100"/>
  <c r="M83" i="103"/>
  <c r="N70" i="61"/>
  <c r="N76" i="61"/>
  <c r="M46" i="107"/>
  <c r="M47" i="100"/>
  <c r="M62" i="100"/>
  <c r="M37" i="66"/>
  <c r="N61" i="61"/>
  <c r="N35" i="61"/>
  <c r="M64" i="107"/>
  <c r="M53" i="48"/>
  <c r="M58" i="48"/>
  <c r="M51" i="100"/>
  <c r="M71" i="100"/>
  <c r="M83" i="66"/>
  <c r="N72" i="61"/>
  <c r="M59" i="48"/>
  <c r="M98" i="48"/>
  <c r="M61" i="100"/>
  <c r="M63" i="100"/>
  <c r="N79" i="61"/>
  <c r="M97" i="107"/>
  <c r="M99" i="48"/>
  <c r="M43" i="48"/>
  <c r="M45" i="48"/>
  <c r="M91" i="100"/>
  <c r="M86" i="100"/>
  <c r="N87" i="63"/>
  <c r="N100" i="94"/>
  <c r="M36" i="48"/>
  <c r="N103" i="61"/>
  <c r="N36" i="61"/>
  <c r="N82" i="61"/>
  <c r="M66" i="107"/>
  <c r="M44" i="48"/>
  <c r="M91" i="48"/>
  <c r="M54" i="48"/>
  <c r="M41" i="100"/>
  <c r="M97" i="100"/>
  <c r="N43" i="63"/>
  <c r="N96" i="94"/>
  <c r="N99" i="61"/>
  <c r="N100" i="61"/>
  <c r="M53" i="107"/>
  <c r="M85" i="100"/>
  <c r="M89" i="107"/>
  <c r="M50" i="48"/>
  <c r="M47" i="48"/>
  <c r="N75" i="61"/>
  <c r="M43" i="100"/>
  <c r="N86" i="61"/>
  <c r="M81" i="107"/>
  <c r="N73" i="61"/>
  <c r="M81" i="48"/>
  <c r="M56" i="100"/>
  <c r="M53" i="100"/>
  <c r="N59" i="61"/>
  <c r="N88" i="61"/>
  <c r="N34" i="61"/>
  <c r="M41" i="107"/>
  <c r="M71" i="107"/>
  <c r="M73" i="48"/>
  <c r="M60" i="48"/>
  <c r="M84" i="48"/>
  <c r="M77" i="100"/>
  <c r="M60" i="100"/>
  <c r="N57" i="63"/>
  <c r="N52" i="94"/>
  <c r="M74" i="48"/>
  <c r="M44" i="100"/>
  <c r="M90" i="100"/>
  <c r="N43" i="61"/>
  <c r="N93" i="61"/>
  <c r="M57" i="107"/>
  <c r="M91" i="107"/>
  <c r="M51" i="71"/>
  <c r="M34" i="48"/>
  <c r="M52" i="48"/>
  <c r="M97" i="48"/>
  <c r="M84" i="100"/>
  <c r="N76" i="23"/>
  <c r="N61" i="20"/>
  <c r="N73" i="63"/>
  <c r="N68" i="94"/>
  <c r="M84" i="107"/>
  <c r="N39" i="61"/>
  <c r="M34" i="107"/>
  <c r="M42" i="107"/>
  <c r="M90" i="55"/>
  <c r="M60" i="71"/>
  <c r="M70" i="48"/>
  <c r="M101" i="48"/>
  <c r="M39" i="48"/>
  <c r="M101" i="100"/>
  <c r="N80" i="23"/>
  <c r="N39" i="20"/>
  <c r="N45" i="63"/>
  <c r="N90" i="94"/>
  <c r="N96" i="61"/>
  <c r="M39" i="107"/>
  <c r="M85" i="48"/>
  <c r="M96" i="48"/>
  <c r="M71" i="48"/>
  <c r="N78" i="61"/>
  <c r="N90" i="61"/>
  <c r="N38" i="61"/>
  <c r="N41" i="61"/>
  <c r="M103" i="107"/>
  <c r="M68" i="107"/>
  <c r="M40" i="55"/>
  <c r="M96" i="71"/>
  <c r="M82" i="48"/>
  <c r="M79" i="48"/>
  <c r="M49" i="48"/>
  <c r="M67" i="100"/>
  <c r="N55" i="23"/>
  <c r="N102" i="20"/>
  <c r="M61" i="48"/>
  <c r="M74" i="100"/>
  <c r="N51" i="61"/>
  <c r="N66" i="61"/>
  <c r="M93" i="71"/>
  <c r="M51" i="48"/>
  <c r="M95" i="48"/>
  <c r="M79" i="100"/>
  <c r="M89" i="48"/>
  <c r="M37" i="107"/>
  <c r="N63" i="61"/>
  <c r="N102" i="61"/>
  <c r="N40" i="61"/>
  <c r="M90" i="107"/>
  <c r="M59" i="107"/>
  <c r="M47" i="107"/>
  <c r="M62" i="71"/>
  <c r="N45" i="61"/>
  <c r="N80" i="61"/>
  <c r="N92" i="61"/>
  <c r="M38" i="107"/>
  <c r="M82" i="107"/>
  <c r="M43" i="71"/>
  <c r="M66" i="48"/>
  <c r="M42" i="48"/>
  <c r="M46" i="100"/>
  <c r="N56" i="61"/>
  <c r="M79" i="107"/>
  <c r="N94" i="61"/>
  <c r="M58" i="107"/>
  <c r="M102" i="107"/>
  <c r="C35" i="59"/>
  <c r="M54" i="71"/>
  <c r="M55" i="48"/>
  <c r="M63" i="48"/>
  <c r="M75" i="100"/>
  <c r="M57" i="100"/>
  <c r="N43" i="23"/>
  <c r="N74" i="23"/>
  <c r="M55" i="107"/>
  <c r="M95" i="100"/>
  <c r="N81" i="61"/>
  <c r="M50" i="107"/>
  <c r="M103" i="48"/>
  <c r="M75" i="48"/>
  <c r="N71" i="61"/>
  <c r="M88" i="107"/>
  <c r="N60" i="61"/>
  <c r="N62" i="61"/>
  <c r="M87" i="71"/>
  <c r="M68" i="48"/>
  <c r="M56" i="48"/>
  <c r="M94" i="100"/>
  <c r="M81" i="100"/>
  <c r="N88" i="23"/>
  <c r="N70" i="23"/>
  <c r="N92" i="23"/>
  <c r="N67" i="20"/>
  <c r="N54" i="95"/>
  <c r="M61" i="63"/>
  <c r="M80" i="63"/>
  <c r="M94" i="63"/>
  <c r="M99" i="63"/>
  <c r="M93" i="63"/>
  <c r="M75" i="63"/>
  <c r="M87" i="63"/>
  <c r="M57" i="63"/>
  <c r="M98" i="63"/>
  <c r="M74" i="63"/>
  <c r="M38" i="63"/>
  <c r="M39" i="63"/>
  <c r="M34" i="63"/>
  <c r="M78" i="63"/>
  <c r="M102" i="105"/>
  <c r="M75" i="90"/>
  <c r="M56" i="90"/>
  <c r="N38" i="20"/>
  <c r="M78" i="103"/>
  <c r="M63" i="105"/>
  <c r="N33" i="17"/>
  <c r="N97" i="17" s="1"/>
  <c r="M85" i="103"/>
  <c r="M72" i="105"/>
  <c r="M82" i="90"/>
  <c r="M42" i="66"/>
  <c r="M37" i="103"/>
  <c r="M58" i="105"/>
  <c r="M57" i="22"/>
  <c r="M79" i="90"/>
  <c r="M101" i="66"/>
  <c r="M66" i="103"/>
  <c r="C35" i="63"/>
  <c r="M53" i="105"/>
  <c r="M73" i="22"/>
  <c r="M34" i="90"/>
  <c r="N74" i="20"/>
  <c r="M98" i="66"/>
  <c r="M62" i="103"/>
  <c r="N45" i="23"/>
  <c r="M92" i="22"/>
  <c r="M91" i="105"/>
  <c r="M48" i="90"/>
  <c r="N37" i="20"/>
  <c r="M38" i="66"/>
  <c r="M70" i="103"/>
  <c r="M46" i="105"/>
  <c r="M88" i="90"/>
  <c r="N47" i="20"/>
  <c r="M49" i="66"/>
  <c r="M90" i="103"/>
  <c r="M89" i="103"/>
  <c r="M57" i="105"/>
  <c r="M79" i="105"/>
  <c r="M76" i="105"/>
  <c r="M70" i="105"/>
  <c r="M38" i="105"/>
  <c r="M77" i="105"/>
  <c r="M43" i="105"/>
  <c r="M49" i="105"/>
  <c r="M85" i="105"/>
  <c r="M89" i="105"/>
  <c r="N41" i="20"/>
  <c r="M46" i="103"/>
  <c r="M95" i="105"/>
  <c r="M45" i="22"/>
  <c r="M36" i="90"/>
  <c r="N103" i="20"/>
  <c r="M95" i="103"/>
  <c r="M96" i="105"/>
  <c r="M86" i="90"/>
  <c r="N89" i="20"/>
  <c r="M50" i="103"/>
  <c r="M71" i="71"/>
  <c r="N66" i="63"/>
  <c r="N88" i="94"/>
  <c r="N59" i="63"/>
  <c r="M91" i="72"/>
  <c r="N56" i="63"/>
  <c r="N54" i="94"/>
  <c r="M43" i="72"/>
  <c r="M70" i="72"/>
  <c r="M99" i="100"/>
  <c r="M58" i="100"/>
  <c r="M55" i="100"/>
  <c r="M60" i="90"/>
  <c r="N83" i="63"/>
  <c r="N40" i="94"/>
  <c r="M33" i="15"/>
  <c r="M73" i="15" s="1"/>
  <c r="M42" i="22"/>
  <c r="M102" i="48"/>
  <c r="M48" i="48"/>
  <c r="M38" i="48"/>
  <c r="M98" i="100"/>
  <c r="M68" i="100"/>
  <c r="M70" i="100"/>
  <c r="M70" i="90"/>
  <c r="M77" i="91"/>
  <c r="M33" i="23"/>
  <c r="M66" i="23" s="1"/>
  <c r="M92" i="103"/>
  <c r="M55" i="103"/>
  <c r="N95" i="94"/>
  <c r="N63" i="95"/>
  <c r="M78" i="100"/>
  <c r="M87" i="100"/>
  <c r="M80" i="100"/>
  <c r="M51" i="90"/>
  <c r="N62" i="94"/>
  <c r="N51" i="95"/>
  <c r="M93" i="100"/>
  <c r="M38" i="100"/>
  <c r="M83" i="100"/>
  <c r="M58" i="90"/>
  <c r="N87" i="94"/>
  <c r="N52" i="95"/>
  <c r="M36" i="100"/>
  <c r="M39" i="100"/>
  <c r="M103" i="100"/>
  <c r="M61" i="90"/>
  <c r="N37" i="94"/>
  <c r="N59" i="95"/>
  <c r="M40" i="100"/>
  <c r="M89" i="100"/>
  <c r="M95" i="90"/>
  <c r="N61" i="94"/>
  <c r="N68" i="95"/>
  <c r="M40" i="48"/>
  <c r="M86" i="48"/>
  <c r="M72" i="48"/>
  <c r="M88" i="48"/>
  <c r="M54" i="100"/>
  <c r="M96" i="100"/>
  <c r="M93" i="90"/>
  <c r="N99" i="63"/>
  <c r="M74" i="103"/>
  <c r="M35" i="103"/>
  <c r="N67" i="94"/>
  <c r="N71" i="95"/>
  <c r="M80" i="48"/>
  <c r="M62" i="48"/>
  <c r="M90" i="48"/>
  <c r="M66" i="100"/>
  <c r="M98" i="90"/>
  <c r="N75" i="63"/>
  <c r="M100" i="66"/>
  <c r="M97" i="103"/>
  <c r="M45" i="103"/>
  <c r="N49" i="94"/>
  <c r="M41" i="72"/>
  <c r="M57" i="72"/>
  <c r="M99" i="72"/>
  <c r="N34" i="63"/>
  <c r="M60" i="72"/>
  <c r="M67" i="72"/>
  <c r="M103" i="72"/>
  <c r="M53" i="72"/>
  <c r="M42" i="72"/>
  <c r="M64" i="72"/>
  <c r="M79" i="72"/>
  <c r="M73" i="72"/>
  <c r="M62" i="72"/>
  <c r="M58" i="72"/>
  <c r="M71" i="72"/>
  <c r="M95" i="72"/>
  <c r="N97" i="63"/>
  <c r="N80" i="63"/>
  <c r="M52" i="72"/>
  <c r="M38" i="72"/>
  <c r="M90" i="72"/>
  <c r="N68" i="63"/>
  <c r="M46" i="90"/>
  <c r="M40" i="90"/>
  <c r="N86" i="20"/>
  <c r="N70" i="63"/>
  <c r="N63" i="94"/>
  <c r="N41" i="94"/>
  <c r="N48" i="23"/>
  <c r="N41" i="95"/>
  <c r="M49" i="72"/>
  <c r="M85" i="72"/>
  <c r="M39" i="72"/>
  <c r="M34" i="72"/>
  <c r="M61" i="72"/>
  <c r="M76" i="90"/>
  <c r="M43" i="90"/>
  <c r="M89" i="91"/>
  <c r="N72" i="20"/>
  <c r="N79" i="63"/>
  <c r="N66" i="94"/>
  <c r="N71" i="94"/>
  <c r="N77" i="23"/>
  <c r="N42" i="95"/>
  <c r="C35" i="41"/>
  <c r="M54" i="72"/>
  <c r="M77" i="72"/>
  <c r="N81" i="63"/>
  <c r="N33" i="5"/>
  <c r="M66" i="72"/>
  <c r="M89" i="72"/>
  <c r="N58" i="63"/>
  <c r="N98" i="94"/>
  <c r="M98" i="72"/>
  <c r="M100" i="72"/>
  <c r="M52" i="90"/>
  <c r="M89" i="90"/>
  <c r="N49" i="20"/>
  <c r="N60" i="63"/>
  <c r="N38" i="94"/>
  <c r="M63" i="72"/>
  <c r="M45" i="72"/>
  <c r="M44" i="72"/>
  <c r="M64" i="90"/>
  <c r="M63" i="90"/>
  <c r="N63" i="20"/>
  <c r="N53" i="63"/>
  <c r="M73" i="66"/>
  <c r="N39" i="94"/>
  <c r="M86" i="72"/>
  <c r="M78" i="72"/>
  <c r="M55" i="72"/>
  <c r="M36" i="72"/>
  <c r="M54" i="66"/>
  <c r="M85" i="55"/>
  <c r="M82" i="55"/>
  <c r="M95" i="91"/>
  <c r="M40" i="22"/>
  <c r="M96" i="22"/>
  <c r="M54" i="22"/>
  <c r="M83" i="22"/>
  <c r="M72" i="22"/>
  <c r="M63" i="22"/>
  <c r="M61" i="22"/>
  <c r="M82" i="22"/>
  <c r="M39" i="22"/>
  <c r="M49" i="22"/>
  <c r="M99" i="22"/>
  <c r="M84" i="22"/>
  <c r="M56" i="22"/>
  <c r="M78" i="22"/>
  <c r="M70" i="22"/>
  <c r="M64" i="22"/>
  <c r="M36" i="22"/>
  <c r="M45" i="71"/>
  <c r="M48" i="71"/>
  <c r="M39" i="71"/>
  <c r="M35" i="71"/>
  <c r="M44" i="71"/>
  <c r="M82" i="71"/>
  <c r="M75" i="71"/>
  <c r="M77" i="71"/>
  <c r="M94" i="71"/>
  <c r="M95" i="71"/>
  <c r="M79" i="71"/>
  <c r="M59" i="71"/>
  <c r="M50" i="71"/>
  <c r="M101" i="71"/>
  <c r="M61" i="71"/>
  <c r="M81" i="71"/>
  <c r="M76" i="71"/>
  <c r="M74" i="71"/>
  <c r="M92" i="71"/>
  <c r="M66" i="71"/>
  <c r="M47" i="71"/>
  <c r="M36" i="71"/>
  <c r="M86" i="71"/>
  <c r="M34" i="55"/>
  <c r="M95" i="55"/>
  <c r="M78" i="71"/>
  <c r="M83" i="91"/>
  <c r="M51" i="91"/>
  <c r="M93" i="66"/>
  <c r="N92" i="55"/>
  <c r="N50" i="55"/>
  <c r="M81" i="55"/>
  <c r="M36" i="91"/>
  <c r="M57" i="71"/>
  <c r="M86" i="91"/>
  <c r="M33" i="80"/>
  <c r="M80" i="80" s="1"/>
  <c r="C35" i="80"/>
  <c r="M50" i="63"/>
  <c r="M103" i="63"/>
  <c r="M95" i="63"/>
  <c r="M83" i="63"/>
  <c r="M97" i="63"/>
  <c r="M90" i="63"/>
  <c r="M96" i="63"/>
  <c r="M72" i="63"/>
  <c r="M67" i="63"/>
  <c r="M63" i="63"/>
  <c r="M59" i="63"/>
  <c r="M36" i="55"/>
  <c r="M58" i="91"/>
  <c r="M85" i="66"/>
  <c r="M84" i="66"/>
  <c r="M45" i="66"/>
  <c r="M102" i="66"/>
  <c r="M71" i="66"/>
  <c r="M79" i="66"/>
  <c r="M63" i="66"/>
  <c r="M55" i="66"/>
  <c r="M57" i="66"/>
  <c r="M91" i="66"/>
  <c r="M70" i="66"/>
  <c r="M44" i="66"/>
  <c r="M89" i="66"/>
  <c r="M96" i="66"/>
  <c r="M35" i="66"/>
  <c r="M60" i="66"/>
  <c r="M68" i="66"/>
  <c r="M95" i="66"/>
  <c r="M52" i="66"/>
  <c r="M97" i="66"/>
  <c r="M48" i="66"/>
  <c r="M53" i="66"/>
  <c r="M66" i="66"/>
  <c r="M34" i="66"/>
  <c r="M59" i="66"/>
  <c r="M56" i="66"/>
  <c r="M40" i="66"/>
  <c r="M39" i="66"/>
  <c r="M67" i="66"/>
  <c r="M36" i="66"/>
  <c r="M76" i="55"/>
  <c r="M84" i="55"/>
  <c r="M88" i="22"/>
  <c r="M94" i="91"/>
  <c r="M41" i="66"/>
  <c r="M37" i="55"/>
  <c r="M97" i="55"/>
  <c r="M67" i="71"/>
  <c r="M77" i="63"/>
  <c r="M101" i="105"/>
  <c r="M74" i="22"/>
  <c r="M88" i="91"/>
  <c r="M63" i="91"/>
  <c r="M99" i="66"/>
  <c r="N96" i="63"/>
  <c r="N92" i="63"/>
  <c r="N67" i="63"/>
  <c r="N77" i="63"/>
  <c r="N71" i="63"/>
  <c r="N52" i="63"/>
  <c r="N78" i="63"/>
  <c r="N38" i="63"/>
  <c r="N74" i="63"/>
  <c r="N48" i="63"/>
  <c r="N100" i="63"/>
  <c r="N51" i="63"/>
  <c r="N86" i="63"/>
  <c r="N62" i="63"/>
  <c r="N93" i="63"/>
  <c r="N88" i="63"/>
  <c r="N49" i="63"/>
  <c r="N50" i="63"/>
  <c r="N85" i="63"/>
  <c r="N90" i="63"/>
  <c r="N35" i="63"/>
  <c r="N40" i="63"/>
  <c r="N72" i="63"/>
  <c r="N42" i="63"/>
  <c r="N39" i="63"/>
  <c r="N54" i="63"/>
  <c r="N44" i="63"/>
  <c r="N47" i="63"/>
  <c r="N63" i="63"/>
  <c r="N37" i="63"/>
  <c r="N98" i="63"/>
  <c r="N102" i="63"/>
  <c r="N41" i="63"/>
  <c r="N75" i="94"/>
  <c r="N91" i="94"/>
  <c r="N60" i="94"/>
  <c r="N73" i="94"/>
  <c r="N53" i="94"/>
  <c r="N44" i="94"/>
  <c r="N79" i="94"/>
  <c r="N45" i="94"/>
  <c r="N70" i="94"/>
  <c r="N34" i="94"/>
  <c r="N72" i="94"/>
  <c r="N83" i="94"/>
  <c r="N80" i="94"/>
  <c r="N58" i="94"/>
  <c r="N36" i="94"/>
  <c r="N85" i="94"/>
  <c r="N94" i="94"/>
  <c r="N102" i="94"/>
  <c r="N64" i="94"/>
  <c r="N103" i="94"/>
  <c r="N57" i="94"/>
  <c r="N77" i="94"/>
  <c r="N42" i="94"/>
  <c r="N56" i="94"/>
  <c r="N47" i="94"/>
  <c r="N86" i="94"/>
  <c r="N81" i="94"/>
  <c r="N55" i="94"/>
  <c r="N59" i="94"/>
  <c r="N101" i="94"/>
  <c r="N74" i="94"/>
  <c r="N51" i="94"/>
  <c r="N99" i="94"/>
  <c r="N97" i="94"/>
  <c r="N89" i="94"/>
  <c r="N35" i="94"/>
  <c r="N50" i="94"/>
  <c r="M68" i="55"/>
  <c r="M80" i="55"/>
  <c r="M45" i="55"/>
  <c r="M81" i="22"/>
  <c r="M45" i="91"/>
  <c r="M38" i="91"/>
  <c r="M87" i="66"/>
  <c r="M42" i="55"/>
  <c r="M39" i="91"/>
  <c r="M63" i="71"/>
  <c r="M86" i="55"/>
  <c r="M57" i="55"/>
  <c r="M71" i="55"/>
  <c r="M47" i="55"/>
  <c r="M53" i="55"/>
  <c r="M96" i="55"/>
  <c r="M66" i="55"/>
  <c r="M75" i="55"/>
  <c r="M63" i="55"/>
  <c r="M93" i="55"/>
  <c r="M74" i="55"/>
  <c r="M55" i="55"/>
  <c r="M38" i="55"/>
  <c r="M49" i="55"/>
  <c r="M99" i="55"/>
  <c r="M94" i="55"/>
  <c r="M58" i="55"/>
  <c r="M43" i="55"/>
  <c r="M48" i="55"/>
  <c r="M52" i="55"/>
  <c r="M35" i="55"/>
  <c r="M46" i="55"/>
  <c r="M44" i="55"/>
  <c r="M98" i="55"/>
  <c r="M79" i="55"/>
  <c r="M103" i="55"/>
  <c r="M67" i="55"/>
  <c r="M100" i="55"/>
  <c r="M59" i="55"/>
  <c r="M73" i="55"/>
  <c r="O82" i="42"/>
  <c r="O37" i="42"/>
  <c r="O36" i="42"/>
  <c r="O74" i="42"/>
  <c r="O88" i="42"/>
  <c r="O96" i="42"/>
  <c r="M92" i="55"/>
  <c r="M49" i="71"/>
  <c r="M47" i="91"/>
  <c r="M72" i="91"/>
  <c r="M81" i="66"/>
  <c r="M56" i="105"/>
  <c r="M52" i="105"/>
  <c r="M59" i="105"/>
  <c r="M61" i="105"/>
  <c r="M47" i="105"/>
  <c r="M87" i="105"/>
  <c r="M68" i="105"/>
  <c r="M82" i="105"/>
  <c r="M84" i="105"/>
  <c r="M60" i="105"/>
  <c r="M55" i="105"/>
  <c r="M54" i="105"/>
  <c r="M67" i="105"/>
  <c r="M81" i="105"/>
  <c r="M98" i="105"/>
  <c r="M51" i="105"/>
  <c r="M83" i="105"/>
  <c r="M45" i="105"/>
  <c r="M99" i="105"/>
  <c r="M78" i="105"/>
  <c r="M90" i="105"/>
  <c r="M88" i="105"/>
  <c r="M48" i="105"/>
  <c r="M73" i="105"/>
  <c r="M41" i="105"/>
  <c r="M100" i="105"/>
  <c r="M94" i="105"/>
  <c r="M74" i="105"/>
  <c r="M39" i="105"/>
  <c r="M80" i="105"/>
  <c r="M40" i="105"/>
  <c r="M60" i="55"/>
  <c r="M77" i="55"/>
  <c r="M84" i="71"/>
  <c r="M36" i="63"/>
  <c r="M66" i="105"/>
  <c r="M35" i="105"/>
  <c r="M54" i="91"/>
  <c r="M88" i="66"/>
  <c r="M39" i="55"/>
  <c r="M56" i="55"/>
  <c r="M97" i="71"/>
  <c r="M35" i="91"/>
  <c r="M87" i="55"/>
  <c r="M99" i="91"/>
  <c r="O47" i="42"/>
  <c r="M101" i="91"/>
  <c r="M46" i="66"/>
  <c r="M50" i="55"/>
  <c r="M51" i="55"/>
  <c r="M54" i="55"/>
  <c r="D35" i="31"/>
  <c r="M101" i="55"/>
  <c r="M49" i="91"/>
  <c r="M89" i="55"/>
  <c r="M91" i="71"/>
  <c r="M34" i="105"/>
  <c r="M92" i="105"/>
  <c r="M94" i="66"/>
  <c r="M41" i="55"/>
  <c r="M102" i="71"/>
  <c r="M75" i="105"/>
  <c r="M103" i="105"/>
  <c r="M37" i="22"/>
  <c r="N82" i="63"/>
  <c r="M62" i="66"/>
  <c r="N78" i="94"/>
  <c r="M91" i="55"/>
  <c r="C35" i="17"/>
  <c r="M33" i="17"/>
  <c r="M55" i="17" s="1"/>
  <c r="M100" i="91"/>
  <c r="M93" i="91"/>
  <c r="M57" i="91"/>
  <c r="M87" i="91"/>
  <c r="M90" i="91"/>
  <c r="M97" i="91"/>
  <c r="M42" i="91"/>
  <c r="M75" i="91"/>
  <c r="M102" i="91"/>
  <c r="M55" i="91"/>
  <c r="M56" i="91"/>
  <c r="M73" i="91"/>
  <c r="M74" i="91"/>
  <c r="M92" i="91"/>
  <c r="M64" i="91"/>
  <c r="M81" i="91"/>
  <c r="M46" i="91"/>
  <c r="M70" i="91"/>
  <c r="M53" i="91"/>
  <c r="M84" i="91"/>
  <c r="M68" i="91"/>
  <c r="M43" i="91"/>
  <c r="M82" i="91"/>
  <c r="M40" i="91"/>
  <c r="M79" i="91"/>
  <c r="M37" i="91"/>
  <c r="M91" i="91"/>
  <c r="M41" i="91"/>
  <c r="M103" i="91"/>
  <c r="M98" i="91"/>
  <c r="M96" i="91"/>
  <c r="M78" i="91"/>
  <c r="M102" i="55"/>
  <c r="M72" i="55"/>
  <c r="M103" i="71"/>
  <c r="M102" i="22"/>
  <c r="M78" i="66"/>
  <c r="M103" i="66"/>
  <c r="M64" i="55"/>
  <c r="M38" i="71"/>
  <c r="M48" i="22"/>
  <c r="M52" i="91"/>
  <c r="M88" i="55"/>
  <c r="M42" i="71"/>
  <c r="M44" i="105"/>
  <c r="M86" i="105"/>
  <c r="M50" i="22"/>
  <c r="M66" i="91"/>
  <c r="N84" i="63"/>
  <c r="M80" i="66"/>
  <c r="N93" i="94"/>
  <c r="N75" i="95"/>
  <c r="M77" i="90"/>
  <c r="M84" i="90"/>
  <c r="M94" i="90"/>
  <c r="N68" i="20"/>
  <c r="N100" i="20"/>
  <c r="M57" i="103"/>
  <c r="M36" i="103"/>
  <c r="M44" i="103"/>
  <c r="N80" i="95"/>
  <c r="N43" i="95"/>
  <c r="M71" i="90"/>
  <c r="M37" i="90"/>
  <c r="M42" i="90"/>
  <c r="N90" i="20"/>
  <c r="N54" i="20"/>
  <c r="M53" i="103"/>
  <c r="M42" i="103"/>
  <c r="N61" i="95"/>
  <c r="N33" i="102"/>
  <c r="N36" i="95"/>
  <c r="M67" i="103"/>
  <c r="M40" i="103"/>
  <c r="M98" i="103"/>
  <c r="N77" i="95"/>
  <c r="N47" i="95"/>
  <c r="N46" i="95"/>
  <c r="M45" i="90"/>
  <c r="M72" i="90"/>
  <c r="M59" i="90"/>
  <c r="N75" i="20"/>
  <c r="N81" i="20"/>
  <c r="N53" i="95"/>
  <c r="N62" i="95"/>
  <c r="M84" i="72"/>
  <c r="M93" i="72"/>
  <c r="M76" i="72"/>
  <c r="M62" i="90"/>
  <c r="M99" i="90"/>
  <c r="M67" i="90"/>
  <c r="N100" i="23"/>
  <c r="N79" i="23"/>
  <c r="N94" i="20"/>
  <c r="N84" i="20"/>
  <c r="M86" i="103"/>
  <c r="M96" i="103"/>
  <c r="M56" i="103"/>
  <c r="M61" i="103"/>
  <c r="N93" i="95"/>
  <c r="M80" i="90"/>
  <c r="M43" i="103"/>
  <c r="M73" i="103"/>
  <c r="M82" i="103"/>
  <c r="N64" i="95"/>
  <c r="M96" i="72"/>
  <c r="M81" i="90"/>
  <c r="M85" i="90"/>
  <c r="N46" i="20"/>
  <c r="N59" i="20"/>
  <c r="M39" i="103"/>
  <c r="M101" i="103"/>
  <c r="M51" i="103"/>
  <c r="M102" i="103"/>
  <c r="N81" i="23"/>
  <c r="N45" i="95"/>
  <c r="N92" i="20"/>
  <c r="M100" i="103"/>
  <c r="N94" i="95"/>
  <c r="N70" i="95"/>
  <c r="M92" i="72"/>
  <c r="M47" i="72"/>
  <c r="M90" i="90"/>
  <c r="M49" i="90"/>
  <c r="N39" i="23"/>
  <c r="N68" i="23"/>
  <c r="N53" i="20"/>
  <c r="N85" i="20"/>
  <c r="M84" i="103"/>
  <c r="M103" i="103"/>
  <c r="M99" i="103"/>
  <c r="N40" i="23"/>
  <c r="N49" i="95"/>
  <c r="M64" i="103"/>
  <c r="N37" i="95"/>
  <c r="M38" i="103"/>
  <c r="N73" i="95"/>
  <c r="N78" i="95"/>
  <c r="M94" i="72"/>
  <c r="M56" i="72"/>
  <c r="M44" i="90"/>
  <c r="M103" i="90"/>
  <c r="N98" i="23"/>
  <c r="N89" i="23"/>
  <c r="N62" i="20"/>
  <c r="N96" i="20"/>
  <c r="M81" i="103"/>
  <c r="M34" i="103"/>
  <c r="M52" i="103"/>
  <c r="N41" i="23"/>
  <c r="N92" i="95"/>
  <c r="M79" i="103"/>
  <c r="N57" i="95"/>
  <c r="M39" i="90"/>
  <c r="M83" i="90"/>
  <c r="N44" i="20"/>
  <c r="N35" i="95"/>
  <c r="N58" i="95"/>
  <c r="N85" i="95"/>
  <c r="N99" i="95"/>
  <c r="M37" i="72"/>
  <c r="M55" i="90"/>
  <c r="N57" i="23"/>
  <c r="N60" i="23"/>
  <c r="N57" i="20"/>
  <c r="M88" i="103"/>
  <c r="M93" i="103"/>
  <c r="M60" i="103"/>
  <c r="O81" i="42"/>
  <c r="O70" i="42"/>
  <c r="O56" i="42"/>
  <c r="C35" i="95"/>
  <c r="O44" i="42"/>
  <c r="O102" i="42"/>
  <c r="O98" i="42"/>
  <c r="C35" i="32"/>
  <c r="N33" i="86"/>
  <c r="D35" i="86"/>
  <c r="O87" i="42"/>
  <c r="O73" i="42"/>
  <c r="O61" i="42"/>
  <c r="O91" i="42"/>
  <c r="O58" i="42"/>
  <c r="O38" i="42"/>
  <c r="M37" i="48"/>
  <c r="O76" i="42"/>
  <c r="O97" i="42"/>
  <c r="O64" i="42"/>
  <c r="O89" i="42"/>
  <c r="O53" i="42"/>
  <c r="O100" i="42"/>
  <c r="O84" i="42"/>
  <c r="O34" i="42"/>
  <c r="O94" i="42"/>
  <c r="O86" i="42"/>
  <c r="O52" i="42"/>
  <c r="M61" i="55"/>
  <c r="M62" i="55"/>
  <c r="M78" i="55"/>
  <c r="M83" i="55"/>
  <c r="O46" i="42"/>
  <c r="O95" i="42"/>
  <c r="O85" i="42"/>
  <c r="O40" i="42"/>
  <c r="O90" i="42"/>
  <c r="O63" i="42"/>
  <c r="C35" i="42"/>
  <c r="O41" i="42"/>
  <c r="O35" i="42"/>
  <c r="O68" i="42"/>
  <c r="D35" i="87"/>
  <c r="O78" i="42"/>
  <c r="O43" i="42"/>
  <c r="O57" i="42"/>
  <c r="O69" i="42"/>
  <c r="O45" i="42"/>
  <c r="O66" i="42"/>
  <c r="O79" i="42"/>
  <c r="N66" i="95"/>
  <c r="N44" i="95"/>
  <c r="N98" i="95"/>
  <c r="N96" i="95"/>
  <c r="N82" i="95"/>
  <c r="N56" i="95"/>
  <c r="N72" i="95"/>
  <c r="N60" i="95"/>
  <c r="N97" i="95"/>
  <c r="O71" i="42"/>
  <c r="O49" i="42"/>
  <c r="O80" i="42"/>
  <c r="O65" i="42"/>
  <c r="O67" i="42"/>
  <c r="O62" i="42"/>
  <c r="O54" i="42"/>
  <c r="O51" i="42"/>
  <c r="O48" i="42"/>
  <c r="O99" i="42"/>
  <c r="N87" i="95"/>
  <c r="N38" i="95"/>
  <c r="N50" i="23"/>
  <c r="N94" i="23"/>
  <c r="N95" i="23"/>
  <c r="N93" i="23"/>
  <c r="N54" i="23"/>
  <c r="N72" i="23"/>
  <c r="N56" i="23"/>
  <c r="N99" i="23"/>
  <c r="N101" i="23"/>
  <c r="N78" i="23"/>
  <c r="N71" i="23"/>
  <c r="N35" i="23"/>
  <c r="N73" i="23"/>
  <c r="N75" i="23"/>
  <c r="N90" i="23"/>
  <c r="O93" i="42"/>
  <c r="O50" i="42"/>
  <c r="O77" i="42"/>
  <c r="O59" i="42"/>
  <c r="O72" i="42"/>
  <c r="N102" i="95"/>
  <c r="N101" i="95"/>
  <c r="O101" i="42"/>
  <c r="O55" i="42"/>
  <c r="O42" i="42"/>
  <c r="O103" i="42"/>
  <c r="N83" i="95"/>
  <c r="N103" i="95"/>
  <c r="O39" i="42"/>
  <c r="O83" i="42"/>
  <c r="O60" i="42"/>
  <c r="O92" i="42"/>
  <c r="M34" i="91"/>
  <c r="M60" i="91"/>
  <c r="M71" i="91"/>
  <c r="M85" i="91"/>
  <c r="M80" i="91"/>
  <c r="M61" i="91"/>
  <c r="M86" i="42"/>
  <c r="M85" i="42"/>
  <c r="M50" i="42"/>
  <c r="M42" i="42"/>
  <c r="M103" i="42"/>
  <c r="M43" i="42"/>
  <c r="M82" i="42"/>
  <c r="M56" i="42"/>
  <c r="M47" i="42"/>
  <c r="M92" i="42"/>
  <c r="M54" i="42"/>
  <c r="M51" i="42"/>
  <c r="M62" i="42"/>
  <c r="M67" i="42"/>
  <c r="M99" i="42"/>
  <c r="M89" i="42"/>
  <c r="M46" i="42"/>
  <c r="M40" i="42"/>
  <c r="M97" i="42"/>
  <c r="M66" i="42"/>
  <c r="M96" i="42"/>
  <c r="M93" i="42"/>
  <c r="M77" i="42"/>
  <c r="M95" i="42"/>
  <c r="M48" i="42"/>
  <c r="M74" i="42"/>
  <c r="M76" i="42"/>
  <c r="M59" i="42"/>
  <c r="M58" i="42"/>
  <c r="M68" i="42"/>
  <c r="M34" i="42"/>
  <c r="M37" i="42"/>
  <c r="M80" i="42"/>
  <c r="M36" i="42"/>
  <c r="M101" i="42"/>
  <c r="M39" i="42"/>
  <c r="M70" i="42"/>
  <c r="M84" i="42"/>
  <c r="M38" i="42"/>
  <c r="M73" i="42"/>
  <c r="M81" i="42"/>
  <c r="M100" i="42"/>
  <c r="M75" i="42"/>
  <c r="M44" i="42"/>
  <c r="M41" i="42"/>
  <c r="M91" i="42"/>
  <c r="M90" i="42"/>
  <c r="M83" i="42"/>
  <c r="M88" i="42"/>
  <c r="M53" i="42"/>
  <c r="M64" i="42"/>
  <c r="M52" i="42"/>
  <c r="M60" i="42"/>
  <c r="M102" i="42"/>
  <c r="M72" i="42"/>
  <c r="M63" i="42"/>
  <c r="M49" i="42"/>
  <c r="M79" i="42"/>
  <c r="M61" i="42"/>
  <c r="M55" i="42"/>
  <c r="M71" i="42"/>
  <c r="M98" i="42"/>
  <c r="M35" i="42"/>
  <c r="M87" i="42"/>
  <c r="M45" i="42"/>
  <c r="M78" i="42"/>
  <c r="M57" i="42"/>
  <c r="M94" i="42"/>
  <c r="D35" i="21"/>
  <c r="N33" i="21"/>
  <c r="M42" i="82"/>
  <c r="M57" i="82"/>
  <c r="C35" i="21"/>
  <c r="M33" i="21"/>
  <c r="M45" i="21" s="1"/>
  <c r="M88" i="82"/>
  <c r="M84" i="82"/>
  <c r="M81" i="82"/>
  <c r="M82" i="82"/>
  <c r="M79" i="82"/>
  <c r="M83" i="82"/>
  <c r="M80" i="82"/>
  <c r="M86" i="82"/>
  <c r="M72" i="82"/>
  <c r="M45" i="82"/>
  <c r="M58" i="82"/>
  <c r="M98" i="82"/>
  <c r="M85" i="82"/>
  <c r="M67" i="82"/>
  <c r="M97" i="82"/>
  <c r="M64" i="82"/>
  <c r="M55" i="82"/>
  <c r="M40" i="82"/>
  <c r="M48" i="82"/>
  <c r="M95" i="82"/>
  <c r="M63" i="82"/>
  <c r="M37" i="82"/>
  <c r="M77" i="82"/>
  <c r="M39" i="82"/>
  <c r="M92" i="82"/>
  <c r="M53" i="82"/>
  <c r="M38" i="82"/>
  <c r="M62" i="82"/>
  <c r="M75" i="82"/>
  <c r="M100" i="82"/>
  <c r="M102" i="82"/>
  <c r="M52" i="82"/>
  <c r="M49" i="82"/>
  <c r="M87" i="82"/>
  <c r="M93" i="82"/>
  <c r="M71" i="82"/>
  <c r="M44" i="82"/>
  <c r="M60" i="82"/>
  <c r="M103" i="82"/>
  <c r="M34" i="82"/>
  <c r="M35" i="82"/>
  <c r="M101" i="82"/>
  <c r="M90" i="82"/>
  <c r="M91" i="82"/>
  <c r="M59" i="82"/>
  <c r="M76" i="82"/>
  <c r="M89" i="82"/>
  <c r="M41" i="82"/>
  <c r="M66" i="82"/>
  <c r="M68" i="82"/>
  <c r="M47" i="82"/>
  <c r="M56" i="82"/>
  <c r="M51" i="82"/>
  <c r="M36" i="82"/>
  <c r="M78" i="82"/>
  <c r="M50" i="82"/>
  <c r="M74" i="82"/>
  <c r="M46" i="82"/>
  <c r="M96" i="82"/>
  <c r="M54" i="82"/>
  <c r="M94" i="82"/>
  <c r="M61" i="82"/>
  <c r="M99" i="82"/>
  <c r="M70" i="82"/>
  <c r="M43" i="82"/>
  <c r="M93" i="105"/>
  <c r="M64" i="105"/>
  <c r="M37" i="105"/>
  <c r="M42" i="105"/>
  <c r="N85" i="61"/>
  <c r="N55" i="61"/>
  <c r="N101" i="61"/>
  <c r="N46" i="61"/>
  <c r="N37" i="61"/>
  <c r="N97" i="61"/>
  <c r="N67" i="61"/>
  <c r="N48" i="61"/>
  <c r="N87" i="61"/>
  <c r="N53" i="61"/>
  <c r="N52" i="61"/>
  <c r="N57" i="61"/>
  <c r="N58" i="61"/>
  <c r="N50" i="61"/>
  <c r="N95" i="61"/>
  <c r="N91" i="61"/>
  <c r="N64" i="61"/>
  <c r="N44" i="61"/>
  <c r="N83" i="61"/>
  <c r="N49" i="61"/>
  <c r="N98" i="61"/>
  <c r="N77" i="61"/>
  <c r="N89" i="61"/>
  <c r="N74" i="61"/>
  <c r="N55" i="20"/>
  <c r="N52" i="20"/>
  <c r="N60" i="20"/>
  <c r="N78" i="20"/>
  <c r="N93" i="20"/>
  <c r="N82" i="20"/>
  <c r="N79" i="20"/>
  <c r="N71" i="20"/>
  <c r="N58" i="20"/>
  <c r="N64" i="20"/>
  <c r="C35" i="20"/>
  <c r="N48" i="20"/>
  <c r="N45" i="20"/>
  <c r="N87" i="20"/>
  <c r="M86" i="107"/>
  <c r="M99" i="107"/>
  <c r="M60" i="107"/>
  <c r="M100" i="107"/>
  <c r="M61" i="107"/>
  <c r="M74" i="107"/>
  <c r="M98" i="107"/>
  <c r="M77" i="107"/>
  <c r="M62" i="107"/>
  <c r="M43" i="107"/>
  <c r="M87" i="107"/>
  <c r="M78" i="107"/>
  <c r="M63" i="107"/>
  <c r="M76" i="107"/>
  <c r="M83" i="107"/>
  <c r="M35" i="107"/>
  <c r="M94" i="107"/>
  <c r="M36" i="107"/>
  <c r="M52" i="107"/>
  <c r="M75" i="107"/>
  <c r="M54" i="107"/>
  <c r="M80" i="107"/>
  <c r="M51" i="107"/>
  <c r="M101" i="107"/>
  <c r="M56" i="107"/>
  <c r="M45" i="107"/>
  <c r="M95" i="107"/>
  <c r="M72" i="107"/>
  <c r="M48" i="107"/>
  <c r="M96" i="107"/>
  <c r="M73" i="107"/>
  <c r="M44" i="107"/>
  <c r="M92" i="107"/>
  <c r="M67" i="107"/>
  <c r="M40" i="107"/>
  <c r="M49" i="107"/>
  <c r="M76" i="100"/>
  <c r="M102" i="100"/>
  <c r="M73" i="100"/>
  <c r="M50" i="100"/>
  <c r="M48" i="100"/>
  <c r="M34" i="100"/>
  <c r="M100" i="100"/>
  <c r="M35" i="100"/>
  <c r="M64" i="100"/>
  <c r="M42" i="100"/>
  <c r="M49" i="100"/>
  <c r="M92" i="100"/>
  <c r="N91" i="20"/>
  <c r="N83" i="20"/>
  <c r="N76" i="20"/>
  <c r="M73" i="71"/>
  <c r="M40" i="71"/>
  <c r="M37" i="71"/>
  <c r="M88" i="71"/>
  <c r="M53" i="71"/>
  <c r="M41" i="71"/>
  <c r="M72" i="71"/>
  <c r="M100" i="71"/>
  <c r="M89" i="71"/>
  <c r="M80" i="71"/>
  <c r="M90" i="71"/>
  <c r="M99" i="71"/>
  <c r="M55" i="71"/>
  <c r="M85" i="71"/>
  <c r="M34" i="71"/>
  <c r="M98" i="71"/>
  <c r="M83" i="71"/>
  <c r="M52" i="71"/>
  <c r="M64" i="71"/>
  <c r="M58" i="71"/>
  <c r="M70" i="71"/>
  <c r="M56" i="71"/>
  <c r="M68" i="71"/>
  <c r="N40" i="20"/>
  <c r="N95" i="20"/>
  <c r="N66" i="20"/>
  <c r="M50" i="72"/>
  <c r="M59" i="72"/>
  <c r="M75" i="72"/>
  <c r="M101" i="72"/>
  <c r="M68" i="72"/>
  <c r="M48" i="72"/>
  <c r="M74" i="72"/>
  <c r="M102" i="72"/>
  <c r="M83" i="72"/>
  <c r="M51" i="72"/>
  <c r="M82" i="72"/>
  <c r="M87" i="72"/>
  <c r="M40" i="72"/>
  <c r="M80" i="72"/>
  <c r="M88" i="72"/>
  <c r="M46" i="72"/>
  <c r="M97" i="72"/>
  <c r="D35" i="59"/>
  <c r="N33" i="59"/>
  <c r="N98" i="20"/>
  <c r="N80" i="20"/>
  <c r="N42" i="20"/>
  <c r="N36" i="20"/>
  <c r="N99" i="20"/>
  <c r="N73" i="20"/>
  <c r="N103" i="63"/>
  <c r="N95" i="63"/>
  <c r="N91" i="63"/>
  <c r="N94" i="63"/>
  <c r="N89" i="63"/>
  <c r="N55" i="63"/>
  <c r="N46" i="63"/>
  <c r="M53" i="63"/>
  <c r="M52" i="63"/>
  <c r="M51" i="63"/>
  <c r="M47" i="63"/>
  <c r="M35" i="63"/>
  <c r="M91" i="63"/>
  <c r="M89" i="63"/>
  <c r="M68" i="63"/>
  <c r="M42" i="63"/>
  <c r="M71" i="63"/>
  <c r="M70" i="63"/>
  <c r="M66" i="63"/>
  <c r="M88" i="63"/>
  <c r="M100" i="63"/>
  <c r="M85" i="63"/>
  <c r="M82" i="63"/>
  <c r="M37" i="63"/>
  <c r="M56" i="63"/>
  <c r="M41" i="63"/>
  <c r="M101" i="63"/>
  <c r="M62" i="63"/>
  <c r="M54" i="63"/>
  <c r="M49" i="63"/>
  <c r="M45" i="63"/>
  <c r="M43" i="63"/>
  <c r="M102" i="63"/>
  <c r="M64" i="63"/>
  <c r="M76" i="63"/>
  <c r="M84" i="63"/>
  <c r="M86" i="63"/>
  <c r="M55" i="63"/>
  <c r="M40" i="63"/>
  <c r="M73" i="63"/>
  <c r="M44" i="63"/>
  <c r="M79" i="63"/>
  <c r="M46" i="63"/>
  <c r="M48" i="63"/>
  <c r="M92" i="63"/>
  <c r="M81" i="63"/>
  <c r="M60" i="63"/>
  <c r="M58" i="63"/>
  <c r="N70" i="20"/>
  <c r="N101" i="20"/>
  <c r="N43" i="20"/>
  <c r="N33" i="80"/>
  <c r="D35" i="80"/>
  <c r="M55" i="22"/>
  <c r="M62" i="22"/>
  <c r="M86" i="22"/>
  <c r="M38" i="22"/>
  <c r="M35" i="22"/>
  <c r="M103" i="22"/>
  <c r="M97" i="22"/>
  <c r="M66" i="22"/>
  <c r="M47" i="22"/>
  <c r="M101" i="22"/>
  <c r="M75" i="22"/>
  <c r="M59" i="22"/>
  <c r="M94" i="22"/>
  <c r="M44" i="22"/>
  <c r="M46" i="22"/>
  <c r="M43" i="22"/>
  <c r="M90" i="22"/>
  <c r="M58" i="22"/>
  <c r="M34" i="22"/>
  <c r="M67" i="22"/>
  <c r="M60" i="22"/>
  <c r="M87" i="22"/>
  <c r="M71" i="22"/>
  <c r="M68" i="22"/>
  <c r="M91" i="22"/>
  <c r="M89" i="22"/>
  <c r="M79" i="22"/>
  <c r="M98" i="22"/>
  <c r="M85" i="22"/>
  <c r="M100" i="22"/>
  <c r="M77" i="22"/>
  <c r="M93" i="22"/>
  <c r="M41" i="22"/>
  <c r="M95" i="22"/>
  <c r="M53" i="22"/>
  <c r="M52" i="22"/>
  <c r="M51" i="22"/>
  <c r="M76" i="22"/>
  <c r="M73" i="90"/>
  <c r="M78" i="90"/>
  <c r="M57" i="90"/>
  <c r="M41" i="90"/>
  <c r="M92" i="90"/>
  <c r="M54" i="90"/>
  <c r="M97" i="90"/>
  <c r="M66" i="90"/>
  <c r="M91" i="90"/>
  <c r="M68" i="90"/>
  <c r="M47" i="90"/>
  <c r="M87" i="90"/>
  <c r="M74" i="90"/>
  <c r="M50" i="90"/>
  <c r="M102" i="90"/>
  <c r="M100" i="90"/>
  <c r="M64" i="66"/>
  <c r="M43" i="66"/>
  <c r="M50" i="66"/>
  <c r="M51" i="66"/>
  <c r="M92" i="66"/>
  <c r="M82" i="66"/>
  <c r="M75" i="66"/>
  <c r="M58" i="66"/>
  <c r="M61" i="66"/>
  <c r="M76" i="66"/>
  <c r="M47" i="66"/>
  <c r="M77" i="66"/>
  <c r="M72" i="66"/>
  <c r="M91" i="86"/>
  <c r="M72" i="86"/>
  <c r="M58" i="86"/>
  <c r="M44" i="86"/>
  <c r="M98" i="86"/>
  <c r="M77" i="86"/>
  <c r="M51" i="86"/>
  <c r="M95" i="86"/>
  <c r="M52" i="86"/>
  <c r="M92" i="86"/>
  <c r="M62" i="86"/>
  <c r="M55" i="86"/>
  <c r="M34" i="86"/>
  <c r="M94" i="86"/>
  <c r="M76" i="86"/>
  <c r="M60" i="86"/>
  <c r="M53" i="86"/>
  <c r="M38" i="86"/>
  <c r="M103" i="86"/>
  <c r="M86" i="86"/>
  <c r="M82" i="86"/>
  <c r="M59" i="86"/>
  <c r="M46" i="86"/>
  <c r="M99" i="86"/>
  <c r="M101" i="86"/>
  <c r="M97" i="86"/>
  <c r="M73" i="86"/>
  <c r="M71" i="86"/>
  <c r="M70" i="86"/>
  <c r="M47" i="86"/>
  <c r="M45" i="86"/>
  <c r="M43" i="86"/>
  <c r="M93" i="86"/>
  <c r="M42" i="86"/>
  <c r="M89" i="86"/>
  <c r="M68" i="86"/>
  <c r="M41" i="86"/>
  <c r="M102" i="86"/>
  <c r="M100" i="86"/>
  <c r="M67" i="86"/>
  <c r="M40" i="86"/>
  <c r="M37" i="86"/>
  <c r="M49" i="86"/>
  <c r="M36" i="86"/>
  <c r="M85" i="86"/>
  <c r="M78" i="86"/>
  <c r="M87" i="86"/>
  <c r="M63" i="86"/>
  <c r="M61" i="86"/>
  <c r="M57" i="86"/>
  <c r="M80" i="86"/>
  <c r="M81" i="86"/>
  <c r="M35" i="86"/>
  <c r="M90" i="86"/>
  <c r="M75" i="86"/>
  <c r="M56" i="86"/>
  <c r="M88" i="86"/>
  <c r="M84" i="86"/>
  <c r="M54" i="86"/>
  <c r="M50" i="86"/>
  <c r="M48" i="86"/>
  <c r="M79" i="86"/>
  <c r="M74" i="86"/>
  <c r="M39" i="86"/>
  <c r="M96" i="86"/>
  <c r="M83" i="86"/>
  <c r="M64" i="86"/>
  <c r="M66" i="86"/>
  <c r="E35" i="17"/>
  <c r="O33" i="17"/>
  <c r="M103" i="58"/>
  <c r="M85" i="58"/>
  <c r="M38" i="58"/>
  <c r="M94" i="58"/>
  <c r="M75" i="58"/>
  <c r="M63" i="58"/>
  <c r="M47" i="58"/>
  <c r="M92" i="58"/>
  <c r="M73" i="58"/>
  <c r="M67" i="58"/>
  <c r="M61" i="58"/>
  <c r="M45" i="58"/>
  <c r="M88" i="58"/>
  <c r="M71" i="58"/>
  <c r="M41" i="58"/>
  <c r="M98" i="58"/>
  <c r="M68" i="58"/>
  <c r="M51" i="58"/>
  <c r="M96" i="58"/>
  <c r="M78" i="58"/>
  <c r="M58" i="58"/>
  <c r="M49" i="58"/>
  <c r="M35" i="58"/>
  <c r="M90" i="58"/>
  <c r="M76" i="58"/>
  <c r="M43" i="58"/>
  <c r="M74" i="58"/>
  <c r="M42" i="58"/>
  <c r="M40" i="58"/>
  <c r="M101" i="58"/>
  <c r="M86" i="58"/>
  <c r="M81" i="58"/>
  <c r="M72" i="58"/>
  <c r="M54" i="58"/>
  <c r="M37" i="58"/>
  <c r="M57" i="58"/>
  <c r="M100" i="58"/>
  <c r="M55" i="58"/>
  <c r="M53" i="58"/>
  <c r="M64" i="58"/>
  <c r="M52" i="58"/>
  <c r="M34" i="58"/>
  <c r="M84" i="58"/>
  <c r="M79" i="58"/>
  <c r="M50" i="58"/>
  <c r="M48" i="58"/>
  <c r="M46" i="58"/>
  <c r="M44" i="58"/>
  <c r="M77" i="58"/>
  <c r="M70" i="58"/>
  <c r="M56" i="58"/>
  <c r="M82" i="58"/>
  <c r="M66" i="58"/>
  <c r="M59" i="58"/>
  <c r="M80" i="58"/>
  <c r="M60" i="58"/>
  <c r="M39" i="58"/>
  <c r="M97" i="58"/>
  <c r="M95" i="58"/>
  <c r="M93" i="58"/>
  <c r="M91" i="58"/>
  <c r="M89" i="58"/>
  <c r="M87" i="58"/>
  <c r="M99" i="58"/>
  <c r="M36" i="58"/>
  <c r="M102" i="58"/>
  <c r="M62" i="58"/>
  <c r="M83" i="58"/>
  <c r="M88" i="43"/>
  <c r="M59" i="43"/>
  <c r="M42" i="43"/>
  <c r="M97" i="43"/>
  <c r="M74" i="43"/>
  <c r="M41" i="43"/>
  <c r="M35" i="43"/>
  <c r="M84" i="43"/>
  <c r="M81" i="43"/>
  <c r="M64" i="43"/>
  <c r="M48" i="43"/>
  <c r="M98" i="43"/>
  <c r="M70" i="43"/>
  <c r="M63" i="43"/>
  <c r="M54" i="43"/>
  <c r="M94" i="43"/>
  <c r="M78" i="43"/>
  <c r="M103" i="43"/>
  <c r="M90" i="43"/>
  <c r="M72" i="43"/>
  <c r="M86" i="43"/>
  <c r="M60" i="43"/>
  <c r="M51" i="43"/>
  <c r="M38" i="43"/>
  <c r="M95" i="43"/>
  <c r="M82" i="43"/>
  <c r="M77" i="43"/>
  <c r="M47" i="43"/>
  <c r="M96" i="43"/>
  <c r="M66" i="43"/>
  <c r="M62" i="43"/>
  <c r="M52" i="43"/>
  <c r="M99" i="43"/>
  <c r="M71" i="43"/>
  <c r="M46" i="43"/>
  <c r="M57" i="43"/>
  <c r="M44" i="43"/>
  <c r="M91" i="43"/>
  <c r="M89" i="43"/>
  <c r="M45" i="43"/>
  <c r="M58" i="43"/>
  <c r="M43" i="43"/>
  <c r="M102" i="43"/>
  <c r="M40" i="43"/>
  <c r="M75" i="43"/>
  <c r="M67" i="43"/>
  <c r="M61" i="43"/>
  <c r="M87" i="43"/>
  <c r="M80" i="43"/>
  <c r="M68" i="43"/>
  <c r="M37" i="43"/>
  <c r="M85" i="43"/>
  <c r="M36" i="43"/>
  <c r="M83" i="43"/>
  <c r="M76" i="43"/>
  <c r="M56" i="43"/>
  <c r="M101" i="43"/>
  <c r="M53" i="43"/>
  <c r="M93" i="43"/>
  <c r="M50" i="43"/>
  <c r="M34" i="43"/>
  <c r="M39" i="43"/>
  <c r="M79" i="43"/>
  <c r="M55" i="43"/>
  <c r="M100" i="43"/>
  <c r="M73" i="43"/>
  <c r="M49" i="43"/>
  <c r="M92" i="43"/>
  <c r="M84" i="65"/>
  <c r="M81" i="65"/>
  <c r="M56" i="65"/>
  <c r="M47" i="65"/>
  <c r="M91" i="65"/>
  <c r="M61" i="65"/>
  <c r="M100" i="65"/>
  <c r="M77" i="65"/>
  <c r="M43" i="65"/>
  <c r="M102" i="65"/>
  <c r="M57" i="65"/>
  <c r="M48" i="65"/>
  <c r="M89" i="65"/>
  <c r="M73" i="65"/>
  <c r="M46" i="65"/>
  <c r="M64" i="65"/>
  <c r="M55" i="65"/>
  <c r="M34" i="65"/>
  <c r="M98" i="65"/>
  <c r="M87" i="65"/>
  <c r="M71" i="65"/>
  <c r="M44" i="65"/>
  <c r="M90" i="65"/>
  <c r="M74" i="65"/>
  <c r="M60" i="65"/>
  <c r="M35" i="65"/>
  <c r="M68" i="65"/>
  <c r="M49" i="65"/>
  <c r="M58" i="65"/>
  <c r="M45" i="65"/>
  <c r="M85" i="65"/>
  <c r="M80" i="65"/>
  <c r="M42" i="65"/>
  <c r="M92" i="65"/>
  <c r="M50" i="65"/>
  <c r="M103" i="65"/>
  <c r="M86" i="65"/>
  <c r="M54" i="65"/>
  <c r="M93" i="65"/>
  <c r="M66" i="65"/>
  <c r="M83" i="65"/>
  <c r="M78" i="65"/>
  <c r="M94" i="65"/>
  <c r="M67" i="65"/>
  <c r="M37" i="65"/>
  <c r="M70" i="65"/>
  <c r="M101" i="65"/>
  <c r="M99" i="65"/>
  <c r="M97" i="65"/>
  <c r="M95" i="65"/>
  <c r="M39" i="65"/>
  <c r="M38" i="65"/>
  <c r="M76" i="65"/>
  <c r="M59" i="65"/>
  <c r="M72" i="65"/>
  <c r="M79" i="65"/>
  <c r="M62" i="65"/>
  <c r="M63" i="65"/>
  <c r="M52" i="65"/>
  <c r="M41" i="65"/>
  <c r="M96" i="65"/>
  <c r="M75" i="65"/>
  <c r="M82" i="65"/>
  <c r="M53" i="65"/>
  <c r="M88" i="65"/>
  <c r="M51" i="65"/>
  <c r="M36" i="65"/>
  <c r="M40" i="65"/>
  <c r="M100" i="16"/>
  <c r="M85" i="16"/>
  <c r="M64" i="16"/>
  <c r="M48" i="16"/>
  <c r="M37" i="16"/>
  <c r="M103" i="16"/>
  <c r="M92" i="16"/>
  <c r="M62" i="16"/>
  <c r="M78" i="16"/>
  <c r="M68" i="16"/>
  <c r="M44" i="16"/>
  <c r="M101" i="16"/>
  <c r="M74" i="16"/>
  <c r="M56" i="16"/>
  <c r="M99" i="16"/>
  <c r="M88" i="16"/>
  <c r="M45" i="16"/>
  <c r="M97" i="16"/>
  <c r="M86" i="16"/>
  <c r="M61" i="16"/>
  <c r="M42" i="16"/>
  <c r="M84" i="16"/>
  <c r="M81" i="16"/>
  <c r="M41" i="16"/>
  <c r="M89" i="16"/>
  <c r="M46" i="16"/>
  <c r="M96" i="16"/>
  <c r="M54" i="16"/>
  <c r="M36" i="16"/>
  <c r="M94" i="16"/>
  <c r="M72" i="16"/>
  <c r="M63" i="16"/>
  <c r="M75" i="16"/>
  <c r="M39" i="16"/>
  <c r="M38" i="16"/>
  <c r="M87" i="16"/>
  <c r="M80" i="16"/>
  <c r="M49" i="16"/>
  <c r="M95" i="16"/>
  <c r="M40" i="16"/>
  <c r="M93" i="16"/>
  <c r="M91" i="16"/>
  <c r="M66" i="16"/>
  <c r="M34" i="16"/>
  <c r="M57" i="16"/>
  <c r="M55" i="16"/>
  <c r="M73" i="16"/>
  <c r="M43" i="16"/>
  <c r="M71" i="16"/>
  <c r="M58" i="16"/>
  <c r="M70" i="16"/>
  <c r="M59" i="16"/>
  <c r="M77" i="16"/>
  <c r="M47" i="16"/>
  <c r="M102" i="16"/>
  <c r="M60" i="16"/>
  <c r="M98" i="16"/>
  <c r="M90" i="16"/>
  <c r="M79" i="16"/>
  <c r="M35" i="16"/>
  <c r="M83" i="16"/>
  <c r="M52" i="16"/>
  <c r="M51" i="16"/>
  <c r="M67" i="16"/>
  <c r="M82" i="16"/>
  <c r="M50" i="16"/>
  <c r="M53" i="16"/>
  <c r="M76" i="16"/>
  <c r="M103" i="7"/>
  <c r="M83" i="7"/>
  <c r="M80" i="7"/>
  <c r="M64" i="7"/>
  <c r="M48" i="7"/>
  <c r="M90" i="7"/>
  <c r="M62" i="7"/>
  <c r="M99" i="7"/>
  <c r="M68" i="7"/>
  <c r="M44" i="7"/>
  <c r="M88" i="7"/>
  <c r="M47" i="7"/>
  <c r="M74" i="7"/>
  <c r="M56" i="7"/>
  <c r="M97" i="7"/>
  <c r="M86" i="7"/>
  <c r="M45" i="7"/>
  <c r="M35" i="7"/>
  <c r="M81" i="7"/>
  <c r="M72" i="7"/>
  <c r="M63" i="7"/>
  <c r="M54" i="7"/>
  <c r="M43" i="7"/>
  <c r="M100" i="7"/>
  <c r="M75" i="7"/>
  <c r="M36" i="7"/>
  <c r="M91" i="7"/>
  <c r="M71" i="7"/>
  <c r="M60" i="7"/>
  <c r="M51" i="7"/>
  <c r="M89" i="7"/>
  <c r="M70" i="7"/>
  <c r="M102" i="7"/>
  <c r="M87" i="7"/>
  <c r="M58" i="7"/>
  <c r="M49" i="7"/>
  <c r="M85" i="7"/>
  <c r="M67" i="7"/>
  <c r="M55" i="7"/>
  <c r="M38" i="7"/>
  <c r="M92" i="7"/>
  <c r="M79" i="7"/>
  <c r="M84" i="7"/>
  <c r="M53" i="7"/>
  <c r="M82" i="7"/>
  <c r="M77" i="7"/>
  <c r="M52" i="7"/>
  <c r="M93" i="7"/>
  <c r="M57" i="7"/>
  <c r="M78" i="7"/>
  <c r="M95" i="7"/>
  <c r="M61" i="7"/>
  <c r="M39" i="7"/>
  <c r="M76" i="7"/>
  <c r="M59" i="7"/>
  <c r="M98" i="7"/>
  <c r="M41" i="7"/>
  <c r="M96" i="7"/>
  <c r="M40" i="7"/>
  <c r="M94" i="7"/>
  <c r="M73" i="7"/>
  <c r="M50" i="7"/>
  <c r="M46" i="7"/>
  <c r="M66" i="7"/>
  <c r="M42" i="7"/>
  <c r="M37" i="7"/>
  <c r="M101" i="7"/>
  <c r="M34" i="7"/>
  <c r="M90" i="95"/>
  <c r="M71" i="95"/>
  <c r="M41" i="95"/>
  <c r="M99" i="95"/>
  <c r="M78" i="95"/>
  <c r="M70" i="95"/>
  <c r="M64" i="95"/>
  <c r="M57" i="95"/>
  <c r="M50" i="95"/>
  <c r="M40" i="95"/>
  <c r="M86" i="95"/>
  <c r="M55" i="95"/>
  <c r="M37" i="95"/>
  <c r="M100" i="95"/>
  <c r="M51" i="95"/>
  <c r="M95" i="95"/>
  <c r="M79" i="95"/>
  <c r="M59" i="95"/>
  <c r="M46" i="95"/>
  <c r="M87" i="95"/>
  <c r="M38" i="95"/>
  <c r="M96" i="95"/>
  <c r="M47" i="95"/>
  <c r="M92" i="95"/>
  <c r="M88" i="95"/>
  <c r="M35" i="95"/>
  <c r="M82" i="95"/>
  <c r="M103" i="95"/>
  <c r="M75" i="95"/>
  <c r="M98" i="95"/>
  <c r="M94" i="95"/>
  <c r="M73" i="95"/>
  <c r="M62" i="95"/>
  <c r="M34" i="95"/>
  <c r="M66" i="95"/>
  <c r="M102" i="95"/>
  <c r="M44" i="95"/>
  <c r="M39" i="95"/>
  <c r="M85" i="95"/>
  <c r="M63" i="95"/>
  <c r="M61" i="95"/>
  <c r="M83" i="95"/>
  <c r="M89" i="95"/>
  <c r="M76" i="95"/>
  <c r="M74" i="95"/>
  <c r="M72" i="95"/>
  <c r="M67" i="95"/>
  <c r="M48" i="95"/>
  <c r="M84" i="95"/>
  <c r="M77" i="95"/>
  <c r="M97" i="95"/>
  <c r="M56" i="95"/>
  <c r="M54" i="95"/>
  <c r="M60" i="95"/>
  <c r="M58" i="95"/>
  <c r="M93" i="95"/>
  <c r="M91" i="95"/>
  <c r="M81" i="95"/>
  <c r="M36" i="95"/>
  <c r="M101" i="95"/>
  <c r="M45" i="95"/>
  <c r="M43" i="95"/>
  <c r="M52" i="95"/>
  <c r="M49" i="95"/>
  <c r="M68" i="95"/>
  <c r="M42" i="95"/>
  <c r="M80" i="95"/>
  <c r="M53" i="95"/>
  <c r="M88" i="74"/>
  <c r="M97" i="74"/>
  <c r="M74" i="74"/>
  <c r="M49" i="74"/>
  <c r="M39" i="74"/>
  <c r="M84" i="74"/>
  <c r="M81" i="74"/>
  <c r="M63" i="74"/>
  <c r="M101" i="74"/>
  <c r="M90" i="74"/>
  <c r="M56" i="74"/>
  <c r="M86" i="74"/>
  <c r="M61" i="74"/>
  <c r="M43" i="74"/>
  <c r="M73" i="74"/>
  <c r="M64" i="74"/>
  <c r="M46" i="74"/>
  <c r="M92" i="74"/>
  <c r="M72" i="74"/>
  <c r="M40" i="74"/>
  <c r="M50" i="74"/>
  <c r="M36" i="74"/>
  <c r="M82" i="74"/>
  <c r="M83" i="74"/>
  <c r="M78" i="74"/>
  <c r="M42" i="74"/>
  <c r="M59" i="74"/>
  <c r="M96" i="74"/>
  <c r="M94" i="74"/>
  <c r="M57" i="74"/>
  <c r="M67" i="74"/>
  <c r="M44" i="74"/>
  <c r="M79" i="74"/>
  <c r="M53" i="74"/>
  <c r="M35" i="74"/>
  <c r="M103" i="74"/>
  <c r="M77" i="74"/>
  <c r="M52" i="74"/>
  <c r="M62" i="74"/>
  <c r="M51" i="74"/>
  <c r="M55" i="74"/>
  <c r="M98" i="74"/>
  <c r="M99" i="74"/>
  <c r="M68" i="74"/>
  <c r="M34" i="74"/>
  <c r="M102" i="74"/>
  <c r="M100" i="74"/>
  <c r="M47" i="74"/>
  <c r="M45" i="74"/>
  <c r="M87" i="74"/>
  <c r="M76" i="74"/>
  <c r="M37" i="74"/>
  <c r="M91" i="74"/>
  <c r="M80" i="74"/>
  <c r="M89" i="74"/>
  <c r="M85" i="74"/>
  <c r="M58" i="74"/>
  <c r="M60" i="74"/>
  <c r="M71" i="74"/>
  <c r="M54" i="74"/>
  <c r="M70" i="74"/>
  <c r="M95" i="74"/>
  <c r="M93" i="74"/>
  <c r="M38" i="74"/>
  <c r="M66" i="74"/>
  <c r="M48" i="74"/>
  <c r="M75" i="74"/>
  <c r="M41" i="74"/>
  <c r="C49" i="40"/>
  <c r="D49" i="40"/>
  <c r="C35" i="40"/>
  <c r="M33" i="40"/>
  <c r="M97" i="12"/>
  <c r="M74" i="12"/>
  <c r="M49" i="12"/>
  <c r="M39" i="12"/>
  <c r="M95" i="12"/>
  <c r="M72" i="12"/>
  <c r="M47" i="12"/>
  <c r="M94" i="12"/>
  <c r="M62" i="12"/>
  <c r="M83" i="12"/>
  <c r="M80" i="12"/>
  <c r="M68" i="12"/>
  <c r="M53" i="12"/>
  <c r="M101" i="12"/>
  <c r="M88" i="12"/>
  <c r="M63" i="12"/>
  <c r="M54" i="12"/>
  <c r="M41" i="12"/>
  <c r="M81" i="12"/>
  <c r="M59" i="12"/>
  <c r="M50" i="12"/>
  <c r="M37" i="12"/>
  <c r="M84" i="12"/>
  <c r="M79" i="12"/>
  <c r="M67" i="12"/>
  <c r="M48" i="12"/>
  <c r="M36" i="12"/>
  <c r="M43" i="12"/>
  <c r="M100" i="12"/>
  <c r="M78" i="12"/>
  <c r="M56" i="12"/>
  <c r="M85" i="12"/>
  <c r="M96" i="12"/>
  <c r="M44" i="12"/>
  <c r="M57" i="12"/>
  <c r="M38" i="12"/>
  <c r="M90" i="12"/>
  <c r="M71" i="12"/>
  <c r="M60" i="12"/>
  <c r="M89" i="12"/>
  <c r="M52" i="12"/>
  <c r="M92" i="12"/>
  <c r="M51" i="12"/>
  <c r="M77" i="12"/>
  <c r="M64" i="12"/>
  <c r="M45" i="12"/>
  <c r="M93" i="12"/>
  <c r="M66" i="12"/>
  <c r="M58" i="12"/>
  <c r="M34" i="12"/>
  <c r="M86" i="12"/>
  <c r="M75" i="12"/>
  <c r="M82" i="12"/>
  <c r="M73" i="12"/>
  <c r="M91" i="12"/>
  <c r="M61" i="12"/>
  <c r="M102" i="12"/>
  <c r="M46" i="12"/>
  <c r="M98" i="12"/>
  <c r="M70" i="12"/>
  <c r="M103" i="12"/>
  <c r="M55" i="12"/>
  <c r="M87" i="12"/>
  <c r="M76" i="12"/>
  <c r="M99" i="12"/>
  <c r="M35" i="12"/>
  <c r="M40" i="12"/>
  <c r="M42" i="12"/>
  <c r="M86" i="78"/>
  <c r="M38" i="78"/>
  <c r="M95" i="78"/>
  <c r="M72" i="78"/>
  <c r="M56" i="78"/>
  <c r="M47" i="78"/>
  <c r="M93" i="78"/>
  <c r="M54" i="78"/>
  <c r="M45" i="78"/>
  <c r="M100" i="78"/>
  <c r="M64" i="78"/>
  <c r="M44" i="78"/>
  <c r="M87" i="78"/>
  <c r="M73" i="78"/>
  <c r="M55" i="78"/>
  <c r="M34" i="78"/>
  <c r="M96" i="78"/>
  <c r="M83" i="78"/>
  <c r="M80" i="78"/>
  <c r="M68" i="78"/>
  <c r="M52" i="78"/>
  <c r="M88" i="78"/>
  <c r="M74" i="78"/>
  <c r="M97" i="78"/>
  <c r="M53" i="78"/>
  <c r="M39" i="78"/>
  <c r="M75" i="78"/>
  <c r="M62" i="78"/>
  <c r="M51" i="78"/>
  <c r="M71" i="78"/>
  <c r="M91" i="78"/>
  <c r="M70" i="78"/>
  <c r="M60" i="78"/>
  <c r="M49" i="78"/>
  <c r="M35" i="78"/>
  <c r="M89" i="78"/>
  <c r="M58" i="78"/>
  <c r="M76" i="78"/>
  <c r="M63" i="78"/>
  <c r="M94" i="78"/>
  <c r="M37" i="78"/>
  <c r="M82" i="78"/>
  <c r="M40" i="78"/>
  <c r="M101" i="78"/>
  <c r="M48" i="78"/>
  <c r="M46" i="78"/>
  <c r="M90" i="78"/>
  <c r="M81" i="78"/>
  <c r="M36" i="78"/>
  <c r="M84" i="78"/>
  <c r="M103" i="78"/>
  <c r="M77" i="78"/>
  <c r="M66" i="78"/>
  <c r="M50" i="78"/>
  <c r="M85" i="78"/>
  <c r="M57" i="78"/>
  <c r="M99" i="78"/>
  <c r="M78" i="78"/>
  <c r="M43" i="78"/>
  <c r="M102" i="78"/>
  <c r="M42" i="78"/>
  <c r="M67" i="78"/>
  <c r="M41" i="78"/>
  <c r="M61" i="78"/>
  <c r="M79" i="78"/>
  <c r="M98" i="78"/>
  <c r="M92" i="78"/>
  <c r="M59" i="78"/>
  <c r="M84" i="4"/>
  <c r="M81" i="4"/>
  <c r="M56" i="4"/>
  <c r="M47" i="4"/>
  <c r="M91" i="4"/>
  <c r="M61" i="4"/>
  <c r="M35" i="4"/>
  <c r="M100" i="4"/>
  <c r="M77" i="4"/>
  <c r="M43" i="4"/>
  <c r="M97" i="4"/>
  <c r="M86" i="4"/>
  <c r="M63" i="4"/>
  <c r="M42" i="4"/>
  <c r="M41" i="4"/>
  <c r="M95" i="4"/>
  <c r="M79" i="4"/>
  <c r="M40" i="4"/>
  <c r="M82" i="4"/>
  <c r="M59" i="4"/>
  <c r="M70" i="4"/>
  <c r="M101" i="4"/>
  <c r="M34" i="4"/>
  <c r="M99" i="4"/>
  <c r="M67" i="4"/>
  <c r="M57" i="4"/>
  <c r="M48" i="4"/>
  <c r="M46" i="4"/>
  <c r="M75" i="4"/>
  <c r="M55" i="4"/>
  <c r="M87" i="4"/>
  <c r="M80" i="4"/>
  <c r="M49" i="4"/>
  <c r="M88" i="4"/>
  <c r="M103" i="4"/>
  <c r="M53" i="4"/>
  <c r="M64" i="4"/>
  <c r="M52" i="4"/>
  <c r="M89" i="4"/>
  <c r="M66" i="4"/>
  <c r="M54" i="4"/>
  <c r="M37" i="4"/>
  <c r="M92" i="4"/>
  <c r="M39" i="4"/>
  <c r="M90" i="4"/>
  <c r="M45" i="4"/>
  <c r="M62" i="4"/>
  <c r="M73" i="4"/>
  <c r="M60" i="4"/>
  <c r="M36" i="4"/>
  <c r="M93" i="4"/>
  <c r="M50" i="4"/>
  <c r="M78" i="4"/>
  <c r="M38" i="4"/>
  <c r="M76" i="4"/>
  <c r="M71" i="4"/>
  <c r="M74" i="4"/>
  <c r="M83" i="4"/>
  <c r="M51" i="4"/>
  <c r="M98" i="4"/>
  <c r="M96" i="4"/>
  <c r="M94" i="4"/>
  <c r="M44" i="4"/>
  <c r="M68" i="4"/>
  <c r="M58" i="4"/>
  <c r="M85" i="4"/>
  <c r="M72" i="4"/>
  <c r="M102" i="4"/>
  <c r="M93" i="93"/>
  <c r="M72" i="93"/>
  <c r="M38" i="93"/>
  <c r="M102" i="93"/>
  <c r="M82" i="93"/>
  <c r="M79" i="93"/>
  <c r="M56" i="93"/>
  <c r="M47" i="93"/>
  <c r="M89" i="93"/>
  <c r="M77" i="93"/>
  <c r="M61" i="93"/>
  <c r="M35" i="93"/>
  <c r="M59" i="93"/>
  <c r="M40" i="93"/>
  <c r="M75" i="93"/>
  <c r="M57" i="93"/>
  <c r="M48" i="93"/>
  <c r="M36" i="93"/>
  <c r="M94" i="93"/>
  <c r="M78" i="93"/>
  <c r="M97" i="93"/>
  <c r="M84" i="93"/>
  <c r="M55" i="93"/>
  <c r="M44" i="93"/>
  <c r="M71" i="93"/>
  <c r="M53" i="93"/>
  <c r="M85" i="93"/>
  <c r="M80" i="93"/>
  <c r="M43" i="93"/>
  <c r="M90" i="93"/>
  <c r="M46" i="93"/>
  <c r="M101" i="93"/>
  <c r="M81" i="93"/>
  <c r="M67" i="93"/>
  <c r="M86" i="93"/>
  <c r="M99" i="93"/>
  <c r="M39" i="93"/>
  <c r="M70" i="93"/>
  <c r="M62" i="93"/>
  <c r="M49" i="93"/>
  <c r="M95" i="93"/>
  <c r="M68" i="93"/>
  <c r="M58" i="93"/>
  <c r="M42" i="93"/>
  <c r="M83" i="93"/>
  <c r="M76" i="93"/>
  <c r="M63" i="93"/>
  <c r="M74" i="93"/>
  <c r="M100" i="93"/>
  <c r="M41" i="93"/>
  <c r="M54" i="93"/>
  <c r="M66" i="93"/>
  <c r="M103" i="93"/>
  <c r="M92" i="93"/>
  <c r="M37" i="93"/>
  <c r="M52" i="93"/>
  <c r="M45" i="93"/>
  <c r="M64" i="93"/>
  <c r="M87" i="93"/>
  <c r="M51" i="93"/>
  <c r="M34" i="93"/>
  <c r="M73" i="93"/>
  <c r="M98" i="93"/>
  <c r="M96" i="93"/>
  <c r="M60" i="93"/>
  <c r="M91" i="93"/>
  <c r="M50" i="93"/>
  <c r="M88" i="93"/>
  <c r="D35" i="40"/>
  <c r="N33" i="40"/>
  <c r="D35" i="26"/>
  <c r="N33" i="26"/>
  <c r="F35" i="17"/>
  <c r="P33" i="17"/>
  <c r="N94" i="58"/>
  <c r="N75" i="58"/>
  <c r="N63" i="58"/>
  <c r="N47" i="58"/>
  <c r="N83" i="58"/>
  <c r="N80" i="58"/>
  <c r="N56" i="58"/>
  <c r="N101" i="58"/>
  <c r="N54" i="58"/>
  <c r="N97" i="58"/>
  <c r="N70" i="58"/>
  <c r="N64" i="58"/>
  <c r="N50" i="58"/>
  <c r="N40" i="58"/>
  <c r="N96" i="58"/>
  <c r="N78" i="58"/>
  <c r="N58" i="58"/>
  <c r="N49" i="58"/>
  <c r="N35" i="58"/>
  <c r="N92" i="58"/>
  <c r="N66" i="58"/>
  <c r="N45" i="58"/>
  <c r="N103" i="58"/>
  <c r="N74" i="58"/>
  <c r="N42" i="58"/>
  <c r="N88" i="58"/>
  <c r="N41" i="58"/>
  <c r="N84" i="58"/>
  <c r="N36" i="58"/>
  <c r="N102" i="58"/>
  <c r="N67" i="58"/>
  <c r="N81" i="58"/>
  <c r="N52" i="58"/>
  <c r="N34" i="58"/>
  <c r="N98" i="58"/>
  <c r="N90" i="58"/>
  <c r="N79" i="58"/>
  <c r="N51" i="58"/>
  <c r="N43" i="58"/>
  <c r="N86" i="58"/>
  <c r="N82" i="58"/>
  <c r="N77" i="58"/>
  <c r="N62" i="58"/>
  <c r="N73" i="58"/>
  <c r="N71" i="58"/>
  <c r="N68" i="58"/>
  <c r="N61" i="58"/>
  <c r="N59" i="58"/>
  <c r="N57" i="58"/>
  <c r="N53" i="58"/>
  <c r="N39" i="58"/>
  <c r="N76" i="58"/>
  <c r="N95" i="58"/>
  <c r="N93" i="58"/>
  <c r="N91" i="58"/>
  <c r="N89" i="58"/>
  <c r="N87" i="58"/>
  <c r="N85" i="58"/>
  <c r="N38" i="58"/>
  <c r="N99" i="58"/>
  <c r="N55" i="58"/>
  <c r="N44" i="58"/>
  <c r="N37" i="58"/>
  <c r="N100" i="58"/>
  <c r="N72" i="58"/>
  <c r="N60" i="58"/>
  <c r="N46" i="58"/>
  <c r="N48" i="58"/>
  <c r="M102" i="84"/>
  <c r="M82" i="84"/>
  <c r="M79" i="84"/>
  <c r="M54" i="84"/>
  <c r="M45" i="84"/>
  <c r="M35" i="84"/>
  <c r="M91" i="84"/>
  <c r="M61" i="84"/>
  <c r="M87" i="84"/>
  <c r="M50" i="84"/>
  <c r="M40" i="84"/>
  <c r="M75" i="84"/>
  <c r="M48" i="84"/>
  <c r="M57" i="84"/>
  <c r="M34" i="84"/>
  <c r="M64" i="84"/>
  <c r="M44" i="84"/>
  <c r="M103" i="84"/>
  <c r="M92" i="84"/>
  <c r="M66" i="84"/>
  <c r="M99" i="84"/>
  <c r="M86" i="84"/>
  <c r="M81" i="84"/>
  <c r="M59" i="84"/>
  <c r="M97" i="84"/>
  <c r="M84" i="84"/>
  <c r="M95" i="84"/>
  <c r="M77" i="84"/>
  <c r="M67" i="84"/>
  <c r="M70" i="84"/>
  <c r="M60" i="84"/>
  <c r="M51" i="84"/>
  <c r="M89" i="84"/>
  <c r="M80" i="84"/>
  <c r="M37" i="84"/>
  <c r="M85" i="84"/>
  <c r="M78" i="84"/>
  <c r="M36" i="84"/>
  <c r="M83" i="84"/>
  <c r="M76" i="84"/>
  <c r="M100" i="84"/>
  <c r="M74" i="84"/>
  <c r="M63" i="84"/>
  <c r="M98" i="84"/>
  <c r="M55" i="84"/>
  <c r="M39" i="84"/>
  <c r="M38" i="84"/>
  <c r="M88" i="84"/>
  <c r="M42" i="84"/>
  <c r="M68" i="84"/>
  <c r="M94" i="84"/>
  <c r="M73" i="84"/>
  <c r="M41" i="84"/>
  <c r="M90" i="84"/>
  <c r="M71" i="84"/>
  <c r="M56" i="84"/>
  <c r="M96" i="84"/>
  <c r="M46" i="84"/>
  <c r="M101" i="84"/>
  <c r="M72" i="84"/>
  <c r="M53" i="84"/>
  <c r="M62" i="84"/>
  <c r="M58" i="84"/>
  <c r="M49" i="84"/>
  <c r="M52" i="84"/>
  <c r="M47" i="84"/>
  <c r="M43" i="84"/>
  <c r="M93" i="84"/>
  <c r="N33" i="99"/>
  <c r="D35" i="99"/>
  <c r="M90" i="5"/>
  <c r="M51" i="5"/>
  <c r="M97" i="5"/>
  <c r="M74" i="5"/>
  <c r="M86" i="5"/>
  <c r="M35" i="5"/>
  <c r="M101" i="5"/>
  <c r="M67" i="5"/>
  <c r="M61" i="5"/>
  <c r="M50" i="5"/>
  <c r="M99" i="5"/>
  <c r="M84" i="5"/>
  <c r="M81" i="5"/>
  <c r="M59" i="5"/>
  <c r="M48" i="5"/>
  <c r="M95" i="5"/>
  <c r="M82" i="5"/>
  <c r="M79" i="5"/>
  <c r="M87" i="5"/>
  <c r="M85" i="5"/>
  <c r="M52" i="5"/>
  <c r="M49" i="5"/>
  <c r="M47" i="5"/>
  <c r="M64" i="5"/>
  <c r="M45" i="5"/>
  <c r="M102" i="5"/>
  <c r="M100" i="5"/>
  <c r="M98" i="5"/>
  <c r="M96" i="5"/>
  <c r="M94" i="5"/>
  <c r="M77" i="5"/>
  <c r="M43" i="5"/>
  <c r="M42" i="5"/>
  <c r="M41" i="5"/>
  <c r="M40" i="5"/>
  <c r="M46" i="5"/>
  <c r="M91" i="5"/>
  <c r="M89" i="5"/>
  <c r="M83" i="5"/>
  <c r="M38" i="5"/>
  <c r="M63" i="5"/>
  <c r="M103" i="5"/>
  <c r="M57" i="5"/>
  <c r="M39" i="5"/>
  <c r="M88" i="5"/>
  <c r="M76" i="5"/>
  <c r="M92" i="5"/>
  <c r="M80" i="5"/>
  <c r="M78" i="5"/>
  <c r="M72" i="5"/>
  <c r="M55" i="5"/>
  <c r="M58" i="5"/>
  <c r="M75" i="5"/>
  <c r="M73" i="5"/>
  <c r="M71" i="5"/>
  <c r="M70" i="5"/>
  <c r="M68" i="5"/>
  <c r="M66" i="5"/>
  <c r="M53" i="5"/>
  <c r="M93" i="5"/>
  <c r="M44" i="5"/>
  <c r="M37" i="5"/>
  <c r="M36" i="5"/>
  <c r="M34" i="5"/>
  <c r="M56" i="5"/>
  <c r="M54" i="5"/>
  <c r="M60" i="5"/>
  <c r="M62" i="5"/>
  <c r="M102" i="57"/>
  <c r="M82" i="57"/>
  <c r="M79" i="57"/>
  <c r="M68" i="57"/>
  <c r="M42" i="57"/>
  <c r="M91" i="57"/>
  <c r="M59" i="57"/>
  <c r="M41" i="57"/>
  <c r="M89" i="57"/>
  <c r="M85" i="57"/>
  <c r="M55" i="57"/>
  <c r="M96" i="57"/>
  <c r="M83" i="57"/>
  <c r="M78" i="57"/>
  <c r="M67" i="57"/>
  <c r="M47" i="57"/>
  <c r="M35" i="57"/>
  <c r="M94" i="57"/>
  <c r="M76" i="57"/>
  <c r="M103" i="57"/>
  <c r="M92" i="57"/>
  <c r="M74" i="57"/>
  <c r="M54" i="57"/>
  <c r="M101" i="57"/>
  <c r="M90" i="57"/>
  <c r="M63" i="57"/>
  <c r="M43" i="57"/>
  <c r="M99" i="57"/>
  <c r="M61" i="57"/>
  <c r="M87" i="57"/>
  <c r="M80" i="57"/>
  <c r="M100" i="57"/>
  <c r="M34" i="57"/>
  <c r="M98" i="57"/>
  <c r="M72" i="57"/>
  <c r="M48" i="57"/>
  <c r="M46" i="57"/>
  <c r="M57" i="57"/>
  <c r="M44" i="57"/>
  <c r="M66" i="57"/>
  <c r="M39" i="57"/>
  <c r="M84" i="57"/>
  <c r="M75" i="57"/>
  <c r="M60" i="57"/>
  <c r="M49" i="57"/>
  <c r="M50" i="57"/>
  <c r="M97" i="57"/>
  <c r="M95" i="57"/>
  <c r="M93" i="57"/>
  <c r="M38" i="57"/>
  <c r="M64" i="57"/>
  <c r="M62" i="57"/>
  <c r="M40" i="57"/>
  <c r="M51" i="57"/>
  <c r="M45" i="57"/>
  <c r="M37" i="57"/>
  <c r="M58" i="57"/>
  <c r="M70" i="57"/>
  <c r="M53" i="57"/>
  <c r="M52" i="57"/>
  <c r="M36" i="57"/>
  <c r="M56" i="57"/>
  <c r="M81" i="57"/>
  <c r="M77" i="57"/>
  <c r="M86" i="57"/>
  <c r="M71" i="57"/>
  <c r="M73" i="57"/>
  <c r="M88" i="57"/>
  <c r="M92" i="44"/>
  <c r="M60" i="44"/>
  <c r="M53" i="44"/>
  <c r="M34" i="44"/>
  <c r="M101" i="44"/>
  <c r="M78" i="44"/>
  <c r="M52" i="44"/>
  <c r="M88" i="44"/>
  <c r="M49" i="44"/>
  <c r="M39" i="44"/>
  <c r="M95" i="44"/>
  <c r="M68" i="44"/>
  <c r="M59" i="44"/>
  <c r="M50" i="44"/>
  <c r="M91" i="44"/>
  <c r="M66" i="44"/>
  <c r="M57" i="44"/>
  <c r="M46" i="44"/>
  <c r="M83" i="44"/>
  <c r="M80" i="44"/>
  <c r="M38" i="44"/>
  <c r="M85" i="44"/>
  <c r="M43" i="44"/>
  <c r="M96" i="44"/>
  <c r="M76" i="44"/>
  <c r="M54" i="44"/>
  <c r="M40" i="44"/>
  <c r="M90" i="44"/>
  <c r="M48" i="44"/>
  <c r="M84" i="44"/>
  <c r="M79" i="44"/>
  <c r="M55" i="44"/>
  <c r="M35" i="44"/>
  <c r="M82" i="44"/>
  <c r="M77" i="44"/>
  <c r="M64" i="44"/>
  <c r="M99" i="44"/>
  <c r="M75" i="44"/>
  <c r="M51" i="44"/>
  <c r="M72" i="44"/>
  <c r="M102" i="44"/>
  <c r="M100" i="44"/>
  <c r="M94" i="44"/>
  <c r="M45" i="44"/>
  <c r="M81" i="44"/>
  <c r="M62" i="44"/>
  <c r="M42" i="44"/>
  <c r="M41" i="44"/>
  <c r="M86" i="44"/>
  <c r="M71" i="44"/>
  <c r="M70" i="44"/>
  <c r="M56" i="44"/>
  <c r="M67" i="44"/>
  <c r="M36" i="44"/>
  <c r="M63" i="44"/>
  <c r="M97" i="44"/>
  <c r="M61" i="44"/>
  <c r="M103" i="44"/>
  <c r="M89" i="44"/>
  <c r="M37" i="44"/>
  <c r="M87" i="44"/>
  <c r="M73" i="44"/>
  <c r="M98" i="44"/>
  <c r="M93" i="44"/>
  <c r="M58" i="44"/>
  <c r="M74" i="44"/>
  <c r="M44" i="44"/>
  <c r="M47" i="44"/>
  <c r="C35" i="99"/>
  <c r="M33" i="99"/>
  <c r="C35" i="28"/>
  <c r="M33" i="28"/>
  <c r="M93" i="67"/>
  <c r="M54" i="67"/>
  <c r="M45" i="67"/>
  <c r="M100" i="67"/>
  <c r="M77" i="67"/>
  <c r="M67" i="67"/>
  <c r="M59" i="67"/>
  <c r="M42" i="67"/>
  <c r="M91" i="67"/>
  <c r="M37" i="67"/>
  <c r="M102" i="67"/>
  <c r="M57" i="67"/>
  <c r="M48" i="67"/>
  <c r="M36" i="67"/>
  <c r="M64" i="67"/>
  <c r="M46" i="67"/>
  <c r="M98" i="67"/>
  <c r="M87" i="67"/>
  <c r="M73" i="67"/>
  <c r="M55" i="67"/>
  <c r="M44" i="67"/>
  <c r="M103" i="67"/>
  <c r="M101" i="67"/>
  <c r="M86" i="67"/>
  <c r="M61" i="67"/>
  <c r="M50" i="67"/>
  <c r="M99" i="67"/>
  <c r="M34" i="67"/>
  <c r="M97" i="67"/>
  <c r="M84" i="67"/>
  <c r="M81" i="67"/>
  <c r="M71" i="67"/>
  <c r="M88" i="67"/>
  <c r="M39" i="67"/>
  <c r="M79" i="67"/>
  <c r="M38" i="67"/>
  <c r="M82" i="67"/>
  <c r="M53" i="67"/>
  <c r="M68" i="67"/>
  <c r="M40" i="67"/>
  <c r="M83" i="67"/>
  <c r="M74" i="67"/>
  <c r="M72" i="67"/>
  <c r="M96" i="67"/>
  <c r="M35" i="67"/>
  <c r="M60" i="67"/>
  <c r="M43" i="67"/>
  <c r="M85" i="67"/>
  <c r="M76" i="67"/>
  <c r="M63" i="67"/>
  <c r="M80" i="67"/>
  <c r="M78" i="67"/>
  <c r="M89" i="67"/>
  <c r="M94" i="67"/>
  <c r="M62" i="67"/>
  <c r="M41" i="67"/>
  <c r="M92" i="67"/>
  <c r="M58" i="67"/>
  <c r="M95" i="67"/>
  <c r="M52" i="67"/>
  <c r="M51" i="67"/>
  <c r="M49" i="67"/>
  <c r="M47" i="67"/>
  <c r="M70" i="67"/>
  <c r="M56" i="67"/>
  <c r="M75" i="67"/>
  <c r="M90" i="67"/>
  <c r="M66" i="67"/>
  <c r="M87" i="47"/>
  <c r="M57" i="47"/>
  <c r="M96" i="47"/>
  <c r="M73" i="47"/>
  <c r="M64" i="47"/>
  <c r="M48" i="47"/>
  <c r="M83" i="47"/>
  <c r="M80" i="47"/>
  <c r="M70" i="47"/>
  <c r="M62" i="47"/>
  <c r="M97" i="47"/>
  <c r="M74" i="47"/>
  <c r="M49" i="47"/>
  <c r="M39" i="47"/>
  <c r="M63" i="47"/>
  <c r="M42" i="47"/>
  <c r="M88" i="47"/>
  <c r="M59" i="47"/>
  <c r="M81" i="47"/>
  <c r="M67" i="47"/>
  <c r="M36" i="47"/>
  <c r="M102" i="47"/>
  <c r="M91" i="47"/>
  <c r="M75" i="47"/>
  <c r="M90" i="47"/>
  <c r="M79" i="47"/>
  <c r="M95" i="47"/>
  <c r="M60" i="47"/>
  <c r="M51" i="47"/>
  <c r="M61" i="47"/>
  <c r="M50" i="47"/>
  <c r="M55" i="47"/>
  <c r="M68" i="47"/>
  <c r="M54" i="47"/>
  <c r="M40" i="47"/>
  <c r="M66" i="47"/>
  <c r="M37" i="47"/>
  <c r="M89" i="47"/>
  <c r="M93" i="47"/>
  <c r="M46" i="47"/>
  <c r="M34" i="47"/>
  <c r="M44" i="47"/>
  <c r="M94" i="47"/>
  <c r="M47" i="47"/>
  <c r="M82" i="47"/>
  <c r="M56" i="47"/>
  <c r="M101" i="47"/>
  <c r="M71" i="47"/>
  <c r="M76" i="47"/>
  <c r="M35" i="47"/>
  <c r="M99" i="47"/>
  <c r="M78" i="47"/>
  <c r="M58" i="47"/>
  <c r="M103" i="47"/>
  <c r="M100" i="47"/>
  <c r="M98" i="47"/>
  <c r="M92" i="47"/>
  <c r="M86" i="47"/>
  <c r="M77" i="47"/>
  <c r="M52" i="47"/>
  <c r="M72" i="47"/>
  <c r="M45" i="47"/>
  <c r="M85" i="47"/>
  <c r="M43" i="47"/>
  <c r="M41" i="47"/>
  <c r="M38" i="47"/>
  <c r="M53" i="47"/>
  <c r="M84" i="47"/>
  <c r="M99" i="108"/>
  <c r="M76" i="108"/>
  <c r="M49" i="108"/>
  <c r="M39" i="108"/>
  <c r="M88" i="108"/>
  <c r="M38" i="108"/>
  <c r="M86" i="108"/>
  <c r="M56" i="108"/>
  <c r="M78" i="108"/>
  <c r="M67" i="108"/>
  <c r="M58" i="108"/>
  <c r="M103" i="108"/>
  <c r="M92" i="108"/>
  <c r="M47" i="108"/>
  <c r="M93" i="108"/>
  <c r="M48" i="108"/>
  <c r="M36" i="108"/>
  <c r="M95" i="108"/>
  <c r="M77" i="108"/>
  <c r="M75" i="108"/>
  <c r="M64" i="108"/>
  <c r="M55" i="108"/>
  <c r="M91" i="108"/>
  <c r="M73" i="108"/>
  <c r="M53" i="108"/>
  <c r="M102" i="108"/>
  <c r="M89" i="108"/>
  <c r="M62" i="108"/>
  <c r="M52" i="108"/>
  <c r="M87" i="108"/>
  <c r="M71" i="108"/>
  <c r="M51" i="108"/>
  <c r="M43" i="108"/>
  <c r="M94" i="108"/>
  <c r="M42" i="108"/>
  <c r="M101" i="108"/>
  <c r="M60" i="108"/>
  <c r="M41" i="108"/>
  <c r="M97" i="108"/>
  <c r="M54" i="108"/>
  <c r="M85" i="108"/>
  <c r="M50" i="108"/>
  <c r="M34" i="108"/>
  <c r="M61" i="108"/>
  <c r="M74" i="108"/>
  <c r="M59" i="108"/>
  <c r="M35" i="108"/>
  <c r="M57" i="108"/>
  <c r="M72" i="108"/>
  <c r="M68" i="108"/>
  <c r="M45" i="108"/>
  <c r="M100" i="108"/>
  <c r="M98" i="108"/>
  <c r="M66" i="108"/>
  <c r="M40" i="108"/>
  <c r="M82" i="108"/>
  <c r="M79" i="108"/>
  <c r="M83" i="108"/>
  <c r="M70" i="108"/>
  <c r="M46" i="108"/>
  <c r="M37" i="108"/>
  <c r="M80" i="108"/>
  <c r="M44" i="108"/>
  <c r="M90" i="108"/>
  <c r="M84" i="108"/>
  <c r="M96" i="108"/>
  <c r="M63" i="108"/>
  <c r="M81" i="108"/>
  <c r="N33" i="27"/>
  <c r="D35" i="27"/>
  <c r="M94" i="35"/>
  <c r="M82" i="35"/>
  <c r="M72" i="35"/>
  <c r="M66" i="35"/>
  <c r="M64" i="35"/>
  <c r="M103" i="35"/>
  <c r="M91" i="35"/>
  <c r="M81" i="35"/>
  <c r="M46" i="35"/>
  <c r="M38" i="35"/>
  <c r="M34" i="35"/>
  <c r="M101" i="35"/>
  <c r="M89" i="35"/>
  <c r="M79" i="35"/>
  <c r="M62" i="35"/>
  <c r="M44" i="35"/>
  <c r="M92" i="35"/>
  <c r="M51" i="35"/>
  <c r="M97" i="35"/>
  <c r="M85" i="35"/>
  <c r="M75" i="35"/>
  <c r="M58" i="35"/>
  <c r="M35" i="35"/>
  <c r="M83" i="35"/>
  <c r="M48" i="35"/>
  <c r="M80" i="35"/>
  <c r="M57" i="35"/>
  <c r="M39" i="35"/>
  <c r="M99" i="35"/>
  <c r="M78" i="35"/>
  <c r="M76" i="35"/>
  <c r="M55" i="35"/>
  <c r="M95" i="35"/>
  <c r="M90" i="35"/>
  <c r="M74" i="35"/>
  <c r="M52" i="35"/>
  <c r="M56" i="35"/>
  <c r="M86" i="35"/>
  <c r="M54" i="35"/>
  <c r="M77" i="35"/>
  <c r="M67" i="35"/>
  <c r="M50" i="35"/>
  <c r="M93" i="35"/>
  <c r="M73" i="35"/>
  <c r="M63" i="35"/>
  <c r="M71" i="35"/>
  <c r="M61" i="35"/>
  <c r="M49" i="35"/>
  <c r="M40" i="35"/>
  <c r="M36" i="35"/>
  <c r="M47" i="35"/>
  <c r="M41" i="35"/>
  <c r="M102" i="35"/>
  <c r="M68" i="35"/>
  <c r="M43" i="35"/>
  <c r="M100" i="35"/>
  <c r="M98" i="35"/>
  <c r="M60" i="35"/>
  <c r="M84" i="35"/>
  <c r="M53" i="35"/>
  <c r="M42" i="35"/>
  <c r="M70" i="35"/>
  <c r="M45" i="35"/>
  <c r="M96" i="35"/>
  <c r="M87" i="35"/>
  <c r="M59" i="35"/>
  <c r="M88" i="35"/>
  <c r="M37" i="35"/>
  <c r="M91" i="77"/>
  <c r="M59" i="77"/>
  <c r="M42" i="77"/>
  <c r="M100" i="77"/>
  <c r="M77" i="77"/>
  <c r="M41" i="77"/>
  <c r="M98" i="77"/>
  <c r="M75" i="77"/>
  <c r="M57" i="77"/>
  <c r="M60" i="77"/>
  <c r="M51" i="77"/>
  <c r="M39" i="77"/>
  <c r="M94" i="77"/>
  <c r="M83" i="77"/>
  <c r="M80" i="77"/>
  <c r="M58" i="77"/>
  <c r="M38" i="77"/>
  <c r="M103" i="77"/>
  <c r="M90" i="77"/>
  <c r="M76" i="77"/>
  <c r="M56" i="77"/>
  <c r="M47" i="77"/>
  <c r="M95" i="77"/>
  <c r="M84" i="77"/>
  <c r="M81" i="77"/>
  <c r="M68" i="77"/>
  <c r="M74" i="77"/>
  <c r="M36" i="77"/>
  <c r="M63" i="77"/>
  <c r="M50" i="77"/>
  <c r="M96" i="77"/>
  <c r="M72" i="77"/>
  <c r="M61" i="77"/>
  <c r="M48" i="77"/>
  <c r="M92" i="77"/>
  <c r="M46" i="77"/>
  <c r="M34" i="77"/>
  <c r="M99" i="77"/>
  <c r="M82" i="77"/>
  <c r="M52" i="77"/>
  <c r="M97" i="77"/>
  <c r="M73" i="77"/>
  <c r="M44" i="77"/>
  <c r="M85" i="77"/>
  <c r="M35" i="77"/>
  <c r="M102" i="77"/>
  <c r="M37" i="77"/>
  <c r="M67" i="77"/>
  <c r="M89" i="77"/>
  <c r="M55" i="77"/>
  <c r="M62" i="77"/>
  <c r="M40" i="77"/>
  <c r="M53" i="77"/>
  <c r="M49" i="77"/>
  <c r="M54" i="77"/>
  <c r="M88" i="77"/>
  <c r="M79" i="77"/>
  <c r="M101" i="77"/>
  <c r="M71" i="77"/>
  <c r="M86" i="77"/>
  <c r="M70" i="77"/>
  <c r="M87" i="77"/>
  <c r="M45" i="77"/>
  <c r="M43" i="77"/>
  <c r="M78" i="77"/>
  <c r="M66" i="77"/>
  <c r="M93" i="77"/>
  <c r="M64" i="77"/>
  <c r="M88" i="76"/>
  <c r="M49" i="76"/>
  <c r="M39" i="76"/>
  <c r="M97" i="76"/>
  <c r="M74" i="76"/>
  <c r="M38" i="76"/>
  <c r="M95" i="76"/>
  <c r="M72" i="76"/>
  <c r="M63" i="76"/>
  <c r="M91" i="76"/>
  <c r="M77" i="76"/>
  <c r="M102" i="76"/>
  <c r="M64" i="76"/>
  <c r="M46" i="76"/>
  <c r="M71" i="76"/>
  <c r="M103" i="76"/>
  <c r="M47" i="76"/>
  <c r="M78" i="76"/>
  <c r="M43" i="76"/>
  <c r="M92" i="76"/>
  <c r="M76" i="76"/>
  <c r="M54" i="76"/>
  <c r="M42" i="76"/>
  <c r="M90" i="76"/>
  <c r="M61" i="76"/>
  <c r="M41" i="76"/>
  <c r="M40" i="76"/>
  <c r="M86" i="76"/>
  <c r="M68" i="76"/>
  <c r="M36" i="76"/>
  <c r="M93" i="76"/>
  <c r="M55" i="76"/>
  <c r="M66" i="76"/>
  <c r="M101" i="76"/>
  <c r="M62" i="76"/>
  <c r="M52" i="76"/>
  <c r="M99" i="76"/>
  <c r="M75" i="76"/>
  <c r="M73" i="76"/>
  <c r="M58" i="76"/>
  <c r="M96" i="76"/>
  <c r="M53" i="76"/>
  <c r="M45" i="76"/>
  <c r="M84" i="76"/>
  <c r="M81" i="76"/>
  <c r="M89" i="76"/>
  <c r="M59" i="76"/>
  <c r="M85" i="76"/>
  <c r="M80" i="76"/>
  <c r="M57" i="76"/>
  <c r="M35" i="76"/>
  <c r="M83" i="76"/>
  <c r="M94" i="76"/>
  <c r="M60" i="76"/>
  <c r="M56" i="76"/>
  <c r="M100" i="76"/>
  <c r="M51" i="76"/>
  <c r="M87" i="76"/>
  <c r="M37" i="76"/>
  <c r="M34" i="76"/>
  <c r="M70" i="76"/>
  <c r="M44" i="76"/>
  <c r="M79" i="76"/>
  <c r="M98" i="76"/>
  <c r="M82" i="76"/>
  <c r="M67" i="76"/>
  <c r="M50" i="76"/>
  <c r="M48" i="76"/>
  <c r="M85" i="102"/>
  <c r="M64" i="102"/>
  <c r="M57" i="102"/>
  <c r="M41" i="102"/>
  <c r="M94" i="102"/>
  <c r="M71" i="102"/>
  <c r="M50" i="102"/>
  <c r="M40" i="102"/>
  <c r="M101" i="102"/>
  <c r="M78" i="102"/>
  <c r="M68" i="102"/>
  <c r="M55" i="102"/>
  <c r="M36" i="102"/>
  <c r="M67" i="102"/>
  <c r="M97" i="102"/>
  <c r="M82" i="102"/>
  <c r="M77" i="102"/>
  <c r="M34" i="102"/>
  <c r="M100" i="102"/>
  <c r="M87" i="102"/>
  <c r="M51" i="102"/>
  <c r="M49" i="102"/>
  <c r="M35" i="102"/>
  <c r="M98" i="102"/>
  <c r="M72" i="102"/>
  <c r="M92" i="102"/>
  <c r="M88" i="102"/>
  <c r="M86" i="102"/>
  <c r="M60" i="102"/>
  <c r="M89" i="102"/>
  <c r="M62" i="102"/>
  <c r="M45" i="102"/>
  <c r="M102" i="102"/>
  <c r="M96" i="102"/>
  <c r="M84" i="102"/>
  <c r="M56" i="102"/>
  <c r="M54" i="102"/>
  <c r="M90" i="102"/>
  <c r="M48" i="102"/>
  <c r="M38" i="102"/>
  <c r="M46" i="102"/>
  <c r="M44" i="102"/>
  <c r="M39" i="102"/>
  <c r="M63" i="102"/>
  <c r="M43" i="102"/>
  <c r="M42" i="102"/>
  <c r="M52" i="102"/>
  <c r="M80" i="102"/>
  <c r="M95" i="102"/>
  <c r="M93" i="102"/>
  <c r="M37" i="102"/>
  <c r="M83" i="102"/>
  <c r="M99" i="102"/>
  <c r="M47" i="102"/>
  <c r="M70" i="102"/>
  <c r="M75" i="102"/>
  <c r="M66" i="102"/>
  <c r="M59" i="102"/>
  <c r="M91" i="102"/>
  <c r="M81" i="102"/>
  <c r="M79" i="102"/>
  <c r="M73" i="102"/>
  <c r="M61" i="102"/>
  <c r="M58" i="102"/>
  <c r="M103" i="102"/>
  <c r="M76" i="102"/>
  <c r="M74" i="102"/>
  <c r="M53" i="102"/>
  <c r="D35" i="28"/>
  <c r="N33" i="28"/>
  <c r="M92" i="94"/>
  <c r="M73" i="94"/>
  <c r="M59" i="94"/>
  <c r="M43" i="94"/>
  <c r="M35" i="94"/>
  <c r="M101" i="94"/>
  <c r="M42" i="94"/>
  <c r="M88" i="94"/>
  <c r="M102" i="94"/>
  <c r="M82" i="94"/>
  <c r="M53" i="94"/>
  <c r="M78" i="94"/>
  <c r="M62" i="94"/>
  <c r="M38" i="94"/>
  <c r="M86" i="94"/>
  <c r="M47" i="94"/>
  <c r="M95" i="94"/>
  <c r="M93" i="94"/>
  <c r="M91" i="94"/>
  <c r="M68" i="94"/>
  <c r="M66" i="94"/>
  <c r="M37" i="94"/>
  <c r="M100" i="94"/>
  <c r="M54" i="94"/>
  <c r="M70" i="94"/>
  <c r="M83" i="94"/>
  <c r="M50" i="94"/>
  <c r="M48" i="94"/>
  <c r="M103" i="94"/>
  <c r="M97" i="94"/>
  <c r="M76" i="94"/>
  <c r="M63" i="94"/>
  <c r="M67" i="94"/>
  <c r="M55" i="94"/>
  <c r="M52" i="94"/>
  <c r="M45" i="94"/>
  <c r="M41" i="94"/>
  <c r="M40" i="94"/>
  <c r="M36" i="94"/>
  <c r="M99" i="94"/>
  <c r="M74" i="94"/>
  <c r="M72" i="94"/>
  <c r="M39" i="94"/>
  <c r="M94" i="94"/>
  <c r="M75" i="94"/>
  <c r="M71" i="94"/>
  <c r="M80" i="94"/>
  <c r="M87" i="94"/>
  <c r="M89" i="94"/>
  <c r="M85" i="94"/>
  <c r="M81" i="94"/>
  <c r="M57" i="94"/>
  <c r="M51" i="94"/>
  <c r="M49" i="94"/>
  <c r="M56" i="94"/>
  <c r="M96" i="94"/>
  <c r="M98" i="94"/>
  <c r="M61" i="94"/>
  <c r="M84" i="94"/>
  <c r="M60" i="94"/>
  <c r="M64" i="94"/>
  <c r="M90" i="94"/>
  <c r="M44" i="94"/>
  <c r="M58" i="94"/>
  <c r="M79" i="94"/>
  <c r="M46" i="94"/>
  <c r="M34" i="94"/>
  <c r="M77" i="94"/>
  <c r="M101" i="89"/>
  <c r="M73" i="89"/>
  <c r="M41" i="89"/>
  <c r="M88" i="89"/>
  <c r="M70" i="89"/>
  <c r="M48" i="89"/>
  <c r="M97" i="89"/>
  <c r="M68" i="89"/>
  <c r="M55" i="89"/>
  <c r="M86" i="89"/>
  <c r="M45" i="89"/>
  <c r="M76" i="89"/>
  <c r="M56" i="89"/>
  <c r="M54" i="89"/>
  <c r="M42" i="89"/>
  <c r="M40" i="89"/>
  <c r="M95" i="89"/>
  <c r="M82" i="89"/>
  <c r="M74" i="89"/>
  <c r="M63" i="89"/>
  <c r="M102" i="89"/>
  <c r="M87" i="89"/>
  <c r="M77" i="89"/>
  <c r="M58" i="89"/>
  <c r="M75" i="89"/>
  <c r="M71" i="89"/>
  <c r="M34" i="89"/>
  <c r="M99" i="89"/>
  <c r="M59" i="89"/>
  <c r="M92" i="89"/>
  <c r="M57" i="89"/>
  <c r="M35" i="89"/>
  <c r="M53" i="89"/>
  <c r="M52" i="89"/>
  <c r="M51" i="89"/>
  <c r="M60" i="89"/>
  <c r="M49" i="89"/>
  <c r="M81" i="89"/>
  <c r="M66" i="89"/>
  <c r="M47" i="89"/>
  <c r="M79" i="89"/>
  <c r="M43" i="89"/>
  <c r="M37" i="89"/>
  <c r="M100" i="89"/>
  <c r="M98" i="89"/>
  <c r="M96" i="89"/>
  <c r="M94" i="89"/>
  <c r="M36" i="89"/>
  <c r="M50" i="89"/>
  <c r="M44" i="89"/>
  <c r="M46" i="89"/>
  <c r="M84" i="89"/>
  <c r="M90" i="89"/>
  <c r="M78" i="89"/>
  <c r="M38" i="89"/>
  <c r="M93" i="89"/>
  <c r="M91" i="89"/>
  <c r="M89" i="89"/>
  <c r="M61" i="89"/>
  <c r="M103" i="89"/>
  <c r="M85" i="89"/>
  <c r="M83" i="89"/>
  <c r="M67" i="89"/>
  <c r="M64" i="89"/>
  <c r="M72" i="89"/>
  <c r="M62" i="89"/>
  <c r="M80" i="89"/>
  <c r="M39" i="89"/>
  <c r="M101" i="36"/>
  <c r="M71" i="36"/>
  <c r="M90" i="36"/>
  <c r="M80" i="36"/>
  <c r="M70" i="36"/>
  <c r="M59" i="36"/>
  <c r="M99" i="36"/>
  <c r="M50" i="36"/>
  <c r="M88" i="36"/>
  <c r="M78" i="36"/>
  <c r="M97" i="36"/>
  <c r="M57" i="36"/>
  <c r="M48" i="36"/>
  <c r="M34" i="36"/>
  <c r="M86" i="36"/>
  <c r="M76" i="36"/>
  <c r="M68" i="36"/>
  <c r="M95" i="36"/>
  <c r="M64" i="36"/>
  <c r="M46" i="36"/>
  <c r="M38" i="36"/>
  <c r="M84" i="36"/>
  <c r="M74" i="36"/>
  <c r="M66" i="36"/>
  <c r="M55" i="36"/>
  <c r="M39" i="36"/>
  <c r="M93" i="36"/>
  <c r="M62" i="36"/>
  <c r="M44" i="36"/>
  <c r="M91" i="36"/>
  <c r="M81" i="36"/>
  <c r="M60" i="36"/>
  <c r="M52" i="36"/>
  <c r="M35" i="36"/>
  <c r="M82" i="36"/>
  <c r="M79" i="36"/>
  <c r="M77" i="36"/>
  <c r="M75" i="36"/>
  <c r="M73" i="36"/>
  <c r="M53" i="36"/>
  <c r="M36" i="36"/>
  <c r="M87" i="36"/>
  <c r="M49" i="36"/>
  <c r="M40" i="36"/>
  <c r="M85" i="36"/>
  <c r="M56" i="36"/>
  <c r="M83" i="36"/>
  <c r="M54" i="36"/>
  <c r="M72" i="36"/>
  <c r="M102" i="36"/>
  <c r="M100" i="36"/>
  <c r="M98" i="36"/>
  <c r="M63" i="36"/>
  <c r="M61" i="36"/>
  <c r="M37" i="36"/>
  <c r="M96" i="36"/>
  <c r="M51" i="36"/>
  <c r="M103" i="36"/>
  <c r="M89" i="36"/>
  <c r="M45" i="36"/>
  <c r="M42" i="36"/>
  <c r="M92" i="36"/>
  <c r="M43" i="36"/>
  <c r="M41" i="36"/>
  <c r="M67" i="36"/>
  <c r="M47" i="36"/>
  <c r="M58" i="36"/>
  <c r="M94" i="36"/>
  <c r="N84" i="87"/>
  <c r="N81" i="87"/>
  <c r="N55" i="87"/>
  <c r="N37" i="87"/>
  <c r="N91" i="87"/>
  <c r="N72" i="87"/>
  <c r="N58" i="87"/>
  <c r="N44" i="87"/>
  <c r="N63" i="87"/>
  <c r="N54" i="87"/>
  <c r="N45" i="87"/>
  <c r="N35" i="87"/>
  <c r="N98" i="87"/>
  <c r="N85" i="87"/>
  <c r="N70" i="87"/>
  <c r="N64" i="87"/>
  <c r="N90" i="87"/>
  <c r="N51" i="87"/>
  <c r="N38" i="87"/>
  <c r="N94" i="87"/>
  <c r="N103" i="87"/>
  <c r="N86" i="87"/>
  <c r="N48" i="87"/>
  <c r="N100" i="87"/>
  <c r="N74" i="87"/>
  <c r="N61" i="87"/>
  <c r="N83" i="87"/>
  <c r="N34" i="87"/>
  <c r="N76" i="87"/>
  <c r="N50" i="87"/>
  <c r="N46" i="87"/>
  <c r="N102" i="87"/>
  <c r="N82" i="87"/>
  <c r="N75" i="87"/>
  <c r="N73" i="87"/>
  <c r="N62" i="87"/>
  <c r="N60" i="87"/>
  <c r="N36" i="87"/>
  <c r="N71" i="87"/>
  <c r="N96" i="87"/>
  <c r="N92" i="87"/>
  <c r="N68" i="87"/>
  <c r="N88" i="87"/>
  <c r="N101" i="87"/>
  <c r="N59" i="87"/>
  <c r="N39" i="87"/>
  <c r="N43" i="87"/>
  <c r="N56" i="87"/>
  <c r="N89" i="87"/>
  <c r="N87" i="87"/>
  <c r="N80" i="87"/>
  <c r="N67" i="87"/>
  <c r="N93" i="87"/>
  <c r="N66" i="87"/>
  <c r="N57" i="87"/>
  <c r="N42" i="87"/>
  <c r="N95" i="87"/>
  <c r="N78" i="87"/>
  <c r="N41" i="87"/>
  <c r="N53" i="87"/>
  <c r="N49" i="87"/>
  <c r="N47" i="87"/>
  <c r="N79" i="87"/>
  <c r="N97" i="87"/>
  <c r="N40" i="87"/>
  <c r="N99" i="87"/>
  <c r="N52" i="87"/>
  <c r="N77" i="87"/>
  <c r="C35" i="19"/>
  <c r="M33" i="19"/>
  <c r="N101" i="60"/>
  <c r="N99" i="60"/>
  <c r="N97" i="60"/>
  <c r="N102" i="60"/>
  <c r="N103" i="60"/>
  <c r="N56" i="60"/>
  <c r="N90" i="60"/>
  <c r="N67" i="60"/>
  <c r="N61" i="60"/>
  <c r="N47" i="60"/>
  <c r="N78" i="60"/>
  <c r="N41" i="60"/>
  <c r="N86" i="60"/>
  <c r="N73" i="60"/>
  <c r="N43" i="60"/>
  <c r="N40" i="60"/>
  <c r="N70" i="60"/>
  <c r="N68" i="60"/>
  <c r="N62" i="60"/>
  <c r="N52" i="60"/>
  <c r="N88" i="60"/>
  <c r="N60" i="60"/>
  <c r="N51" i="60"/>
  <c r="N35" i="60"/>
  <c r="N82" i="60"/>
  <c r="N89" i="60"/>
  <c r="N63" i="60"/>
  <c r="N83" i="60"/>
  <c r="N75" i="60"/>
  <c r="N34" i="60"/>
  <c r="N66" i="60"/>
  <c r="N71" i="60"/>
  <c r="N54" i="60"/>
  <c r="N50" i="60"/>
  <c r="N57" i="60"/>
  <c r="N91" i="60"/>
  <c r="N53" i="60"/>
  <c r="N42" i="60"/>
  <c r="N37" i="60"/>
  <c r="N92" i="60"/>
  <c r="N84" i="60"/>
  <c r="N76" i="60"/>
  <c r="N39" i="60"/>
  <c r="N81" i="60"/>
  <c r="N74" i="60"/>
  <c r="N72" i="60"/>
  <c r="N38" i="60"/>
  <c r="N64" i="60"/>
  <c r="N58" i="60"/>
  <c r="N79" i="60"/>
  <c r="N48" i="60"/>
  <c r="N100" i="60"/>
  <c r="N98" i="60"/>
  <c r="N96" i="60"/>
  <c r="N46" i="60"/>
  <c r="N87" i="60"/>
  <c r="N85" i="60"/>
  <c r="N49" i="60"/>
  <c r="N94" i="60"/>
  <c r="N45" i="60"/>
  <c r="N59" i="60"/>
  <c r="N55" i="60"/>
  <c r="N36" i="60"/>
  <c r="N95" i="60"/>
  <c r="N77" i="60"/>
  <c r="N93" i="60"/>
  <c r="N80" i="60"/>
  <c r="N44" i="60"/>
  <c r="M84" i="56"/>
  <c r="M81" i="56"/>
  <c r="M54" i="56"/>
  <c r="M93" i="56"/>
  <c r="M61" i="56"/>
  <c r="M43" i="56"/>
  <c r="M87" i="56"/>
  <c r="M64" i="56"/>
  <c r="M37" i="56"/>
  <c r="M97" i="56"/>
  <c r="M59" i="56"/>
  <c r="M50" i="56"/>
  <c r="M79" i="56"/>
  <c r="M68" i="56"/>
  <c r="M95" i="56"/>
  <c r="M82" i="56"/>
  <c r="M48" i="56"/>
  <c r="M36" i="56"/>
  <c r="M66" i="56"/>
  <c r="M46" i="56"/>
  <c r="M34" i="56"/>
  <c r="M102" i="56"/>
  <c r="M91" i="56"/>
  <c r="M75" i="56"/>
  <c r="M100" i="56"/>
  <c r="M89" i="56"/>
  <c r="M73" i="56"/>
  <c r="M53" i="56"/>
  <c r="M94" i="56"/>
  <c r="M44" i="56"/>
  <c r="M92" i="56"/>
  <c r="M57" i="56"/>
  <c r="M86" i="56"/>
  <c r="M55" i="56"/>
  <c r="M39" i="56"/>
  <c r="M103" i="56"/>
  <c r="M52" i="56"/>
  <c r="M38" i="56"/>
  <c r="M56" i="56"/>
  <c r="M67" i="56"/>
  <c r="M85" i="56"/>
  <c r="M78" i="56"/>
  <c r="M83" i="56"/>
  <c r="M63" i="56"/>
  <c r="M76" i="56"/>
  <c r="M96" i="56"/>
  <c r="M49" i="56"/>
  <c r="M47" i="56"/>
  <c r="M45" i="56"/>
  <c r="M42" i="56"/>
  <c r="M70" i="56"/>
  <c r="M101" i="56"/>
  <c r="M99" i="56"/>
  <c r="M62" i="56"/>
  <c r="M80" i="56"/>
  <c r="M74" i="56"/>
  <c r="M51" i="56"/>
  <c r="M72" i="56"/>
  <c r="M41" i="56"/>
  <c r="M40" i="56"/>
  <c r="M58" i="56"/>
  <c r="M98" i="56"/>
  <c r="M60" i="56"/>
  <c r="M88" i="56"/>
  <c r="M35" i="56"/>
  <c r="M71" i="56"/>
  <c r="M77" i="56"/>
  <c r="M90" i="56"/>
  <c r="M92" i="41"/>
  <c r="M55" i="41"/>
  <c r="M37" i="41"/>
  <c r="M99" i="41"/>
  <c r="M76" i="41"/>
  <c r="M58" i="41"/>
  <c r="M44" i="41"/>
  <c r="M93" i="41"/>
  <c r="M77" i="41"/>
  <c r="M66" i="41"/>
  <c r="M50" i="41"/>
  <c r="M36" i="41"/>
  <c r="M102" i="41"/>
  <c r="M89" i="41"/>
  <c r="M85" i="41"/>
  <c r="M70" i="41"/>
  <c r="M62" i="41"/>
  <c r="M34" i="41"/>
  <c r="M90" i="41"/>
  <c r="M88" i="41"/>
  <c r="M57" i="41"/>
  <c r="M48" i="41"/>
  <c r="M103" i="41"/>
  <c r="M101" i="41"/>
  <c r="M71" i="41"/>
  <c r="M49" i="41"/>
  <c r="M86" i="41"/>
  <c r="M81" i="41"/>
  <c r="M51" i="41"/>
  <c r="M47" i="41"/>
  <c r="M82" i="41"/>
  <c r="M73" i="41"/>
  <c r="M43" i="41"/>
  <c r="M100" i="41"/>
  <c r="M98" i="41"/>
  <c r="M84" i="41"/>
  <c r="M56" i="41"/>
  <c r="M96" i="41"/>
  <c r="M67" i="41"/>
  <c r="M54" i="41"/>
  <c r="M94" i="41"/>
  <c r="M46" i="41"/>
  <c r="M53" i="41"/>
  <c r="M80" i="41"/>
  <c r="M78" i="41"/>
  <c r="M68" i="41"/>
  <c r="M52" i="41"/>
  <c r="M74" i="41"/>
  <c r="M72" i="41"/>
  <c r="M91" i="41"/>
  <c r="M38" i="41"/>
  <c r="M64" i="41"/>
  <c r="M39" i="41"/>
  <c r="M35" i="41"/>
  <c r="M59" i="41"/>
  <c r="M87" i="41"/>
  <c r="M79" i="41"/>
  <c r="M40" i="41"/>
  <c r="M63" i="41"/>
  <c r="M61" i="41"/>
  <c r="M42" i="41"/>
  <c r="M45" i="41"/>
  <c r="M41" i="41"/>
  <c r="M60" i="41"/>
  <c r="M95" i="41"/>
  <c r="M83" i="41"/>
  <c r="M75" i="41"/>
  <c r="M97" i="41"/>
  <c r="M93" i="30"/>
  <c r="M61" i="30"/>
  <c r="M35" i="30"/>
  <c r="M89" i="30"/>
  <c r="M66" i="30"/>
  <c r="M50" i="30"/>
  <c r="M40" i="30"/>
  <c r="M88" i="30"/>
  <c r="M56" i="30"/>
  <c r="M86" i="30"/>
  <c r="M63" i="30"/>
  <c r="M54" i="30"/>
  <c r="M84" i="30"/>
  <c r="M81" i="30"/>
  <c r="M59" i="30"/>
  <c r="M97" i="30"/>
  <c r="M48" i="30"/>
  <c r="M37" i="30"/>
  <c r="M82" i="30"/>
  <c r="M79" i="30"/>
  <c r="M68" i="30"/>
  <c r="M36" i="30"/>
  <c r="M95" i="30"/>
  <c r="M57" i="30"/>
  <c r="M46" i="30"/>
  <c r="M70" i="30"/>
  <c r="M43" i="30"/>
  <c r="M102" i="30"/>
  <c r="M87" i="30"/>
  <c r="M80" i="30"/>
  <c r="M42" i="30"/>
  <c r="M85" i="30"/>
  <c r="M78" i="30"/>
  <c r="M67" i="30"/>
  <c r="M41" i="30"/>
  <c r="M100" i="30"/>
  <c r="M83" i="30"/>
  <c r="M103" i="30"/>
  <c r="M90" i="30"/>
  <c r="M62" i="30"/>
  <c r="M49" i="30"/>
  <c r="M72" i="30"/>
  <c r="M55" i="30"/>
  <c r="M98" i="30"/>
  <c r="M52" i="30"/>
  <c r="M96" i="30"/>
  <c r="M64" i="30"/>
  <c r="M51" i="30"/>
  <c r="M75" i="30"/>
  <c r="M71" i="30"/>
  <c r="M58" i="30"/>
  <c r="M34" i="30"/>
  <c r="M92" i="30"/>
  <c r="M101" i="30"/>
  <c r="M47" i="30"/>
  <c r="M99" i="30"/>
  <c r="M76" i="30"/>
  <c r="M53" i="30"/>
  <c r="M91" i="30"/>
  <c r="M74" i="30"/>
  <c r="M45" i="30"/>
  <c r="M77" i="30"/>
  <c r="M38" i="30"/>
  <c r="M39" i="30"/>
  <c r="M73" i="30"/>
  <c r="M94" i="30"/>
  <c r="M60" i="30"/>
  <c r="M44" i="30"/>
  <c r="M104" i="2"/>
  <c r="M82" i="2"/>
  <c r="M79" i="2"/>
  <c r="M59" i="2"/>
  <c r="M47" i="2"/>
  <c r="M91" i="2"/>
  <c r="M57" i="2"/>
  <c r="M100" i="2"/>
  <c r="M75" i="2"/>
  <c r="M64" i="2"/>
  <c r="M43" i="2"/>
  <c r="M39" i="2"/>
  <c r="M94" i="2"/>
  <c r="M76" i="2"/>
  <c r="M54" i="2"/>
  <c r="M38" i="2"/>
  <c r="M35" i="2"/>
  <c r="M105" i="2"/>
  <c r="M74" i="2"/>
  <c r="M63" i="2"/>
  <c r="M103" i="2"/>
  <c r="M92" i="2"/>
  <c r="M95" i="2"/>
  <c r="M77" i="2"/>
  <c r="M55" i="2"/>
  <c r="M93" i="2"/>
  <c r="M70" i="2"/>
  <c r="M89" i="2"/>
  <c r="M87" i="2"/>
  <c r="M56" i="2"/>
  <c r="M37" i="2"/>
  <c r="M96" i="2"/>
  <c r="M53" i="2"/>
  <c r="M46" i="2"/>
  <c r="M90" i="2"/>
  <c r="M88" i="2"/>
  <c r="M86" i="2"/>
  <c r="M52" i="2"/>
  <c r="M81" i="2"/>
  <c r="M51" i="2"/>
  <c r="M44" i="2"/>
  <c r="M84" i="2"/>
  <c r="M68" i="2"/>
  <c r="M62" i="2"/>
  <c r="M98" i="2"/>
  <c r="M99" i="2"/>
  <c r="M85" i="2"/>
  <c r="M78" i="2"/>
  <c r="M67" i="2"/>
  <c r="M48" i="2"/>
  <c r="M97" i="2"/>
  <c r="M83" i="2"/>
  <c r="M72" i="2"/>
  <c r="M58" i="2"/>
  <c r="M36" i="2"/>
  <c r="M73" i="2"/>
  <c r="M66" i="2"/>
  <c r="M45" i="2"/>
  <c r="M80" i="2"/>
  <c r="M49" i="2"/>
  <c r="M101" i="2"/>
  <c r="M42" i="2"/>
  <c r="M34" i="2"/>
  <c r="M60" i="2"/>
  <c r="M41" i="2"/>
  <c r="M40" i="2"/>
  <c r="M50" i="2"/>
  <c r="M71" i="2"/>
  <c r="M61" i="2"/>
  <c r="M102" i="2"/>
  <c r="C35" i="11"/>
  <c r="M33" i="11"/>
  <c r="M33" i="27"/>
  <c r="C35" i="27"/>
  <c r="N70" i="25"/>
  <c r="N64" i="25"/>
  <c r="N42" i="25"/>
  <c r="N95" i="25"/>
  <c r="N84" i="25"/>
  <c r="N81" i="25"/>
  <c r="N57" i="25"/>
  <c r="N41" i="25"/>
  <c r="N73" i="25"/>
  <c r="N101" i="25"/>
  <c r="N88" i="25"/>
  <c r="N46" i="25"/>
  <c r="N60" i="25"/>
  <c r="N103" i="25"/>
  <c r="N79" i="25"/>
  <c r="N56" i="25"/>
  <c r="N40" i="25"/>
  <c r="N72" i="25"/>
  <c r="N61" i="25"/>
  <c r="N37" i="25"/>
  <c r="N97" i="25"/>
  <c r="N59" i="25"/>
  <c r="N36" i="25"/>
  <c r="N102" i="25"/>
  <c r="N100" i="25"/>
  <c r="N98" i="25"/>
  <c r="N96" i="25"/>
  <c r="N94" i="25"/>
  <c r="N92" i="25"/>
  <c r="N76" i="25"/>
  <c r="N90" i="25"/>
  <c r="N63" i="25"/>
  <c r="N50" i="25"/>
  <c r="N39" i="25"/>
  <c r="N77" i="25"/>
  <c r="N89" i="25"/>
  <c r="N87" i="25"/>
  <c r="N80" i="25"/>
  <c r="N45" i="25"/>
  <c r="N55" i="25"/>
  <c r="N74" i="25"/>
  <c r="N54" i="25"/>
  <c r="N93" i="25"/>
  <c r="N91" i="25"/>
  <c r="N85" i="25"/>
  <c r="N83" i="25"/>
  <c r="N48" i="25"/>
  <c r="N66" i="25"/>
  <c r="N99" i="25"/>
  <c r="N67" i="25"/>
  <c r="N58" i="25"/>
  <c r="N38" i="25"/>
  <c r="N35" i="25"/>
  <c r="N62" i="25"/>
  <c r="N44" i="25"/>
  <c r="N82" i="25"/>
  <c r="N71" i="25"/>
  <c r="N68" i="25"/>
  <c r="N43" i="25"/>
  <c r="N86" i="25"/>
  <c r="N75" i="25"/>
  <c r="N53" i="25"/>
  <c r="N52" i="25"/>
  <c r="N49" i="25"/>
  <c r="N47" i="25"/>
  <c r="N34" i="25"/>
  <c r="N51" i="25"/>
  <c r="N78" i="25"/>
  <c r="N33" i="11"/>
  <c r="D35" i="11"/>
  <c r="M90" i="37"/>
  <c r="M99" i="37"/>
  <c r="M76" i="37"/>
  <c r="M59" i="37"/>
  <c r="M88" i="37"/>
  <c r="M68" i="37"/>
  <c r="M50" i="37"/>
  <c r="M97" i="37"/>
  <c r="M74" i="37"/>
  <c r="M86" i="37"/>
  <c r="M57" i="37"/>
  <c r="M48" i="37"/>
  <c r="M95" i="37"/>
  <c r="M72" i="37"/>
  <c r="M66" i="37"/>
  <c r="M64" i="37"/>
  <c r="M84" i="37"/>
  <c r="M81" i="37"/>
  <c r="M46" i="37"/>
  <c r="M38" i="37"/>
  <c r="M93" i="37"/>
  <c r="M55" i="37"/>
  <c r="M39" i="37"/>
  <c r="M102" i="37"/>
  <c r="M82" i="37"/>
  <c r="M79" i="37"/>
  <c r="M62" i="37"/>
  <c r="M100" i="37"/>
  <c r="M77" i="37"/>
  <c r="M60" i="37"/>
  <c r="M52" i="37"/>
  <c r="M34" i="37"/>
  <c r="M67" i="37"/>
  <c r="M103" i="37"/>
  <c r="M75" i="37"/>
  <c r="M63" i="37"/>
  <c r="M101" i="37"/>
  <c r="M73" i="37"/>
  <c r="M61" i="37"/>
  <c r="M71" i="37"/>
  <c r="M44" i="37"/>
  <c r="M70" i="37"/>
  <c r="M91" i="37"/>
  <c r="M35" i="37"/>
  <c r="M51" i="37"/>
  <c r="M37" i="37"/>
  <c r="M49" i="37"/>
  <c r="M40" i="37"/>
  <c r="M36" i="37"/>
  <c r="M47" i="37"/>
  <c r="M41" i="37"/>
  <c r="M45" i="37"/>
  <c r="M42" i="37"/>
  <c r="M58" i="37"/>
  <c r="M43" i="37"/>
  <c r="M87" i="37"/>
  <c r="M80" i="37"/>
  <c r="M54" i="37"/>
  <c r="M85" i="37"/>
  <c r="M78" i="37"/>
  <c r="M98" i="37"/>
  <c r="M89" i="37"/>
  <c r="M83" i="37"/>
  <c r="M53" i="37"/>
  <c r="M96" i="37"/>
  <c r="M94" i="37"/>
  <c r="M92" i="37"/>
  <c r="M56" i="37"/>
  <c r="P33" i="85"/>
  <c r="F35" i="85"/>
  <c r="C35" i="25"/>
  <c r="M33" i="25"/>
  <c r="M93" i="6"/>
  <c r="M63" i="6"/>
  <c r="M100" i="6"/>
  <c r="M77" i="6"/>
  <c r="M43" i="6"/>
  <c r="M89" i="6"/>
  <c r="M67" i="6"/>
  <c r="M59" i="6"/>
  <c r="M42" i="6"/>
  <c r="M94" i="6"/>
  <c r="M68" i="6"/>
  <c r="M58" i="6"/>
  <c r="M51" i="6"/>
  <c r="M39" i="6"/>
  <c r="M92" i="6"/>
  <c r="M78" i="6"/>
  <c r="M38" i="6"/>
  <c r="M103" i="6"/>
  <c r="M76" i="6"/>
  <c r="M66" i="6"/>
  <c r="M49" i="6"/>
  <c r="M90" i="6"/>
  <c r="M82" i="6"/>
  <c r="M79" i="6"/>
  <c r="M102" i="6"/>
  <c r="M85" i="6"/>
  <c r="M56" i="6"/>
  <c r="M45" i="6"/>
  <c r="M80" i="6"/>
  <c r="M98" i="6"/>
  <c r="M83" i="6"/>
  <c r="M54" i="6"/>
  <c r="M41" i="6"/>
  <c r="M86" i="6"/>
  <c r="M46" i="6"/>
  <c r="M99" i="6"/>
  <c r="M71" i="6"/>
  <c r="M60" i="6"/>
  <c r="M47" i="6"/>
  <c r="M97" i="6"/>
  <c r="M70" i="6"/>
  <c r="M40" i="6"/>
  <c r="M95" i="6"/>
  <c r="M37" i="6"/>
  <c r="M73" i="6"/>
  <c r="M62" i="6"/>
  <c r="M75" i="6"/>
  <c r="M36" i="6"/>
  <c r="M84" i="6"/>
  <c r="M34" i="6"/>
  <c r="M87" i="6"/>
  <c r="M74" i="6"/>
  <c r="M57" i="6"/>
  <c r="M96" i="6"/>
  <c r="M81" i="6"/>
  <c r="M88" i="6"/>
  <c r="M61" i="6"/>
  <c r="M50" i="6"/>
  <c r="M48" i="6"/>
  <c r="M44" i="6"/>
  <c r="M35" i="6"/>
  <c r="M55" i="6"/>
  <c r="M101" i="6"/>
  <c r="M53" i="6"/>
  <c r="M72" i="6"/>
  <c r="M52" i="6"/>
  <c r="M91" i="6"/>
  <c r="M64" i="6"/>
  <c r="O93" i="3"/>
  <c r="O37" i="3"/>
  <c r="O100" i="3"/>
  <c r="O75" i="3"/>
  <c r="O51" i="3"/>
  <c r="O44" i="3"/>
  <c r="O89" i="3"/>
  <c r="O87" i="3"/>
  <c r="O63" i="3"/>
  <c r="O68" i="3"/>
  <c r="O95" i="3"/>
  <c r="O71" i="3"/>
  <c r="O64" i="3"/>
  <c r="O70" i="3"/>
  <c r="O57" i="3"/>
  <c r="O40" i="3"/>
  <c r="O91" i="3"/>
  <c r="O85" i="3"/>
  <c r="O66" i="3"/>
  <c r="O48" i="3"/>
  <c r="O96" i="3"/>
  <c r="O53" i="3"/>
  <c r="O52" i="3"/>
  <c r="O42" i="3"/>
  <c r="O39" i="3"/>
  <c r="O105" i="3"/>
  <c r="O55" i="3"/>
  <c r="O103" i="3"/>
  <c r="O72" i="3"/>
  <c r="O49" i="3"/>
  <c r="O36" i="3"/>
  <c r="O101" i="3"/>
  <c r="O99" i="3"/>
  <c r="O92" i="3"/>
  <c r="O73" i="3"/>
  <c r="O56" i="3"/>
  <c r="O104" i="3"/>
  <c r="O47" i="3"/>
  <c r="O81" i="3"/>
  <c r="O61" i="3"/>
  <c r="O45" i="3"/>
  <c r="O43" i="3"/>
  <c r="O67" i="3"/>
  <c r="O86" i="3"/>
  <c r="O79" i="3"/>
  <c r="O77" i="3"/>
  <c r="O62" i="3"/>
  <c r="O50" i="3"/>
  <c r="O41" i="3"/>
  <c r="O84" i="3"/>
  <c r="O74" i="3"/>
  <c r="O82" i="3"/>
  <c r="O97" i="3"/>
  <c r="O88" i="3"/>
  <c r="O76" i="3"/>
  <c r="O34" i="3"/>
  <c r="O94" i="3"/>
  <c r="O83" i="3"/>
  <c r="O80" i="3"/>
  <c r="O78" i="3"/>
  <c r="O35" i="3"/>
  <c r="O98" i="3"/>
  <c r="O54" i="3"/>
  <c r="O38" i="3"/>
  <c r="O59" i="3"/>
  <c r="O46" i="3"/>
  <c r="O90" i="3"/>
  <c r="O60" i="3"/>
  <c r="O58" i="3"/>
  <c r="O102" i="3"/>
  <c r="N88" i="32"/>
  <c r="N34" i="32"/>
  <c r="N97" i="32"/>
  <c r="N74" i="32"/>
  <c r="N49" i="32"/>
  <c r="N39" i="32"/>
  <c r="N95" i="32"/>
  <c r="N72" i="32"/>
  <c r="N63" i="32"/>
  <c r="N47" i="32"/>
  <c r="N84" i="32"/>
  <c r="N81" i="32"/>
  <c r="N68" i="32"/>
  <c r="N56" i="32"/>
  <c r="N93" i="32"/>
  <c r="N61" i="32"/>
  <c r="N45" i="32"/>
  <c r="N102" i="32"/>
  <c r="N82" i="32"/>
  <c r="N79" i="32"/>
  <c r="N54" i="32"/>
  <c r="N91" i="32"/>
  <c r="N59" i="32"/>
  <c r="N43" i="32"/>
  <c r="N35" i="32"/>
  <c r="N98" i="32"/>
  <c r="N75" i="32"/>
  <c r="N64" i="32"/>
  <c r="N50" i="32"/>
  <c r="N40" i="32"/>
  <c r="N103" i="32"/>
  <c r="N101" i="32"/>
  <c r="N57" i="32"/>
  <c r="N76" i="32"/>
  <c r="N99" i="32"/>
  <c r="N87" i="32"/>
  <c r="N55" i="32"/>
  <c r="N53" i="32"/>
  <c r="N51" i="32"/>
  <c r="N42" i="32"/>
  <c r="N58" i="32"/>
  <c r="N36" i="32"/>
  <c r="N85" i="32"/>
  <c r="N89" i="32"/>
  <c r="N73" i="32"/>
  <c r="N71" i="32"/>
  <c r="N77" i="32"/>
  <c r="N70" i="32"/>
  <c r="N67" i="32"/>
  <c r="N41" i="32"/>
  <c r="N37" i="32"/>
  <c r="N52" i="32"/>
  <c r="N38" i="32"/>
  <c r="N83" i="32"/>
  <c r="N48" i="32"/>
  <c r="N46" i="32"/>
  <c r="N44" i="32"/>
  <c r="N96" i="32"/>
  <c r="N94" i="32"/>
  <c r="N92" i="32"/>
  <c r="N90" i="32"/>
  <c r="N80" i="32"/>
  <c r="N100" i="32"/>
  <c r="N62" i="32"/>
  <c r="N86" i="32"/>
  <c r="N78" i="32"/>
  <c r="N66" i="32"/>
  <c r="N60" i="32"/>
  <c r="D73" i="39"/>
  <c r="D92" i="39"/>
  <c r="D65" i="39"/>
  <c r="D93" i="39"/>
  <c r="N33" i="39"/>
  <c r="D35" i="39"/>
  <c r="D69" i="39"/>
  <c r="D94" i="39"/>
  <c r="M99" i="98"/>
  <c r="M76" i="98"/>
  <c r="M38" i="98"/>
  <c r="M88" i="98"/>
  <c r="M56" i="98"/>
  <c r="M47" i="98"/>
  <c r="M75" i="98"/>
  <c r="M55" i="98"/>
  <c r="M68" i="98"/>
  <c r="M53" i="98"/>
  <c r="M96" i="98"/>
  <c r="M85" i="98"/>
  <c r="M71" i="98"/>
  <c r="M60" i="98"/>
  <c r="M52" i="98"/>
  <c r="M91" i="98"/>
  <c r="M49" i="98"/>
  <c r="M100" i="98"/>
  <c r="M87" i="98"/>
  <c r="M70" i="98"/>
  <c r="M66" i="98"/>
  <c r="M45" i="98"/>
  <c r="M98" i="98"/>
  <c r="M92" i="98"/>
  <c r="M67" i="98"/>
  <c r="M90" i="98"/>
  <c r="M72" i="98"/>
  <c r="M57" i="98"/>
  <c r="M103" i="98"/>
  <c r="M86" i="98"/>
  <c r="M64" i="98"/>
  <c r="M84" i="98"/>
  <c r="M81" i="98"/>
  <c r="M39" i="98"/>
  <c r="M73" i="98"/>
  <c r="M43" i="98"/>
  <c r="M83" i="98"/>
  <c r="M80" i="98"/>
  <c r="M63" i="98"/>
  <c r="M37" i="98"/>
  <c r="M79" i="98"/>
  <c r="M40" i="98"/>
  <c r="M54" i="98"/>
  <c r="M36" i="98"/>
  <c r="M82" i="98"/>
  <c r="M77" i="98"/>
  <c r="M93" i="98"/>
  <c r="M34" i="98"/>
  <c r="M89" i="98"/>
  <c r="M78" i="98"/>
  <c r="M35" i="98"/>
  <c r="M50" i="98"/>
  <c r="M48" i="98"/>
  <c r="M94" i="98"/>
  <c r="M46" i="98"/>
  <c r="M101" i="98"/>
  <c r="M51" i="98"/>
  <c r="M95" i="98"/>
  <c r="M58" i="98"/>
  <c r="M59" i="98"/>
  <c r="M97" i="98"/>
  <c r="M62" i="98"/>
  <c r="M102" i="98"/>
  <c r="M61" i="98"/>
  <c r="M74" i="98"/>
  <c r="M41" i="98"/>
  <c r="M44" i="98"/>
  <c r="M42" i="98"/>
  <c r="M95" i="87"/>
  <c r="M62" i="87"/>
  <c r="M48" i="87"/>
  <c r="M102" i="87"/>
  <c r="M82" i="87"/>
  <c r="M79" i="87"/>
  <c r="M93" i="87"/>
  <c r="M77" i="87"/>
  <c r="M56" i="87"/>
  <c r="M80" i="87"/>
  <c r="M71" i="87"/>
  <c r="M46" i="87"/>
  <c r="M44" i="87"/>
  <c r="M92" i="87"/>
  <c r="M76" i="87"/>
  <c r="M60" i="87"/>
  <c r="M52" i="87"/>
  <c r="M39" i="87"/>
  <c r="M96" i="87"/>
  <c r="M74" i="87"/>
  <c r="M59" i="87"/>
  <c r="M34" i="87"/>
  <c r="M98" i="87"/>
  <c r="M63" i="87"/>
  <c r="M50" i="87"/>
  <c r="M87" i="87"/>
  <c r="M85" i="87"/>
  <c r="M78" i="87"/>
  <c r="M66" i="87"/>
  <c r="M83" i="87"/>
  <c r="M86" i="87"/>
  <c r="M84" i="87"/>
  <c r="M58" i="87"/>
  <c r="M40" i="87"/>
  <c r="M37" i="87"/>
  <c r="M100" i="87"/>
  <c r="M75" i="87"/>
  <c r="M73" i="87"/>
  <c r="M70" i="87"/>
  <c r="M36" i="87"/>
  <c r="M94" i="87"/>
  <c r="M90" i="87"/>
  <c r="M68" i="87"/>
  <c r="M103" i="87"/>
  <c r="M61" i="87"/>
  <c r="M38" i="87"/>
  <c r="M67" i="87"/>
  <c r="M54" i="87"/>
  <c r="M91" i="87"/>
  <c r="M89" i="87"/>
  <c r="M72" i="87"/>
  <c r="M64" i="87"/>
  <c r="M35" i="87"/>
  <c r="M101" i="87"/>
  <c r="M99" i="87"/>
  <c r="M97" i="87"/>
  <c r="M57" i="87"/>
  <c r="M55" i="87"/>
  <c r="M43" i="87"/>
  <c r="M42" i="87"/>
  <c r="M45" i="87"/>
  <c r="M88" i="87"/>
  <c r="M41" i="87"/>
  <c r="M81" i="87"/>
  <c r="M47" i="87"/>
  <c r="M49" i="87"/>
  <c r="M53" i="87"/>
  <c r="M51" i="87"/>
  <c r="M33" i="3"/>
  <c r="D49" i="3"/>
  <c r="C49" i="3"/>
  <c r="M33" i="85"/>
  <c r="C35" i="85"/>
  <c r="C35" i="24"/>
  <c r="M33" i="24"/>
  <c r="M103" i="69"/>
  <c r="M97" i="69"/>
  <c r="M74" i="69"/>
  <c r="M75" i="69"/>
  <c r="M50" i="69"/>
  <c r="M40" i="69"/>
  <c r="M94" i="69"/>
  <c r="M70" i="69"/>
  <c r="M55" i="69"/>
  <c r="M46" i="69"/>
  <c r="M96" i="69"/>
  <c r="M85" i="69"/>
  <c r="M62" i="69"/>
  <c r="M83" i="69"/>
  <c r="M80" i="69"/>
  <c r="M60" i="69"/>
  <c r="M52" i="69"/>
  <c r="M39" i="69"/>
  <c r="M38" i="69"/>
  <c r="M100" i="69"/>
  <c r="M87" i="69"/>
  <c r="M68" i="69"/>
  <c r="M49" i="69"/>
  <c r="M35" i="69"/>
  <c r="M58" i="69"/>
  <c r="M98" i="69"/>
  <c r="M47" i="69"/>
  <c r="M78" i="69"/>
  <c r="M66" i="69"/>
  <c r="M45" i="69"/>
  <c r="M43" i="69"/>
  <c r="M89" i="69"/>
  <c r="M42" i="69"/>
  <c r="M41" i="69"/>
  <c r="M37" i="69"/>
  <c r="M102" i="69"/>
  <c r="M56" i="69"/>
  <c r="M36" i="69"/>
  <c r="M90" i="69"/>
  <c r="M95" i="69"/>
  <c r="M53" i="69"/>
  <c r="M88" i="69"/>
  <c r="M67" i="69"/>
  <c r="M82" i="69"/>
  <c r="M77" i="69"/>
  <c r="M64" i="69"/>
  <c r="M51" i="69"/>
  <c r="M48" i="69"/>
  <c r="M76" i="69"/>
  <c r="M61" i="69"/>
  <c r="M59" i="69"/>
  <c r="M91" i="69"/>
  <c r="M63" i="69"/>
  <c r="M72" i="69"/>
  <c r="M81" i="69"/>
  <c r="M93" i="69"/>
  <c r="M57" i="69"/>
  <c r="M92" i="69"/>
  <c r="M79" i="69"/>
  <c r="M54" i="69"/>
  <c r="M73" i="69"/>
  <c r="M101" i="69"/>
  <c r="M86" i="69"/>
  <c r="M99" i="69"/>
  <c r="M84" i="69"/>
  <c r="M44" i="69"/>
  <c r="M71" i="69"/>
  <c r="M34" i="69"/>
  <c r="M94" i="46"/>
  <c r="M71" i="46"/>
  <c r="M37" i="46"/>
  <c r="M103" i="46"/>
  <c r="M83" i="46"/>
  <c r="M80" i="46"/>
  <c r="M70" i="46"/>
  <c r="M55" i="46"/>
  <c r="M46" i="46"/>
  <c r="M36" i="46"/>
  <c r="M90" i="46"/>
  <c r="M60" i="46"/>
  <c r="M53" i="46"/>
  <c r="M78" i="46"/>
  <c r="M58" i="46"/>
  <c r="M49" i="46"/>
  <c r="M38" i="46"/>
  <c r="M45" i="46"/>
  <c r="M88" i="46"/>
  <c r="M54" i="46"/>
  <c r="M43" i="46"/>
  <c r="M95" i="46"/>
  <c r="M82" i="46"/>
  <c r="M67" i="46"/>
  <c r="M75" i="46"/>
  <c r="M64" i="46"/>
  <c r="M39" i="46"/>
  <c r="M91" i="46"/>
  <c r="M62" i="46"/>
  <c r="M100" i="46"/>
  <c r="M74" i="46"/>
  <c r="M63" i="46"/>
  <c r="M50" i="46"/>
  <c r="M68" i="46"/>
  <c r="M40" i="46"/>
  <c r="M87" i="46"/>
  <c r="M66" i="46"/>
  <c r="M102" i="46"/>
  <c r="M34" i="46"/>
  <c r="M85" i="46"/>
  <c r="M57" i="46"/>
  <c r="M98" i="46"/>
  <c r="M72" i="46"/>
  <c r="M35" i="46"/>
  <c r="M101" i="46"/>
  <c r="M42" i="46"/>
  <c r="M97" i="46"/>
  <c r="M93" i="46"/>
  <c r="M48" i="46"/>
  <c r="M52" i="46"/>
  <c r="M76" i="46"/>
  <c r="M51" i="46"/>
  <c r="M73" i="46"/>
  <c r="M56" i="46"/>
  <c r="M44" i="46"/>
  <c r="M99" i="46"/>
  <c r="M47" i="46"/>
  <c r="M41" i="46"/>
  <c r="M84" i="46"/>
  <c r="M77" i="46"/>
  <c r="M59" i="46"/>
  <c r="M89" i="46"/>
  <c r="M92" i="46"/>
  <c r="M79" i="46"/>
  <c r="M86" i="46"/>
  <c r="M61" i="46"/>
  <c r="M81" i="46"/>
  <c r="M96" i="46"/>
  <c r="E92" i="39"/>
  <c r="E65" i="39"/>
  <c r="E93" i="39"/>
  <c r="O33" i="39"/>
  <c r="E35" i="39"/>
  <c r="E69" i="39"/>
  <c r="E73" i="39"/>
  <c r="E94" i="39"/>
  <c r="M88" i="54"/>
  <c r="M66" i="54"/>
  <c r="M58" i="54"/>
  <c r="M97" i="54"/>
  <c r="M74" i="54"/>
  <c r="M49" i="54"/>
  <c r="M39" i="54"/>
  <c r="M102" i="54"/>
  <c r="M91" i="54"/>
  <c r="M77" i="54"/>
  <c r="M67" i="54"/>
  <c r="M48" i="54"/>
  <c r="M37" i="54"/>
  <c r="M57" i="54"/>
  <c r="M36" i="54"/>
  <c r="M100" i="54"/>
  <c r="M89" i="54"/>
  <c r="M75" i="54"/>
  <c r="M46" i="54"/>
  <c r="M98" i="54"/>
  <c r="M55" i="54"/>
  <c r="M44" i="54"/>
  <c r="M96" i="54"/>
  <c r="M85" i="54"/>
  <c r="M71" i="54"/>
  <c r="M34" i="54"/>
  <c r="M94" i="54"/>
  <c r="M83" i="54"/>
  <c r="M80" i="54"/>
  <c r="M52" i="54"/>
  <c r="M86" i="54"/>
  <c r="M81" i="54"/>
  <c r="M84" i="54"/>
  <c r="M79" i="54"/>
  <c r="M99" i="54"/>
  <c r="M73" i="54"/>
  <c r="M51" i="54"/>
  <c r="M35" i="54"/>
  <c r="M95" i="54"/>
  <c r="M62" i="54"/>
  <c r="M42" i="54"/>
  <c r="M68" i="54"/>
  <c r="M41" i="54"/>
  <c r="M101" i="54"/>
  <c r="M93" i="54"/>
  <c r="M54" i="54"/>
  <c r="M59" i="54"/>
  <c r="M40" i="54"/>
  <c r="M82" i="54"/>
  <c r="M60" i="54"/>
  <c r="M70" i="54"/>
  <c r="M87" i="54"/>
  <c r="M76" i="54"/>
  <c r="M61" i="54"/>
  <c r="M38" i="54"/>
  <c r="M45" i="54"/>
  <c r="M64" i="54"/>
  <c r="M43" i="54"/>
  <c r="M56" i="54"/>
  <c r="M63" i="54"/>
  <c r="M72" i="54"/>
  <c r="M47" i="54"/>
  <c r="M92" i="54"/>
  <c r="M90" i="54"/>
  <c r="M53" i="54"/>
  <c r="M50" i="54"/>
  <c r="M78" i="54"/>
  <c r="M103" i="54"/>
  <c r="D35" i="81"/>
  <c r="N33" i="81"/>
  <c r="M95" i="104"/>
  <c r="M72" i="104"/>
  <c r="M63" i="104"/>
  <c r="M84" i="104"/>
  <c r="M81" i="104"/>
  <c r="M54" i="104"/>
  <c r="M45" i="104"/>
  <c r="M102" i="104"/>
  <c r="M82" i="104"/>
  <c r="M79" i="104"/>
  <c r="M68" i="104"/>
  <c r="M43" i="104"/>
  <c r="M100" i="104"/>
  <c r="M89" i="104"/>
  <c r="M71" i="104"/>
  <c r="M60" i="104"/>
  <c r="M52" i="104"/>
  <c r="M70" i="104"/>
  <c r="M51" i="104"/>
  <c r="M39" i="104"/>
  <c r="M96" i="104"/>
  <c r="M85" i="104"/>
  <c r="M78" i="104"/>
  <c r="M40" i="104"/>
  <c r="M56" i="104"/>
  <c r="M42" i="104"/>
  <c r="M98" i="104"/>
  <c r="M83" i="104"/>
  <c r="M76" i="104"/>
  <c r="M37" i="104"/>
  <c r="M94" i="104"/>
  <c r="M74" i="104"/>
  <c r="M59" i="104"/>
  <c r="M103" i="104"/>
  <c r="M88" i="104"/>
  <c r="M91" i="104"/>
  <c r="M50" i="104"/>
  <c r="M57" i="104"/>
  <c r="M64" i="104"/>
  <c r="M49" i="104"/>
  <c r="M90" i="104"/>
  <c r="M62" i="104"/>
  <c r="M47" i="104"/>
  <c r="M77" i="104"/>
  <c r="M86" i="104"/>
  <c r="M75" i="104"/>
  <c r="M58" i="104"/>
  <c r="M46" i="104"/>
  <c r="M44" i="104"/>
  <c r="M101" i="104"/>
  <c r="M61" i="104"/>
  <c r="M99" i="104"/>
  <c r="M35" i="104"/>
  <c r="M97" i="104"/>
  <c r="M36" i="104"/>
  <c r="M48" i="104"/>
  <c r="M67" i="104"/>
  <c r="M38" i="104"/>
  <c r="M87" i="104"/>
  <c r="M55" i="104"/>
  <c r="M53" i="104"/>
  <c r="M80" i="104"/>
  <c r="M41" i="104"/>
  <c r="M93" i="104"/>
  <c r="M34" i="104"/>
  <c r="M73" i="104"/>
  <c r="M66" i="104"/>
  <c r="M92" i="104"/>
  <c r="N104" i="3"/>
  <c r="N82" i="3"/>
  <c r="N79" i="3"/>
  <c r="N48" i="3"/>
  <c r="N91" i="3"/>
  <c r="N52" i="3"/>
  <c r="N40" i="3"/>
  <c r="N100" i="3"/>
  <c r="N75" i="3"/>
  <c r="N51" i="3"/>
  <c r="N44" i="3"/>
  <c r="N97" i="3"/>
  <c r="N59" i="3"/>
  <c r="N68" i="3"/>
  <c r="N95" i="3"/>
  <c r="N93" i="3"/>
  <c r="N87" i="3"/>
  <c r="N71" i="3"/>
  <c r="N64" i="3"/>
  <c r="N89" i="3"/>
  <c r="N70" i="3"/>
  <c r="N57" i="3"/>
  <c r="N72" i="3"/>
  <c r="N49" i="3"/>
  <c r="N76" i="3"/>
  <c r="N74" i="3"/>
  <c r="N42" i="3"/>
  <c r="N39" i="3"/>
  <c r="N105" i="3"/>
  <c r="N55" i="3"/>
  <c r="N103" i="3"/>
  <c r="N36" i="3"/>
  <c r="N90" i="3"/>
  <c r="N77" i="3"/>
  <c r="N58" i="3"/>
  <c r="N63" i="3"/>
  <c r="N47" i="3"/>
  <c r="N81" i="3"/>
  <c r="N61" i="3"/>
  <c r="N45" i="3"/>
  <c r="N43" i="3"/>
  <c r="N67" i="3"/>
  <c r="N73" i="3"/>
  <c r="N37" i="3"/>
  <c r="N86" i="3"/>
  <c r="N66" i="3"/>
  <c r="N84" i="3"/>
  <c r="N99" i="3"/>
  <c r="N101" i="3"/>
  <c r="N88" i="3"/>
  <c r="N34" i="3"/>
  <c r="N85" i="3"/>
  <c r="N94" i="3"/>
  <c r="N96" i="3"/>
  <c r="N80" i="3"/>
  <c r="N78" i="3"/>
  <c r="N35" i="3"/>
  <c r="N50" i="3"/>
  <c r="N98" i="3"/>
  <c r="N46" i="3"/>
  <c r="N83" i="3"/>
  <c r="N53" i="3"/>
  <c r="N102" i="3"/>
  <c r="N38" i="3"/>
  <c r="N54" i="3"/>
  <c r="N92" i="3"/>
  <c r="N41" i="3"/>
  <c r="N56" i="3"/>
  <c r="N60" i="3"/>
  <c r="N62" i="3"/>
  <c r="N33" i="85"/>
  <c r="D35" i="85"/>
  <c r="M90" i="68"/>
  <c r="M60" i="68"/>
  <c r="M53" i="68"/>
  <c r="M34" i="68"/>
  <c r="M86" i="68"/>
  <c r="M49" i="68"/>
  <c r="M39" i="68"/>
  <c r="M38" i="68"/>
  <c r="M91" i="68"/>
  <c r="M67" i="68"/>
  <c r="M50" i="68"/>
  <c r="M36" i="68"/>
  <c r="M57" i="68"/>
  <c r="M51" i="68"/>
  <c r="M94" i="68"/>
  <c r="M78" i="68"/>
  <c r="M68" i="68"/>
  <c r="M35" i="68"/>
  <c r="M103" i="68"/>
  <c r="M58" i="68"/>
  <c r="M47" i="68"/>
  <c r="M92" i="68"/>
  <c r="M76" i="68"/>
  <c r="M66" i="68"/>
  <c r="M77" i="68"/>
  <c r="M55" i="68"/>
  <c r="M95" i="68"/>
  <c r="M75" i="68"/>
  <c r="M64" i="68"/>
  <c r="M93" i="68"/>
  <c r="M89" i="68"/>
  <c r="M73" i="68"/>
  <c r="M52" i="68"/>
  <c r="M96" i="68"/>
  <c r="M41" i="68"/>
  <c r="M59" i="68"/>
  <c r="M97" i="68"/>
  <c r="M70" i="68"/>
  <c r="M40" i="68"/>
  <c r="M37" i="68"/>
  <c r="M85" i="68"/>
  <c r="M48" i="68"/>
  <c r="M82" i="68"/>
  <c r="M79" i="68"/>
  <c r="M62" i="68"/>
  <c r="M43" i="68"/>
  <c r="M71" i="68"/>
  <c r="M99" i="68"/>
  <c r="M56" i="68"/>
  <c r="M63" i="68"/>
  <c r="M87" i="68"/>
  <c r="M61" i="68"/>
  <c r="M83" i="68"/>
  <c r="M74" i="68"/>
  <c r="M72" i="68"/>
  <c r="M88" i="68"/>
  <c r="M42" i="68"/>
  <c r="M100" i="68"/>
  <c r="M81" i="68"/>
  <c r="M98" i="68"/>
  <c r="M46" i="68"/>
  <c r="M84" i="68"/>
  <c r="M44" i="68"/>
  <c r="M102" i="68"/>
  <c r="M80" i="68"/>
  <c r="M45" i="68"/>
  <c r="M54" i="68"/>
  <c r="M101" i="68"/>
  <c r="D35" i="24"/>
  <c r="N33" i="24"/>
  <c r="D49" i="64"/>
  <c r="C35" i="64"/>
  <c r="C49" i="64"/>
  <c r="M33" i="64"/>
  <c r="O33" i="85"/>
  <c r="E35" i="85"/>
  <c r="C69" i="39"/>
  <c r="C73" i="39"/>
  <c r="C92" i="39"/>
  <c r="C65" i="39"/>
  <c r="C93" i="39"/>
  <c r="M33" i="39"/>
  <c r="C94" i="39"/>
  <c r="C35" i="39"/>
  <c r="M96" i="14"/>
  <c r="M67" i="14"/>
  <c r="M59" i="14"/>
  <c r="M42" i="14"/>
  <c r="M103" i="14"/>
  <c r="M83" i="14"/>
  <c r="M80" i="14"/>
  <c r="M57" i="14"/>
  <c r="M101" i="14"/>
  <c r="M90" i="14"/>
  <c r="M68" i="14"/>
  <c r="M60" i="14"/>
  <c r="M51" i="14"/>
  <c r="M34" i="14"/>
  <c r="M78" i="14"/>
  <c r="M71" i="14"/>
  <c r="M39" i="14"/>
  <c r="M99" i="14"/>
  <c r="M45" i="14"/>
  <c r="M77" i="14"/>
  <c r="M100" i="14"/>
  <c r="M87" i="14"/>
  <c r="M75" i="14"/>
  <c r="M94" i="14"/>
  <c r="M56" i="14"/>
  <c r="M35" i="14"/>
  <c r="M54" i="14"/>
  <c r="M43" i="14"/>
  <c r="M92" i="14"/>
  <c r="M76" i="14"/>
  <c r="M41" i="14"/>
  <c r="M40" i="14"/>
  <c r="M95" i="14"/>
  <c r="M55" i="14"/>
  <c r="M44" i="14"/>
  <c r="M48" i="14"/>
  <c r="M88" i="14"/>
  <c r="M72" i="14"/>
  <c r="M61" i="14"/>
  <c r="M86" i="14"/>
  <c r="M46" i="14"/>
  <c r="M81" i="14"/>
  <c r="M38" i="14"/>
  <c r="M89" i="14"/>
  <c r="M73" i="14"/>
  <c r="M62" i="14"/>
  <c r="M98" i="14"/>
  <c r="M93" i="14"/>
  <c r="M66" i="14"/>
  <c r="M91" i="14"/>
  <c r="M53" i="14"/>
  <c r="M102" i="14"/>
  <c r="M52" i="14"/>
  <c r="M49" i="14"/>
  <c r="M47" i="14"/>
  <c r="M84" i="14"/>
  <c r="M36" i="14"/>
  <c r="M82" i="14"/>
  <c r="M58" i="14"/>
  <c r="M97" i="14"/>
  <c r="M85" i="14"/>
  <c r="M63" i="14"/>
  <c r="M74" i="14"/>
  <c r="M37" i="14"/>
  <c r="M70" i="14"/>
  <c r="M79" i="14"/>
  <c r="M50" i="14"/>
  <c r="M64" i="14"/>
  <c r="M92" i="45"/>
  <c r="M68" i="45"/>
  <c r="M44" i="45"/>
  <c r="M101" i="45"/>
  <c r="M78" i="45"/>
  <c r="M60" i="45"/>
  <c r="M53" i="45"/>
  <c r="M88" i="45"/>
  <c r="M91" i="45"/>
  <c r="M57" i="45"/>
  <c r="M48" i="45"/>
  <c r="M37" i="45"/>
  <c r="M87" i="45"/>
  <c r="M73" i="45"/>
  <c r="M55" i="45"/>
  <c r="M103" i="45"/>
  <c r="M76" i="45"/>
  <c r="M74" i="45"/>
  <c r="M41" i="45"/>
  <c r="M86" i="45"/>
  <c r="M61" i="45"/>
  <c r="M50" i="45"/>
  <c r="M97" i="45"/>
  <c r="M46" i="45"/>
  <c r="M95" i="45"/>
  <c r="M75" i="45"/>
  <c r="M52" i="45"/>
  <c r="M102" i="45"/>
  <c r="M85" i="45"/>
  <c r="M43" i="45"/>
  <c r="M99" i="45"/>
  <c r="M77" i="45"/>
  <c r="M51" i="45"/>
  <c r="M35" i="45"/>
  <c r="M49" i="45"/>
  <c r="M71" i="45"/>
  <c r="M62" i="45"/>
  <c r="M47" i="45"/>
  <c r="M90" i="45"/>
  <c r="M83" i="45"/>
  <c r="M80" i="45"/>
  <c r="M63" i="45"/>
  <c r="M72" i="45"/>
  <c r="M59" i="45"/>
  <c r="M39" i="45"/>
  <c r="M84" i="45"/>
  <c r="M81" i="45"/>
  <c r="M64" i="45"/>
  <c r="M45" i="45"/>
  <c r="M79" i="45"/>
  <c r="M70" i="45"/>
  <c r="M56" i="45"/>
  <c r="M82" i="45"/>
  <c r="M54" i="45"/>
  <c r="M93" i="45"/>
  <c r="M100" i="45"/>
  <c r="M67" i="45"/>
  <c r="M40" i="45"/>
  <c r="M89" i="45"/>
  <c r="M34" i="45"/>
  <c r="M94" i="45"/>
  <c r="M42" i="45"/>
  <c r="M98" i="45"/>
  <c r="M66" i="45"/>
  <c r="M96" i="45"/>
  <c r="M58" i="45"/>
  <c r="M36" i="45"/>
  <c r="M38" i="45"/>
  <c r="M33" i="61"/>
  <c r="C35" i="61"/>
  <c r="M88" i="33"/>
  <c r="M78" i="33"/>
  <c r="M61" i="33"/>
  <c r="M43" i="33"/>
  <c r="M97" i="33"/>
  <c r="M34" i="33"/>
  <c r="M86" i="33"/>
  <c r="M76" i="33"/>
  <c r="M59" i="33"/>
  <c r="M95" i="33"/>
  <c r="M68" i="33"/>
  <c r="M50" i="33"/>
  <c r="M84" i="33"/>
  <c r="M74" i="33"/>
  <c r="M93" i="33"/>
  <c r="M57" i="33"/>
  <c r="M48" i="33"/>
  <c r="M102" i="33"/>
  <c r="M82" i="33"/>
  <c r="M72" i="33"/>
  <c r="M66" i="33"/>
  <c r="M64" i="33"/>
  <c r="M91" i="33"/>
  <c r="M81" i="33"/>
  <c r="M46" i="33"/>
  <c r="M38" i="33"/>
  <c r="M98" i="33"/>
  <c r="M53" i="33"/>
  <c r="M87" i="33"/>
  <c r="M44" i="33"/>
  <c r="M85" i="33"/>
  <c r="M83" i="33"/>
  <c r="M96" i="33"/>
  <c r="M52" i="33"/>
  <c r="M92" i="33"/>
  <c r="M62" i="33"/>
  <c r="M49" i="33"/>
  <c r="M40" i="33"/>
  <c r="M37" i="33"/>
  <c r="M94" i="33"/>
  <c r="M90" i="33"/>
  <c r="M56" i="33"/>
  <c r="M35" i="33"/>
  <c r="M54" i="33"/>
  <c r="M39" i="33"/>
  <c r="M79" i="33"/>
  <c r="M77" i="33"/>
  <c r="M67" i="33"/>
  <c r="M73" i="33"/>
  <c r="M71" i="33"/>
  <c r="M103" i="33"/>
  <c r="M55" i="33"/>
  <c r="M101" i="33"/>
  <c r="M51" i="33"/>
  <c r="M41" i="33"/>
  <c r="M47" i="33"/>
  <c r="M42" i="33"/>
  <c r="M58" i="33"/>
  <c r="M36" i="33"/>
  <c r="M75" i="33"/>
  <c r="M70" i="33"/>
  <c r="M45" i="33"/>
  <c r="M89" i="33"/>
  <c r="M80" i="33"/>
  <c r="M60" i="33"/>
  <c r="M99" i="33"/>
  <c r="M100" i="33"/>
  <c r="M63" i="33"/>
  <c r="M33" i="81"/>
  <c r="C35" i="81"/>
  <c r="M89" i="96"/>
  <c r="M41" i="96"/>
  <c r="M98" i="96"/>
  <c r="M75" i="96"/>
  <c r="M50" i="96"/>
  <c r="M40" i="96"/>
  <c r="M94" i="96"/>
  <c r="M71" i="96"/>
  <c r="M55" i="96"/>
  <c r="M46" i="96"/>
  <c r="M84" i="96"/>
  <c r="M81" i="96"/>
  <c r="M61" i="96"/>
  <c r="M95" i="96"/>
  <c r="M36" i="96"/>
  <c r="M93" i="96"/>
  <c r="M77" i="96"/>
  <c r="M57" i="96"/>
  <c r="M34" i="96"/>
  <c r="M102" i="96"/>
  <c r="M47" i="96"/>
  <c r="M100" i="96"/>
  <c r="M85" i="96"/>
  <c r="M80" i="96"/>
  <c r="M58" i="96"/>
  <c r="M83" i="96"/>
  <c r="M66" i="96"/>
  <c r="M45" i="96"/>
  <c r="M78" i="96"/>
  <c r="M96" i="96"/>
  <c r="M76" i="96"/>
  <c r="M56" i="96"/>
  <c r="M43" i="96"/>
  <c r="M92" i="96"/>
  <c r="M74" i="96"/>
  <c r="M54" i="96"/>
  <c r="M42" i="96"/>
  <c r="M67" i="96"/>
  <c r="M48" i="96"/>
  <c r="M99" i="96"/>
  <c r="M79" i="96"/>
  <c r="M91" i="96"/>
  <c r="M87" i="96"/>
  <c r="M44" i="96"/>
  <c r="M59" i="96"/>
  <c r="M38" i="96"/>
  <c r="M88" i="96"/>
  <c r="M73" i="96"/>
  <c r="M62" i="96"/>
  <c r="M37" i="96"/>
  <c r="M82" i="96"/>
  <c r="M70" i="96"/>
  <c r="M51" i="96"/>
  <c r="M64" i="96"/>
  <c r="M49" i="96"/>
  <c r="M60" i="96"/>
  <c r="M63" i="96"/>
  <c r="M90" i="96"/>
  <c r="M68" i="96"/>
  <c r="M39" i="96"/>
  <c r="M103" i="96"/>
  <c r="M97" i="96"/>
  <c r="M72" i="96"/>
  <c r="M101" i="96"/>
  <c r="M35" i="96"/>
  <c r="M86" i="96"/>
  <c r="M53" i="96"/>
  <c r="M52" i="96"/>
  <c r="D35" i="64"/>
  <c r="N33" i="64"/>
  <c r="M95" i="73"/>
  <c r="M72" i="73"/>
  <c r="M57" i="73"/>
  <c r="M84" i="73"/>
  <c r="M81" i="73"/>
  <c r="M64" i="73"/>
  <c r="M48" i="73"/>
  <c r="M91" i="73"/>
  <c r="M62" i="73"/>
  <c r="M93" i="73"/>
  <c r="M77" i="73"/>
  <c r="M58" i="73"/>
  <c r="M39" i="73"/>
  <c r="M89" i="73"/>
  <c r="M56" i="73"/>
  <c r="M34" i="73"/>
  <c r="M103" i="73"/>
  <c r="M90" i="73"/>
  <c r="M86" i="73"/>
  <c r="M51" i="73"/>
  <c r="M97" i="73"/>
  <c r="M82" i="73"/>
  <c r="M47" i="73"/>
  <c r="M73" i="73"/>
  <c r="M41" i="73"/>
  <c r="M102" i="73"/>
  <c r="M85" i="73"/>
  <c r="M59" i="73"/>
  <c r="M46" i="73"/>
  <c r="M101" i="73"/>
  <c r="M54" i="73"/>
  <c r="M40" i="73"/>
  <c r="M99" i="73"/>
  <c r="M37" i="73"/>
  <c r="M71" i="73"/>
  <c r="M67" i="73"/>
  <c r="M36" i="73"/>
  <c r="M70" i="73"/>
  <c r="M63" i="73"/>
  <c r="M50" i="73"/>
  <c r="M75" i="73"/>
  <c r="M61" i="73"/>
  <c r="M44" i="73"/>
  <c r="M96" i="73"/>
  <c r="M94" i="73"/>
  <c r="M92" i="73"/>
  <c r="M88" i="73"/>
  <c r="M55" i="73"/>
  <c r="M53" i="73"/>
  <c r="M52" i="73"/>
  <c r="M35" i="73"/>
  <c r="M80" i="73"/>
  <c r="M42" i="73"/>
  <c r="M76" i="73"/>
  <c r="M66" i="73"/>
  <c r="M60" i="73"/>
  <c r="M74" i="73"/>
  <c r="M38" i="73"/>
  <c r="M43" i="73"/>
  <c r="M87" i="73"/>
  <c r="M78" i="73"/>
  <c r="M83" i="73"/>
  <c r="M98" i="73"/>
  <c r="M49" i="73"/>
  <c r="M68" i="73"/>
  <c r="M79" i="73"/>
  <c r="M45" i="73"/>
  <c r="M100" i="73"/>
  <c r="O33" i="62"/>
  <c r="E35" i="62"/>
  <c r="E49" i="62"/>
  <c r="D35" i="89"/>
  <c r="N33" i="89"/>
  <c r="N33" i="18"/>
  <c r="D35" i="18"/>
  <c r="M90" i="10"/>
  <c r="M60" i="10"/>
  <c r="M53" i="10"/>
  <c r="M99" i="10"/>
  <c r="M76" i="10"/>
  <c r="M52" i="10"/>
  <c r="M34" i="10"/>
  <c r="M97" i="10"/>
  <c r="M74" i="10"/>
  <c r="M86" i="10"/>
  <c r="M49" i="10"/>
  <c r="M39" i="10"/>
  <c r="M64" i="10"/>
  <c r="M44" i="10"/>
  <c r="M100" i="10"/>
  <c r="M87" i="10"/>
  <c r="M71" i="10"/>
  <c r="M55" i="10"/>
  <c r="M98" i="10"/>
  <c r="M85" i="10"/>
  <c r="M70" i="10"/>
  <c r="M96" i="10"/>
  <c r="M62" i="10"/>
  <c r="M101" i="10"/>
  <c r="M88" i="10"/>
  <c r="M72" i="10"/>
  <c r="M56" i="10"/>
  <c r="M54" i="10"/>
  <c r="M41" i="10"/>
  <c r="M102" i="10"/>
  <c r="M78" i="10"/>
  <c r="M40" i="10"/>
  <c r="M94" i="10"/>
  <c r="M63" i="10"/>
  <c r="M50" i="10"/>
  <c r="M37" i="10"/>
  <c r="M103" i="10"/>
  <c r="M82" i="10"/>
  <c r="M79" i="10"/>
  <c r="M95" i="10"/>
  <c r="M77" i="10"/>
  <c r="M51" i="10"/>
  <c r="M38" i="10"/>
  <c r="M81" i="10"/>
  <c r="M47" i="10"/>
  <c r="M84" i="10"/>
  <c r="M75" i="10"/>
  <c r="M45" i="10"/>
  <c r="M73" i="10"/>
  <c r="M43" i="10"/>
  <c r="M89" i="10"/>
  <c r="M92" i="10"/>
  <c r="M58" i="10"/>
  <c r="M68" i="10"/>
  <c r="M66" i="10"/>
  <c r="M91" i="10"/>
  <c r="M35" i="10"/>
  <c r="M83" i="10"/>
  <c r="M80" i="10"/>
  <c r="M57" i="10"/>
  <c r="M93" i="10"/>
  <c r="M67" i="10"/>
  <c r="M61" i="10"/>
  <c r="M59" i="10"/>
  <c r="M42" i="10"/>
  <c r="M46" i="10"/>
  <c r="M48" i="10"/>
  <c r="M36" i="10"/>
  <c r="M99" i="79"/>
  <c r="M76" i="79"/>
  <c r="M38" i="79"/>
  <c r="M88" i="79"/>
  <c r="M56" i="79"/>
  <c r="M47" i="79"/>
  <c r="M84" i="79"/>
  <c r="M81" i="79"/>
  <c r="M43" i="79"/>
  <c r="M70" i="79"/>
  <c r="M51" i="79"/>
  <c r="M39" i="79"/>
  <c r="M96" i="79"/>
  <c r="M85" i="79"/>
  <c r="M80" i="79"/>
  <c r="M67" i="79"/>
  <c r="M58" i="79"/>
  <c r="M94" i="79"/>
  <c r="M78" i="79"/>
  <c r="M74" i="79"/>
  <c r="M61" i="79"/>
  <c r="M37" i="79"/>
  <c r="M50" i="79"/>
  <c r="M36" i="79"/>
  <c r="M92" i="79"/>
  <c r="M72" i="79"/>
  <c r="M59" i="79"/>
  <c r="M103" i="79"/>
  <c r="M90" i="79"/>
  <c r="M66" i="79"/>
  <c r="M57" i="79"/>
  <c r="M46" i="79"/>
  <c r="M34" i="79"/>
  <c r="M95" i="79"/>
  <c r="M52" i="79"/>
  <c r="M64" i="79"/>
  <c r="M53" i="79"/>
  <c r="M49" i="79"/>
  <c r="M62" i="79"/>
  <c r="M45" i="79"/>
  <c r="M86" i="79"/>
  <c r="M79" i="79"/>
  <c r="M60" i="79"/>
  <c r="M77" i="79"/>
  <c r="M42" i="79"/>
  <c r="M93" i="79"/>
  <c r="M91" i="79"/>
  <c r="M73" i="79"/>
  <c r="M48" i="79"/>
  <c r="M35" i="79"/>
  <c r="M101" i="79"/>
  <c r="M55" i="79"/>
  <c r="M97" i="79"/>
  <c r="M89" i="79"/>
  <c r="M87" i="79"/>
  <c r="M41" i="79"/>
  <c r="M83" i="79"/>
  <c r="M68" i="79"/>
  <c r="M40" i="79"/>
  <c r="M44" i="79"/>
  <c r="M98" i="79"/>
  <c r="M71" i="79"/>
  <c r="M82" i="79"/>
  <c r="M63" i="79"/>
  <c r="M102" i="79"/>
  <c r="M100" i="79"/>
  <c r="M54" i="79"/>
  <c r="M75" i="79"/>
  <c r="M90" i="83"/>
  <c r="M60" i="83"/>
  <c r="M53" i="83"/>
  <c r="M34" i="83"/>
  <c r="M99" i="83"/>
  <c r="M76" i="83"/>
  <c r="M52" i="83"/>
  <c r="M95" i="83"/>
  <c r="M72" i="83"/>
  <c r="M86" i="83"/>
  <c r="M97" i="83"/>
  <c r="M63" i="83"/>
  <c r="M54" i="83"/>
  <c r="M43" i="83"/>
  <c r="M61" i="83"/>
  <c r="M41" i="83"/>
  <c r="M94" i="83"/>
  <c r="M47" i="83"/>
  <c r="M35" i="83"/>
  <c r="M78" i="83"/>
  <c r="M92" i="83"/>
  <c r="M103" i="83"/>
  <c r="M74" i="83"/>
  <c r="M42" i="83"/>
  <c r="M82" i="83"/>
  <c r="M79" i="83"/>
  <c r="M80" i="83"/>
  <c r="M66" i="83"/>
  <c r="M100" i="83"/>
  <c r="M83" i="83"/>
  <c r="M56" i="83"/>
  <c r="M40" i="83"/>
  <c r="M98" i="83"/>
  <c r="M96" i="83"/>
  <c r="M37" i="83"/>
  <c r="M36" i="83"/>
  <c r="M50" i="83"/>
  <c r="M101" i="83"/>
  <c r="M84" i="83"/>
  <c r="M44" i="83"/>
  <c r="M77" i="83"/>
  <c r="M48" i="83"/>
  <c r="M102" i="83"/>
  <c r="M39" i="83"/>
  <c r="M38" i="83"/>
  <c r="M67" i="83"/>
  <c r="M55" i="83"/>
  <c r="M51" i="83"/>
  <c r="M75" i="83"/>
  <c r="M71" i="83"/>
  <c r="M70" i="83"/>
  <c r="M58" i="83"/>
  <c r="M46" i="83"/>
  <c r="M93" i="83"/>
  <c r="M91" i="83"/>
  <c r="M89" i="83"/>
  <c r="M59" i="83"/>
  <c r="M87" i="83"/>
  <c r="M57" i="83"/>
  <c r="M88" i="83"/>
  <c r="M73" i="83"/>
  <c r="M68" i="83"/>
  <c r="M64" i="83"/>
  <c r="M81" i="83"/>
  <c r="M85" i="83"/>
  <c r="M62" i="83"/>
  <c r="M45" i="83"/>
  <c r="M49" i="83"/>
  <c r="M100" i="59"/>
  <c r="M77" i="59"/>
  <c r="M63" i="59"/>
  <c r="M49" i="59"/>
  <c r="M38" i="59"/>
  <c r="M89" i="59"/>
  <c r="M56" i="59"/>
  <c r="M85" i="59"/>
  <c r="M35" i="59"/>
  <c r="M82" i="59"/>
  <c r="M79" i="59"/>
  <c r="M40" i="59"/>
  <c r="M95" i="59"/>
  <c r="M67" i="59"/>
  <c r="M59" i="59"/>
  <c r="M43" i="59"/>
  <c r="M75" i="59"/>
  <c r="M57" i="59"/>
  <c r="M86" i="59"/>
  <c r="M81" i="59"/>
  <c r="M84" i="59"/>
  <c r="M55" i="59"/>
  <c r="M48" i="59"/>
  <c r="M103" i="59"/>
  <c r="M64" i="59"/>
  <c r="M46" i="59"/>
  <c r="M66" i="59"/>
  <c r="M42" i="59"/>
  <c r="M102" i="59"/>
  <c r="M53" i="59"/>
  <c r="M41" i="59"/>
  <c r="M37" i="59"/>
  <c r="M98" i="59"/>
  <c r="M52" i="59"/>
  <c r="M36" i="59"/>
  <c r="M96" i="59"/>
  <c r="M92" i="59"/>
  <c r="M62" i="59"/>
  <c r="M73" i="59"/>
  <c r="M54" i="59"/>
  <c r="M94" i="59"/>
  <c r="M50" i="59"/>
  <c r="M71" i="59"/>
  <c r="M44" i="59"/>
  <c r="M90" i="59"/>
  <c r="M88" i="59"/>
  <c r="M70" i="59"/>
  <c r="M68" i="59"/>
  <c r="M76" i="59"/>
  <c r="M74" i="59"/>
  <c r="M51" i="59"/>
  <c r="M83" i="59"/>
  <c r="M47" i="59"/>
  <c r="M87" i="59"/>
  <c r="M61" i="59"/>
  <c r="M101" i="59"/>
  <c r="M99" i="59"/>
  <c r="M97" i="59"/>
  <c r="M60" i="59"/>
  <c r="M72" i="59"/>
  <c r="M34" i="59"/>
  <c r="M58" i="59"/>
  <c r="M45" i="59"/>
  <c r="M93" i="59"/>
  <c r="M91" i="59"/>
  <c r="M39" i="59"/>
  <c r="M80" i="59"/>
  <c r="M78" i="59"/>
  <c r="M33" i="29"/>
  <c r="C35" i="29"/>
  <c r="N33" i="62"/>
  <c r="D35" i="62"/>
  <c r="N103" i="31"/>
  <c r="N83" i="31"/>
  <c r="N80" i="31"/>
  <c r="N70" i="31"/>
  <c r="N55" i="31"/>
  <c r="N37" i="31"/>
  <c r="N99" i="31"/>
  <c r="N76" i="31"/>
  <c r="N53" i="31"/>
  <c r="N94" i="31"/>
  <c r="N74" i="31"/>
  <c r="N63" i="31"/>
  <c r="N54" i="31"/>
  <c r="N43" i="31"/>
  <c r="N89" i="31"/>
  <c r="N71" i="31"/>
  <c r="N58" i="31"/>
  <c r="N49" i="31"/>
  <c r="N35" i="31"/>
  <c r="N67" i="31"/>
  <c r="N47" i="31"/>
  <c r="N102" i="31"/>
  <c r="N87" i="31"/>
  <c r="N45" i="31"/>
  <c r="N42" i="31"/>
  <c r="N41" i="31"/>
  <c r="N66" i="31"/>
  <c r="N100" i="31"/>
  <c r="N72" i="31"/>
  <c r="N98" i="31"/>
  <c r="N64" i="31"/>
  <c r="N40" i="31"/>
  <c r="N101" i="31"/>
  <c r="N73" i="31"/>
  <c r="N91" i="31"/>
  <c r="N85" i="31"/>
  <c r="N50" i="31"/>
  <c r="N48" i="31"/>
  <c r="N44" i="31"/>
  <c r="N56" i="31"/>
  <c r="N36" i="31"/>
  <c r="N68" i="31"/>
  <c r="N38" i="31"/>
  <c r="N62" i="31"/>
  <c r="N60" i="31"/>
  <c r="N97" i="31"/>
  <c r="N34" i="31"/>
  <c r="N96" i="31"/>
  <c r="N92" i="31"/>
  <c r="N82" i="31"/>
  <c r="N77" i="31"/>
  <c r="N88" i="31"/>
  <c r="N86" i="31"/>
  <c r="N84" i="31"/>
  <c r="N90" i="31"/>
  <c r="N61" i="31"/>
  <c r="N57" i="31"/>
  <c r="N52" i="31"/>
  <c r="N93" i="31"/>
  <c r="N95" i="31"/>
  <c r="N46" i="31"/>
  <c r="N81" i="31"/>
  <c r="N79" i="31"/>
  <c r="N75" i="31"/>
  <c r="N39" i="31"/>
  <c r="N59" i="31"/>
  <c r="N51" i="31"/>
  <c r="N78" i="31"/>
  <c r="M33" i="18"/>
  <c r="C35" i="18"/>
  <c r="N95" i="15"/>
  <c r="N76" i="15"/>
  <c r="N62" i="15"/>
  <c r="N46" i="15"/>
  <c r="N36" i="15"/>
  <c r="N102" i="15"/>
  <c r="N82" i="15"/>
  <c r="N53" i="15"/>
  <c r="N91" i="15"/>
  <c r="N79" i="15"/>
  <c r="N72" i="15"/>
  <c r="N58" i="15"/>
  <c r="N52" i="15"/>
  <c r="N99" i="15"/>
  <c r="N86" i="15"/>
  <c r="N40" i="15"/>
  <c r="N84" i="15"/>
  <c r="N61" i="15"/>
  <c r="N37" i="15"/>
  <c r="N59" i="15"/>
  <c r="N48" i="15"/>
  <c r="N85" i="15"/>
  <c r="N80" i="15"/>
  <c r="N70" i="15"/>
  <c r="N74" i="15"/>
  <c r="N39" i="15"/>
  <c r="N98" i="15"/>
  <c r="N63" i="15"/>
  <c r="N57" i="15"/>
  <c r="N38" i="15"/>
  <c r="N100" i="15"/>
  <c r="N96" i="15"/>
  <c r="N94" i="15"/>
  <c r="N35" i="15"/>
  <c r="N92" i="15"/>
  <c r="N81" i="15"/>
  <c r="N73" i="15"/>
  <c r="N60" i="15"/>
  <c r="N42" i="15"/>
  <c r="N83" i="15"/>
  <c r="N66" i="15"/>
  <c r="N50" i="15"/>
  <c r="N78" i="15"/>
  <c r="N45" i="15"/>
  <c r="N43" i="15"/>
  <c r="N41" i="15"/>
  <c r="N93" i="15"/>
  <c r="N68" i="15"/>
  <c r="N87" i="15"/>
  <c r="N71" i="15"/>
  <c r="N34" i="15"/>
  <c r="N97" i="15"/>
  <c r="N77" i="15"/>
  <c r="N75" i="15"/>
  <c r="N64" i="15"/>
  <c r="N55" i="15"/>
  <c r="N51" i="15"/>
  <c r="N49" i="15"/>
  <c r="N47" i="15"/>
  <c r="N44" i="15"/>
  <c r="N56" i="15"/>
  <c r="N54" i="15"/>
  <c r="N103" i="15"/>
  <c r="N101" i="15"/>
  <c r="N67" i="15"/>
  <c r="N88" i="15"/>
  <c r="N90" i="15"/>
  <c r="N89" i="15"/>
  <c r="M99" i="32"/>
  <c r="M76" i="32"/>
  <c r="M51" i="32"/>
  <c r="M88" i="32"/>
  <c r="M34" i="32"/>
  <c r="M97" i="32"/>
  <c r="M86" i="32"/>
  <c r="M38" i="32"/>
  <c r="M95" i="32"/>
  <c r="M72" i="32"/>
  <c r="M63" i="32"/>
  <c r="M47" i="32"/>
  <c r="M84" i="32"/>
  <c r="M81" i="32"/>
  <c r="M68" i="32"/>
  <c r="M56" i="32"/>
  <c r="M93" i="32"/>
  <c r="M61" i="32"/>
  <c r="M45" i="32"/>
  <c r="M102" i="32"/>
  <c r="M82" i="32"/>
  <c r="M79" i="32"/>
  <c r="M54" i="32"/>
  <c r="M89" i="32"/>
  <c r="M41" i="32"/>
  <c r="M80" i="32"/>
  <c r="M78" i="32"/>
  <c r="M35" i="32"/>
  <c r="M103" i="32"/>
  <c r="M101" i="32"/>
  <c r="M74" i="32"/>
  <c r="M57" i="32"/>
  <c r="M91" i="32"/>
  <c r="M85" i="32"/>
  <c r="M83" i="32"/>
  <c r="M66" i="32"/>
  <c r="M52" i="32"/>
  <c r="M49" i="32"/>
  <c r="M64" i="32"/>
  <c r="M43" i="32"/>
  <c r="M62" i="32"/>
  <c r="M60" i="32"/>
  <c r="M37" i="32"/>
  <c r="M87" i="32"/>
  <c r="M75" i="32"/>
  <c r="M73" i="32"/>
  <c r="M71" i="32"/>
  <c r="M42" i="32"/>
  <c r="M40" i="32"/>
  <c r="M36" i="32"/>
  <c r="M77" i="32"/>
  <c r="M70" i="32"/>
  <c r="M67" i="32"/>
  <c r="M59" i="32"/>
  <c r="M53" i="32"/>
  <c r="M100" i="32"/>
  <c r="M39" i="32"/>
  <c r="M50" i="32"/>
  <c r="M48" i="32"/>
  <c r="M46" i="32"/>
  <c r="M44" i="32"/>
  <c r="M55" i="32"/>
  <c r="M98" i="32"/>
  <c r="M96" i="32"/>
  <c r="M94" i="32"/>
  <c r="M92" i="32"/>
  <c r="M90" i="32"/>
  <c r="M58" i="32"/>
  <c r="N33" i="29"/>
  <c r="D35" i="29"/>
  <c r="M33" i="26"/>
  <c r="C35" i="26"/>
  <c r="M102" i="92"/>
  <c r="M82" i="92"/>
  <c r="M79" i="92"/>
  <c r="M54" i="92"/>
  <c r="M45" i="92"/>
  <c r="M91" i="92"/>
  <c r="M61" i="92"/>
  <c r="M35" i="92"/>
  <c r="M98" i="92"/>
  <c r="M75" i="92"/>
  <c r="M41" i="92"/>
  <c r="M88" i="92"/>
  <c r="M72" i="92"/>
  <c r="M56" i="92"/>
  <c r="M81" i="92"/>
  <c r="M42" i="92"/>
  <c r="M101" i="92"/>
  <c r="M63" i="92"/>
  <c r="M40" i="92"/>
  <c r="M97" i="92"/>
  <c r="M59" i="92"/>
  <c r="M50" i="92"/>
  <c r="M37" i="92"/>
  <c r="M57" i="92"/>
  <c r="M34" i="92"/>
  <c r="M83" i="92"/>
  <c r="M66" i="92"/>
  <c r="M43" i="92"/>
  <c r="M94" i="92"/>
  <c r="M74" i="92"/>
  <c r="M92" i="92"/>
  <c r="M90" i="92"/>
  <c r="M48" i="92"/>
  <c r="M89" i="92"/>
  <c r="M68" i="92"/>
  <c r="M80" i="92"/>
  <c r="M99" i="92"/>
  <c r="M70" i="92"/>
  <c r="M58" i="92"/>
  <c r="M95" i="92"/>
  <c r="M93" i="92"/>
  <c r="M46" i="92"/>
  <c r="M100" i="92"/>
  <c r="M67" i="92"/>
  <c r="M96" i="92"/>
  <c r="M53" i="92"/>
  <c r="M52" i="92"/>
  <c r="M86" i="92"/>
  <c r="M64" i="92"/>
  <c r="M51" i="92"/>
  <c r="M44" i="92"/>
  <c r="M39" i="92"/>
  <c r="M85" i="92"/>
  <c r="M76" i="92"/>
  <c r="M36" i="92"/>
  <c r="M60" i="92"/>
  <c r="M77" i="92"/>
  <c r="M84" i="92"/>
  <c r="M73" i="92"/>
  <c r="M87" i="92"/>
  <c r="M49" i="92"/>
  <c r="M62" i="92"/>
  <c r="M71" i="92"/>
  <c r="M38" i="92"/>
  <c r="M78" i="92"/>
  <c r="M47" i="92"/>
  <c r="M103" i="92"/>
  <c r="M55" i="92"/>
  <c r="D35" i="22"/>
  <c r="N33" i="22"/>
  <c r="N101" i="41"/>
  <c r="N78" i="41"/>
  <c r="N60" i="41"/>
  <c r="N46" i="41"/>
  <c r="N36" i="41"/>
  <c r="N88" i="41"/>
  <c r="N53" i="41"/>
  <c r="N91" i="41"/>
  <c r="N75" i="41"/>
  <c r="N57" i="41"/>
  <c r="N37" i="41"/>
  <c r="N100" i="41"/>
  <c r="N87" i="41"/>
  <c r="N96" i="41"/>
  <c r="N86" i="41"/>
  <c r="N99" i="41"/>
  <c r="N73" i="41"/>
  <c r="N82" i="41"/>
  <c r="N79" i="41"/>
  <c r="N39" i="41"/>
  <c r="N70" i="41"/>
  <c r="N58" i="41"/>
  <c r="N47" i="41"/>
  <c r="N94" i="41"/>
  <c r="N84" i="41"/>
  <c r="N62" i="41"/>
  <c r="N49" i="41"/>
  <c r="N45" i="41"/>
  <c r="N42" i="41"/>
  <c r="N67" i="41"/>
  <c r="N54" i="41"/>
  <c r="N102" i="41"/>
  <c r="N92" i="41"/>
  <c r="N90" i="41"/>
  <c r="N44" i="41"/>
  <c r="N48" i="41"/>
  <c r="N97" i="41"/>
  <c r="N85" i="41"/>
  <c r="N83" i="41"/>
  <c r="N55" i="41"/>
  <c r="N80" i="41"/>
  <c r="N68" i="41"/>
  <c r="N52" i="41"/>
  <c r="N98" i="41"/>
  <c r="N76" i="41"/>
  <c r="N74" i="41"/>
  <c r="N72" i="41"/>
  <c r="N51" i="41"/>
  <c r="N34" i="41"/>
  <c r="N66" i="41"/>
  <c r="N35" i="41"/>
  <c r="N103" i="41"/>
  <c r="N81" i="41"/>
  <c r="N38" i="41"/>
  <c r="N77" i="41"/>
  <c r="N89" i="41"/>
  <c r="N71" i="41"/>
  <c r="N63" i="41"/>
  <c r="N61" i="41"/>
  <c r="N59" i="41"/>
  <c r="N95" i="41"/>
  <c r="N93" i="41"/>
  <c r="N43" i="41"/>
  <c r="N41" i="41"/>
  <c r="N40" i="41"/>
  <c r="N50" i="41"/>
  <c r="N64" i="41"/>
  <c r="N56" i="41"/>
  <c r="M94" i="31"/>
  <c r="M71" i="31"/>
  <c r="M62" i="31"/>
  <c r="M48" i="31"/>
  <c r="M90" i="31"/>
  <c r="M58" i="31"/>
  <c r="M44" i="31"/>
  <c r="M78" i="31"/>
  <c r="M47" i="31"/>
  <c r="M92" i="31"/>
  <c r="M56" i="31"/>
  <c r="M45" i="31"/>
  <c r="M35" i="31"/>
  <c r="M91" i="31"/>
  <c r="M70" i="31"/>
  <c r="M89" i="31"/>
  <c r="M49" i="31"/>
  <c r="M67" i="31"/>
  <c r="M43" i="31"/>
  <c r="M102" i="31"/>
  <c r="M87" i="31"/>
  <c r="M42" i="31"/>
  <c r="M74" i="31"/>
  <c r="M57" i="31"/>
  <c r="M66" i="31"/>
  <c r="M100" i="31"/>
  <c r="M72" i="31"/>
  <c r="M55" i="31"/>
  <c r="M98" i="31"/>
  <c r="M64" i="31"/>
  <c r="M41" i="31"/>
  <c r="M75" i="31"/>
  <c r="M95" i="31"/>
  <c r="M93" i="31"/>
  <c r="M61" i="31"/>
  <c r="M46" i="31"/>
  <c r="M38" i="31"/>
  <c r="M103" i="31"/>
  <c r="M54" i="31"/>
  <c r="M50" i="31"/>
  <c r="M40" i="31"/>
  <c r="M37" i="31"/>
  <c r="M39" i="31"/>
  <c r="M68" i="31"/>
  <c r="M85" i="31"/>
  <c r="M80" i="31"/>
  <c r="M60" i="31"/>
  <c r="M84" i="31"/>
  <c r="M79" i="31"/>
  <c r="M73" i="31"/>
  <c r="M59" i="31"/>
  <c r="M82" i="31"/>
  <c r="M88" i="31"/>
  <c r="M86" i="31"/>
  <c r="M36" i="31"/>
  <c r="M34" i="31"/>
  <c r="M83" i="31"/>
  <c r="M63" i="31"/>
  <c r="M53" i="31"/>
  <c r="M101" i="31"/>
  <c r="M97" i="31"/>
  <c r="M99" i="31"/>
  <c r="M96" i="31"/>
  <c r="M51" i="31"/>
  <c r="M77" i="31"/>
  <c r="M52" i="31"/>
  <c r="M76" i="31"/>
  <c r="M81" i="31"/>
  <c r="D49" i="62"/>
  <c r="M33" i="62"/>
  <c r="C35" i="62"/>
  <c r="C49" i="62"/>
  <c r="M98" i="20"/>
  <c r="M63" i="20"/>
  <c r="M49" i="20"/>
  <c r="M39" i="20"/>
  <c r="M56" i="20"/>
  <c r="M47" i="20"/>
  <c r="M75" i="20"/>
  <c r="M67" i="20"/>
  <c r="M96" i="20"/>
  <c r="M85" i="20"/>
  <c r="M59" i="20"/>
  <c r="M43" i="20"/>
  <c r="M51" i="20"/>
  <c r="M92" i="20"/>
  <c r="M66" i="20"/>
  <c r="M90" i="20"/>
  <c r="M74" i="20"/>
  <c r="M103" i="20"/>
  <c r="M88" i="20"/>
  <c r="M72" i="20"/>
  <c r="M45" i="20"/>
  <c r="M42" i="20"/>
  <c r="M93" i="20"/>
  <c r="M36" i="20"/>
  <c r="M68" i="20"/>
  <c r="M34" i="20"/>
  <c r="M101" i="20"/>
  <c r="M99" i="20"/>
  <c r="M80" i="20"/>
  <c r="M102" i="20"/>
  <c r="M77" i="20"/>
  <c r="M50" i="20"/>
  <c r="M48" i="20"/>
  <c r="M38" i="20"/>
  <c r="M46" i="20"/>
  <c r="M44" i="20"/>
  <c r="M64" i="20"/>
  <c r="M52" i="20"/>
  <c r="M40" i="20"/>
  <c r="M86" i="20"/>
  <c r="M82" i="20"/>
  <c r="M73" i="20"/>
  <c r="M71" i="20"/>
  <c r="M54" i="20"/>
  <c r="M37" i="20"/>
  <c r="M94" i="20"/>
  <c r="M70" i="20"/>
  <c r="M100" i="20"/>
  <c r="M41" i="20"/>
  <c r="M95" i="20"/>
  <c r="M87" i="20"/>
  <c r="M76" i="20"/>
  <c r="M55" i="20"/>
  <c r="M97" i="20"/>
  <c r="M84" i="20"/>
  <c r="M57" i="20"/>
  <c r="M53" i="20"/>
  <c r="M78" i="20"/>
  <c r="M60" i="20"/>
  <c r="M58" i="20"/>
  <c r="M89" i="20"/>
  <c r="M62" i="20"/>
  <c r="M83" i="20"/>
  <c r="M35" i="20"/>
  <c r="M61" i="20"/>
  <c r="M81" i="20"/>
  <c r="M79" i="20"/>
  <c r="M91" i="20"/>
  <c r="O99" i="40"/>
  <c r="O76" i="40"/>
  <c r="O66" i="40"/>
  <c r="O62" i="40"/>
  <c r="O45" i="40"/>
  <c r="O42" i="40"/>
  <c r="O95" i="40"/>
  <c r="O72" i="40"/>
  <c r="O58" i="40"/>
  <c r="O102" i="40"/>
  <c r="O89" i="40"/>
  <c r="O71" i="40"/>
  <c r="O50" i="40"/>
  <c r="O36" i="40"/>
  <c r="O87" i="40"/>
  <c r="O52" i="40"/>
  <c r="O61" i="40"/>
  <c r="O34" i="40"/>
  <c r="O78" i="40"/>
  <c r="O59" i="40"/>
  <c r="O84" i="40"/>
  <c r="O81" i="40"/>
  <c r="O85" i="40"/>
  <c r="O51" i="40"/>
  <c r="O41" i="40"/>
  <c r="O97" i="40"/>
  <c r="O93" i="40"/>
  <c r="O91" i="40"/>
  <c r="O60" i="40"/>
  <c r="O47" i="40"/>
  <c r="O37" i="40"/>
  <c r="O43" i="40"/>
  <c r="O53" i="40"/>
  <c r="O96" i="40"/>
  <c r="O80" i="40"/>
  <c r="O74" i="40"/>
  <c r="O67" i="40"/>
  <c r="O35" i="40"/>
  <c r="O100" i="40"/>
  <c r="O98" i="40"/>
  <c r="O103" i="40"/>
  <c r="O88" i="40"/>
  <c r="O86" i="40"/>
  <c r="O101" i="40"/>
  <c r="O92" i="40"/>
  <c r="O73" i="40"/>
  <c r="O55" i="40"/>
  <c r="O68" i="40"/>
  <c r="O57" i="40"/>
  <c r="O83" i="40"/>
  <c r="O75" i="40"/>
  <c r="O64" i="40"/>
  <c r="O49" i="40"/>
  <c r="O77" i="40"/>
  <c r="O94" i="40"/>
  <c r="O82" i="40"/>
  <c r="O38" i="40"/>
  <c r="O70" i="40"/>
  <c r="O63" i="40"/>
  <c r="O39" i="40"/>
  <c r="O79" i="40"/>
  <c r="O90" i="40"/>
  <c r="O56" i="40"/>
  <c r="O54" i="40"/>
  <c r="O40" i="40"/>
  <c r="O44" i="40"/>
  <c r="O46" i="40"/>
  <c r="O48" i="40"/>
  <c r="N49" i="55" l="1"/>
  <c r="N39" i="55"/>
  <c r="N82" i="55"/>
  <c r="N40" i="55"/>
  <c r="N87" i="55"/>
  <c r="N46" i="55"/>
  <c r="N95" i="55"/>
  <c r="N53" i="55"/>
  <c r="N47" i="55"/>
  <c r="N94" i="55"/>
  <c r="N42" i="55"/>
  <c r="N84" i="55"/>
  <c r="N43" i="55"/>
  <c r="N38" i="55"/>
  <c r="N97" i="55"/>
  <c r="N85" i="55"/>
  <c r="N45" i="55"/>
  <c r="N64" i="55"/>
  <c r="N51" i="55"/>
  <c r="N90" i="55"/>
  <c r="N54" i="55"/>
  <c r="N73" i="55"/>
  <c r="N48" i="55"/>
  <c r="N35" i="55"/>
  <c r="N44" i="55"/>
  <c r="N58" i="55"/>
  <c r="N55" i="55"/>
  <c r="N79" i="55"/>
  <c r="N103" i="55"/>
  <c r="N36" i="55"/>
  <c r="N80" i="55"/>
  <c r="N86" i="55"/>
  <c r="N75" i="55"/>
  <c r="N88" i="55"/>
  <c r="N71" i="55"/>
  <c r="N101" i="55"/>
  <c r="N59" i="55"/>
  <c r="N41" i="55"/>
  <c r="N81" i="55"/>
  <c r="N77" i="55"/>
  <c r="N34" i="55"/>
  <c r="N70" i="55"/>
  <c r="N66" i="55"/>
  <c r="N76" i="55"/>
  <c r="N56" i="55"/>
  <c r="N60" i="55"/>
  <c r="N68" i="55"/>
  <c r="N72" i="55"/>
  <c r="N62" i="55"/>
  <c r="N100" i="55"/>
  <c r="N67" i="55"/>
  <c r="N52" i="55"/>
  <c r="N91" i="55"/>
  <c r="N98" i="55"/>
  <c r="N57" i="55"/>
  <c r="N89" i="55"/>
  <c r="N74" i="55"/>
  <c r="N96" i="55"/>
  <c r="N102" i="55"/>
  <c r="N61" i="55"/>
  <c r="N83" i="55"/>
  <c r="N78" i="55"/>
  <c r="N93" i="55"/>
  <c r="N99" i="55"/>
  <c r="N37" i="55"/>
  <c r="N57" i="17"/>
  <c r="N78" i="17"/>
  <c r="M90" i="23"/>
  <c r="N51" i="17"/>
  <c r="N99" i="17"/>
  <c r="N100" i="17"/>
  <c r="N76" i="17"/>
  <c r="M87" i="23"/>
  <c r="N88" i="17"/>
  <c r="N96" i="17"/>
  <c r="N102" i="17"/>
  <c r="N39" i="17"/>
  <c r="N60" i="17"/>
  <c r="N52" i="17"/>
  <c r="N41" i="17"/>
  <c r="N67" i="17"/>
  <c r="N37" i="17"/>
  <c r="M91" i="60"/>
  <c r="N82" i="17"/>
  <c r="M64" i="60"/>
  <c r="N62" i="17"/>
  <c r="M96" i="60"/>
  <c r="M97" i="60"/>
  <c r="N63" i="17"/>
  <c r="N86" i="17"/>
  <c r="N47" i="17"/>
  <c r="N48" i="17"/>
  <c r="N77" i="17"/>
  <c r="N84" i="17"/>
  <c r="N64" i="17"/>
  <c r="N55" i="17"/>
  <c r="N75" i="17"/>
  <c r="N94" i="17"/>
  <c r="N92" i="17"/>
  <c r="N35" i="17"/>
  <c r="N43" i="17"/>
  <c r="N49" i="17"/>
  <c r="N68" i="17"/>
  <c r="M94" i="60"/>
  <c r="M77" i="60"/>
  <c r="M95" i="60"/>
  <c r="M52" i="60"/>
  <c r="M46" i="60"/>
  <c r="M100" i="60"/>
  <c r="M57" i="60"/>
  <c r="M48" i="60"/>
  <c r="M44" i="60"/>
  <c r="M45" i="60"/>
  <c r="N85" i="17"/>
  <c r="N50" i="17"/>
  <c r="N81" i="17"/>
  <c r="M38" i="60"/>
  <c r="M79" i="60"/>
  <c r="M90" i="60"/>
  <c r="M54" i="60"/>
  <c r="M34" i="60"/>
  <c r="M88" i="60"/>
  <c r="N45" i="17"/>
  <c r="N59" i="17"/>
  <c r="N72" i="17"/>
  <c r="M101" i="60"/>
  <c r="M68" i="60"/>
  <c r="M70" i="60"/>
  <c r="M58" i="60"/>
  <c r="M47" i="60"/>
  <c r="M93" i="60"/>
  <c r="M86" i="60"/>
  <c r="M59" i="60"/>
  <c r="M35" i="60"/>
  <c r="M75" i="60"/>
  <c r="M102" i="60"/>
  <c r="M73" i="60"/>
  <c r="M56" i="60"/>
  <c r="N89" i="17"/>
  <c r="N83" i="17"/>
  <c r="N95" i="17"/>
  <c r="M72" i="60"/>
  <c r="M39" i="60"/>
  <c r="M36" i="60"/>
  <c r="M61" i="60"/>
  <c r="M66" i="60"/>
  <c r="M82" i="60"/>
  <c r="M83" i="60"/>
  <c r="M103" i="60"/>
  <c r="N101" i="17"/>
  <c r="N38" i="17"/>
  <c r="M40" i="60"/>
  <c r="M81" i="60"/>
  <c r="M41" i="60"/>
  <c r="M99" i="60"/>
  <c r="M42" i="60"/>
  <c r="M84" i="60"/>
  <c r="M50" i="60"/>
  <c r="M43" i="60"/>
  <c r="M63" i="60"/>
  <c r="N44" i="17"/>
  <c r="N54" i="17"/>
  <c r="M76" i="60"/>
  <c r="M74" i="60"/>
  <c r="M37" i="60"/>
  <c r="M62" i="60"/>
  <c r="M67" i="60"/>
  <c r="M51" i="60"/>
  <c r="M78" i="60"/>
  <c r="M85" i="60"/>
  <c r="M89" i="60"/>
  <c r="M60" i="60"/>
  <c r="M80" i="60"/>
  <c r="M92" i="60"/>
  <c r="N42" i="17"/>
  <c r="N56" i="17"/>
  <c r="M46" i="21"/>
  <c r="N36" i="17"/>
  <c r="N90" i="17"/>
  <c r="N53" i="17"/>
  <c r="N58" i="17"/>
  <c r="N61" i="17"/>
  <c r="N98" i="17"/>
  <c r="M56" i="21"/>
  <c r="N87" i="17"/>
  <c r="N70" i="17"/>
  <c r="N79" i="17"/>
  <c r="N66" i="17"/>
  <c r="N91" i="17"/>
  <c r="N71" i="17"/>
  <c r="M98" i="60"/>
  <c r="M49" i="60"/>
  <c r="M53" i="60"/>
  <c r="N46" i="17"/>
  <c r="N80" i="17"/>
  <c r="N93" i="17"/>
  <c r="M66" i="17"/>
  <c r="N103" i="17"/>
  <c r="N34" i="17"/>
  <c r="N73" i="17"/>
  <c r="M50" i="17"/>
  <c r="M87" i="60"/>
  <c r="M55" i="60"/>
  <c r="N74" i="17"/>
  <c r="N40" i="17"/>
  <c r="M50" i="21"/>
  <c r="M59" i="21"/>
  <c r="M79" i="21"/>
  <c r="M35" i="21"/>
  <c r="M48" i="21"/>
  <c r="M49" i="21"/>
  <c r="M66" i="21"/>
  <c r="M55" i="23"/>
  <c r="M74" i="15"/>
  <c r="M71" i="15"/>
  <c r="M92" i="15"/>
  <c r="M44" i="23"/>
  <c r="M42" i="15"/>
  <c r="M56" i="15"/>
  <c r="M41" i="17"/>
  <c r="M92" i="17"/>
  <c r="M61" i="17"/>
  <c r="M72" i="23"/>
  <c r="M34" i="17"/>
  <c r="M43" i="23"/>
  <c r="M80" i="17"/>
  <c r="M49" i="23"/>
  <c r="M64" i="17"/>
  <c r="M59" i="23"/>
  <c r="M68" i="17"/>
  <c r="M88" i="23"/>
  <c r="M70" i="17"/>
  <c r="M95" i="23"/>
  <c r="M103" i="23"/>
  <c r="M97" i="23"/>
  <c r="M37" i="23"/>
  <c r="M84" i="23"/>
  <c r="M67" i="15"/>
  <c r="M99" i="21"/>
  <c r="M36" i="21"/>
  <c r="M47" i="23"/>
  <c r="M70" i="23"/>
  <c r="M57" i="23"/>
  <c r="M80" i="23"/>
  <c r="M45" i="23"/>
  <c r="M62" i="23"/>
  <c r="M71" i="23"/>
  <c r="M78" i="21"/>
  <c r="M99" i="23"/>
  <c r="M68" i="23"/>
  <c r="M101" i="23"/>
  <c r="M86" i="23"/>
  <c r="M78" i="23"/>
  <c r="M76" i="21"/>
  <c r="M40" i="23"/>
  <c r="M75" i="23"/>
  <c r="M67" i="23"/>
  <c r="M85" i="23"/>
  <c r="M78" i="17"/>
  <c r="M94" i="23"/>
  <c r="M98" i="23"/>
  <c r="M77" i="23"/>
  <c r="M51" i="23"/>
  <c r="M61" i="23"/>
  <c r="M74" i="23"/>
  <c r="M82" i="23"/>
  <c r="M80" i="21"/>
  <c r="M77" i="15"/>
  <c r="M73" i="23"/>
  <c r="M96" i="15"/>
  <c r="M42" i="23"/>
  <c r="M81" i="23"/>
  <c r="M53" i="23"/>
  <c r="M102" i="23"/>
  <c r="M86" i="17"/>
  <c r="M38" i="15"/>
  <c r="M100" i="23"/>
  <c r="M96" i="23"/>
  <c r="M46" i="23"/>
  <c r="M63" i="23"/>
  <c r="M52" i="23"/>
  <c r="M38" i="23"/>
  <c r="M48" i="23"/>
  <c r="M34" i="23"/>
  <c r="M58" i="23"/>
  <c r="M68" i="15"/>
  <c r="M41" i="23"/>
  <c r="M35" i="23"/>
  <c r="M79" i="23"/>
  <c r="M93" i="23"/>
  <c r="M60" i="23"/>
  <c r="M52" i="21"/>
  <c r="M54" i="23"/>
  <c r="M64" i="23"/>
  <c r="M39" i="23"/>
  <c r="M60" i="15"/>
  <c r="M91" i="23"/>
  <c r="M92" i="23"/>
  <c r="M83" i="23"/>
  <c r="M51" i="21"/>
  <c r="M36" i="23"/>
  <c r="M72" i="21"/>
  <c r="M50" i="23"/>
  <c r="M76" i="23"/>
  <c r="M38" i="21"/>
  <c r="M56" i="23"/>
  <c r="M89" i="23"/>
  <c r="M59" i="15"/>
  <c r="M85" i="15"/>
  <c r="M45" i="15"/>
  <c r="M64" i="15"/>
  <c r="M80" i="15"/>
  <c r="M48" i="15"/>
  <c r="M91" i="15"/>
  <c r="M103" i="15"/>
  <c r="M47" i="15"/>
  <c r="M89" i="15"/>
  <c r="M44" i="15"/>
  <c r="M52" i="15"/>
  <c r="M62" i="15"/>
  <c r="M72" i="15"/>
  <c r="M57" i="15"/>
  <c r="M76" i="15"/>
  <c r="M37" i="15"/>
  <c r="M99" i="15"/>
  <c r="M50" i="15"/>
  <c r="M70" i="15"/>
  <c r="M41" i="15"/>
  <c r="M75" i="15"/>
  <c r="M94" i="15"/>
  <c r="M86" i="15"/>
  <c r="M88" i="15"/>
  <c r="M95" i="15"/>
  <c r="M102" i="15"/>
  <c r="M84" i="15"/>
  <c r="M40" i="15"/>
  <c r="M97" i="15"/>
  <c r="M78" i="15"/>
  <c r="M39" i="15"/>
  <c r="M51" i="15"/>
  <c r="M53" i="15"/>
  <c r="M58" i="15"/>
  <c r="M55" i="15"/>
  <c r="M46" i="15"/>
  <c r="M83" i="15"/>
  <c r="M98" i="15"/>
  <c r="M91" i="80"/>
  <c r="M79" i="15"/>
  <c r="M61" i="15"/>
  <c r="M49" i="15"/>
  <c r="M53" i="80"/>
  <c r="M63" i="15"/>
  <c r="M34" i="15"/>
  <c r="M93" i="15"/>
  <c r="M90" i="15"/>
  <c r="M54" i="15"/>
  <c r="M100" i="15"/>
  <c r="M35" i="15"/>
  <c r="M43" i="15"/>
  <c r="M36" i="15"/>
  <c r="M87" i="15"/>
  <c r="M66" i="15"/>
  <c r="M101" i="15"/>
  <c r="M81" i="15"/>
  <c r="M82" i="15"/>
  <c r="N34" i="5"/>
  <c r="N35" i="5"/>
  <c r="N102" i="5"/>
  <c r="N53" i="5"/>
  <c r="N36" i="5"/>
  <c r="N95" i="5"/>
  <c r="N98" i="5"/>
  <c r="N63" i="5"/>
  <c r="N54" i="5"/>
  <c r="N72" i="5"/>
  <c r="N96" i="5"/>
  <c r="N101" i="5"/>
  <c r="N89" i="5"/>
  <c r="N56" i="5"/>
  <c r="N94" i="5"/>
  <c r="N47" i="5"/>
  <c r="N84" i="5"/>
  <c r="N77" i="5"/>
  <c r="N88" i="5"/>
  <c r="N71" i="5"/>
  <c r="N81" i="5"/>
  <c r="N43" i="5"/>
  <c r="N61" i="5"/>
  <c r="N46" i="5"/>
  <c r="N59" i="5"/>
  <c r="N42" i="5"/>
  <c r="N38" i="5"/>
  <c r="N48" i="5"/>
  <c r="N41" i="5"/>
  <c r="N80" i="5"/>
  <c r="N97" i="5"/>
  <c r="N40" i="5"/>
  <c r="N78" i="5"/>
  <c r="N82" i="5"/>
  <c r="N92" i="5"/>
  <c r="N74" i="5"/>
  <c r="N79" i="5"/>
  <c r="N75" i="5"/>
  <c r="N55" i="5"/>
  <c r="N73" i="5"/>
  <c r="N57" i="5"/>
  <c r="N103" i="5"/>
  <c r="N62" i="5"/>
  <c r="N50" i="5"/>
  <c r="N100" i="5"/>
  <c r="N66" i="5"/>
  <c r="N83" i="5"/>
  <c r="N70" i="5"/>
  <c r="N99" i="5"/>
  <c r="N60" i="5"/>
  <c r="N85" i="5"/>
  <c r="N68" i="5"/>
  <c r="N91" i="5"/>
  <c r="N76" i="5"/>
  <c r="N49" i="5"/>
  <c r="N87" i="5"/>
  <c r="N52" i="5"/>
  <c r="N58" i="5"/>
  <c r="N64" i="5"/>
  <c r="N44" i="5"/>
  <c r="N37" i="5"/>
  <c r="N86" i="5"/>
  <c r="N67" i="5"/>
  <c r="N39" i="5"/>
  <c r="N51" i="5"/>
  <c r="N90" i="5"/>
  <c r="N45" i="5"/>
  <c r="N93" i="5"/>
  <c r="M79" i="80"/>
  <c r="M92" i="80"/>
  <c r="M96" i="80"/>
  <c r="M95" i="80"/>
  <c r="M90" i="17"/>
  <c r="M64" i="80"/>
  <c r="M86" i="80"/>
  <c r="M100" i="17"/>
  <c r="M75" i="21"/>
  <c r="M88" i="21"/>
  <c r="M54" i="21"/>
  <c r="M59" i="80"/>
  <c r="M38" i="17"/>
  <c r="M99" i="80"/>
  <c r="M71" i="21"/>
  <c r="M48" i="80"/>
  <c r="M82" i="80"/>
  <c r="M46" i="80"/>
  <c r="M90" i="80"/>
  <c r="M58" i="17"/>
  <c r="M37" i="17"/>
  <c r="M56" i="80"/>
  <c r="M36" i="80"/>
  <c r="M40" i="80"/>
  <c r="M76" i="17"/>
  <c r="M57" i="17"/>
  <c r="M93" i="21"/>
  <c r="M55" i="21"/>
  <c r="M67" i="21"/>
  <c r="M44" i="80"/>
  <c r="M41" i="80"/>
  <c r="M67" i="80"/>
  <c r="M50" i="80"/>
  <c r="M85" i="17"/>
  <c r="M83" i="17"/>
  <c r="M81" i="17"/>
  <c r="M84" i="21"/>
  <c r="M95" i="21"/>
  <c r="M87" i="80"/>
  <c r="M63" i="21"/>
  <c r="M62" i="80"/>
  <c r="M91" i="21"/>
  <c r="M63" i="80"/>
  <c r="M71" i="80"/>
  <c r="M74" i="80"/>
  <c r="M46" i="17"/>
  <c r="M48" i="17"/>
  <c r="M77" i="17"/>
  <c r="M34" i="80"/>
  <c r="M103" i="80"/>
  <c r="M94" i="80"/>
  <c r="M63" i="17"/>
  <c r="M82" i="21"/>
  <c r="M45" i="17"/>
  <c r="M58" i="21"/>
  <c r="M90" i="21"/>
  <c r="M81" i="21"/>
  <c r="M102" i="21"/>
  <c r="M97" i="80"/>
  <c r="M88" i="80"/>
  <c r="M98" i="80"/>
  <c r="M51" i="17"/>
  <c r="M53" i="17"/>
  <c r="M84" i="17"/>
  <c r="M58" i="80"/>
  <c r="N36" i="102"/>
  <c r="N101" i="102"/>
  <c r="N52" i="102"/>
  <c r="N51" i="102"/>
  <c r="N96" i="102"/>
  <c r="N59" i="102"/>
  <c r="N57" i="102"/>
  <c r="N35" i="102"/>
  <c r="N42" i="102"/>
  <c r="N94" i="102"/>
  <c r="N39" i="102"/>
  <c r="N34" i="102"/>
  <c r="N71" i="102"/>
  <c r="N50" i="102"/>
  <c r="N38" i="102"/>
  <c r="N47" i="102"/>
  <c r="N55" i="102"/>
  <c r="N93" i="102"/>
  <c r="N85" i="102"/>
  <c r="N89" i="102"/>
  <c r="N90" i="102"/>
  <c r="N43" i="102"/>
  <c r="N92" i="102"/>
  <c r="N60" i="102"/>
  <c r="N56" i="102"/>
  <c r="N58" i="102"/>
  <c r="N37" i="102"/>
  <c r="N54" i="102"/>
  <c r="N46" i="102"/>
  <c r="N100" i="102"/>
  <c r="N62" i="102"/>
  <c r="N64" i="102"/>
  <c r="N88" i="102"/>
  <c r="N103" i="102"/>
  <c r="N61" i="102"/>
  <c r="N80" i="102"/>
  <c r="N66" i="102"/>
  <c r="N67" i="102"/>
  <c r="N76" i="102"/>
  <c r="N68" i="102"/>
  <c r="N83" i="102"/>
  <c r="N45" i="102"/>
  <c r="N41" i="102"/>
  <c r="N70" i="102"/>
  <c r="N102" i="102"/>
  <c r="N79" i="102"/>
  <c r="N63" i="102"/>
  <c r="N98" i="102"/>
  <c r="N40" i="102"/>
  <c r="N95" i="102"/>
  <c r="N78" i="102"/>
  <c r="N99" i="102"/>
  <c r="N77" i="102"/>
  <c r="N49" i="102"/>
  <c r="N86" i="102"/>
  <c r="N91" i="102"/>
  <c r="N48" i="102"/>
  <c r="N74" i="102"/>
  <c r="N82" i="102"/>
  <c r="N73" i="102"/>
  <c r="N81" i="102"/>
  <c r="N97" i="102"/>
  <c r="N44" i="102"/>
  <c r="N84" i="102"/>
  <c r="N53" i="102"/>
  <c r="N75" i="102"/>
  <c r="N87" i="102"/>
  <c r="N72" i="102"/>
  <c r="M99" i="17"/>
  <c r="M97" i="17"/>
  <c r="M57" i="21"/>
  <c r="M44" i="21"/>
  <c r="M60" i="21"/>
  <c r="M41" i="21"/>
  <c r="M86" i="21"/>
  <c r="M39" i="21"/>
  <c r="M55" i="80"/>
  <c r="M37" i="80"/>
  <c r="M45" i="80"/>
  <c r="M43" i="17"/>
  <c r="M52" i="17"/>
  <c r="M73" i="17"/>
  <c r="M101" i="17"/>
  <c r="M54" i="80"/>
  <c r="M102" i="17"/>
  <c r="M35" i="80"/>
  <c r="M103" i="17"/>
  <c r="M75" i="17"/>
  <c r="M67" i="17"/>
  <c r="M70" i="21"/>
  <c r="M87" i="21"/>
  <c r="M84" i="80"/>
  <c r="M78" i="80"/>
  <c r="M59" i="17"/>
  <c r="M62" i="21"/>
  <c r="M92" i="21"/>
  <c r="M101" i="21"/>
  <c r="M73" i="21"/>
  <c r="M57" i="80"/>
  <c r="M52" i="80"/>
  <c r="M88" i="17"/>
  <c r="M49" i="17"/>
  <c r="M82" i="17"/>
  <c r="M71" i="17"/>
  <c r="M76" i="80"/>
  <c r="M100" i="80"/>
  <c r="M89" i="21"/>
  <c r="M100" i="21"/>
  <c r="M64" i="21"/>
  <c r="M37" i="21"/>
  <c r="M74" i="17"/>
  <c r="M60" i="17"/>
  <c r="M42" i="80"/>
  <c r="M42" i="17"/>
  <c r="M83" i="21"/>
  <c r="M97" i="21"/>
  <c r="M98" i="21"/>
  <c r="M43" i="21"/>
  <c r="M96" i="21"/>
  <c r="M38" i="80"/>
  <c r="M73" i="80"/>
  <c r="M83" i="80"/>
  <c r="M54" i="17"/>
  <c r="M79" i="17"/>
  <c r="M96" i="17"/>
  <c r="M72" i="17"/>
  <c r="M102" i="80"/>
  <c r="M47" i="17"/>
  <c r="M49" i="80"/>
  <c r="M70" i="80"/>
  <c r="M56" i="17"/>
  <c r="M94" i="17"/>
  <c r="M68" i="21"/>
  <c r="M51" i="80"/>
  <c r="M53" i="21"/>
  <c r="M61" i="80"/>
  <c r="M101" i="80"/>
  <c r="M62" i="17"/>
  <c r="M40" i="21"/>
  <c r="M34" i="21"/>
  <c r="M42" i="21"/>
  <c r="M74" i="21"/>
  <c r="M72" i="80"/>
  <c r="M75" i="80"/>
  <c r="M47" i="80"/>
  <c r="M36" i="17"/>
  <c r="M93" i="17"/>
  <c r="M98" i="17"/>
  <c r="M95" i="17"/>
  <c r="M93" i="80"/>
  <c r="M66" i="80"/>
  <c r="M89" i="17"/>
  <c r="M60" i="80"/>
  <c r="M85" i="21"/>
  <c r="M47" i="21"/>
  <c r="M85" i="80"/>
  <c r="M43" i="80"/>
  <c r="M81" i="80"/>
  <c r="M68" i="80"/>
  <c r="M39" i="17"/>
  <c r="M61" i="21"/>
  <c r="M77" i="21"/>
  <c r="M44" i="17"/>
  <c r="M103" i="21"/>
  <c r="M94" i="21"/>
  <c r="M89" i="80"/>
  <c r="M77" i="80"/>
  <c r="M39" i="80"/>
  <c r="M87" i="17"/>
  <c r="M91" i="17"/>
  <c r="M35" i="17"/>
  <c r="M40" i="17"/>
  <c r="N103" i="86"/>
  <c r="N54" i="86"/>
  <c r="N62" i="86"/>
  <c r="N94" i="86"/>
  <c r="N96" i="86"/>
  <c r="N85" i="86"/>
  <c r="N71" i="86"/>
  <c r="N70" i="86"/>
  <c r="N47" i="86"/>
  <c r="N73" i="86"/>
  <c r="N68" i="86"/>
  <c r="N88" i="86"/>
  <c r="N102" i="86"/>
  <c r="N77" i="86"/>
  <c r="N38" i="86"/>
  <c r="N48" i="86"/>
  <c r="N63" i="86"/>
  <c r="N61" i="86"/>
  <c r="N78" i="86"/>
  <c r="N46" i="86"/>
  <c r="N99" i="86"/>
  <c r="N101" i="86"/>
  <c r="N93" i="86"/>
  <c r="N43" i="86"/>
  <c r="N67" i="86"/>
  <c r="N95" i="86"/>
  <c r="N89" i="86"/>
  <c r="N44" i="86"/>
  <c r="N37" i="86"/>
  <c r="N100" i="86"/>
  <c r="N97" i="86"/>
  <c r="N36" i="86"/>
  <c r="N53" i="86"/>
  <c r="N75" i="86"/>
  <c r="N42" i="86"/>
  <c r="N91" i="86"/>
  <c r="N87" i="86"/>
  <c r="N57" i="86"/>
  <c r="N86" i="86"/>
  <c r="N34" i="86"/>
  <c r="N40" i="86"/>
  <c r="N84" i="86"/>
  <c r="N82" i="86"/>
  <c r="N58" i="86"/>
  <c r="N55" i="86"/>
  <c r="N79" i="86"/>
  <c r="N60" i="86"/>
  <c r="N83" i="86"/>
  <c r="N72" i="86"/>
  <c r="N80" i="86"/>
  <c r="N90" i="86"/>
  <c r="N56" i="86"/>
  <c r="N51" i="86"/>
  <c r="N59" i="86"/>
  <c r="N39" i="86"/>
  <c r="N76" i="86"/>
  <c r="N45" i="86"/>
  <c r="N92" i="86"/>
  <c r="N74" i="86"/>
  <c r="N35" i="86"/>
  <c r="N64" i="86"/>
  <c r="N50" i="86"/>
  <c r="N66" i="86"/>
  <c r="N49" i="86"/>
  <c r="N81" i="86"/>
  <c r="N52" i="86"/>
  <c r="N98" i="86"/>
  <c r="N41" i="86"/>
  <c r="N38" i="59"/>
  <c r="N35" i="59"/>
  <c r="N47" i="59"/>
  <c r="N99" i="59"/>
  <c r="N78" i="59"/>
  <c r="N103" i="59"/>
  <c r="N91" i="59"/>
  <c r="N93" i="59"/>
  <c r="N36" i="59"/>
  <c r="N76" i="59"/>
  <c r="N77" i="59"/>
  <c r="N81" i="59"/>
  <c r="N74" i="59"/>
  <c r="N37" i="59"/>
  <c r="N51" i="59"/>
  <c r="N57" i="59"/>
  <c r="N102" i="59"/>
  <c r="N75" i="59"/>
  <c r="N72" i="59"/>
  <c r="N87" i="59"/>
  <c r="N60" i="59"/>
  <c r="N63" i="59"/>
  <c r="N64" i="59"/>
  <c r="N58" i="59"/>
  <c r="N34" i="59"/>
  <c r="N84" i="59"/>
  <c r="N49" i="59"/>
  <c r="N83" i="59"/>
  <c r="N55" i="59"/>
  <c r="N54" i="59"/>
  <c r="N97" i="59"/>
  <c r="N89" i="59"/>
  <c r="N48" i="59"/>
  <c r="N50" i="59"/>
  <c r="N62" i="59"/>
  <c r="N56" i="59"/>
  <c r="N79" i="59"/>
  <c r="N92" i="59"/>
  <c r="N98" i="59"/>
  <c r="N39" i="59"/>
  <c r="N71" i="59"/>
  <c r="N67" i="59"/>
  <c r="N101" i="59"/>
  <c r="N96" i="59"/>
  <c r="N61" i="59"/>
  <c r="N44" i="59"/>
  <c r="N90" i="59"/>
  <c r="N94" i="59"/>
  <c r="N85" i="59"/>
  <c r="N88" i="59"/>
  <c r="N73" i="59"/>
  <c r="N80" i="59"/>
  <c r="N82" i="59"/>
  <c r="N45" i="59"/>
  <c r="N41" i="59"/>
  <c r="N70" i="59"/>
  <c r="N42" i="59"/>
  <c r="N53" i="59"/>
  <c r="N68" i="59"/>
  <c r="N95" i="59"/>
  <c r="N100" i="59"/>
  <c r="N46" i="59"/>
  <c r="N59" i="59"/>
  <c r="N43" i="59"/>
  <c r="N52" i="59"/>
  <c r="N66" i="59"/>
  <c r="N40" i="59"/>
  <c r="N86" i="59"/>
  <c r="N62" i="21"/>
  <c r="N101" i="21"/>
  <c r="N71" i="21"/>
  <c r="N73" i="21"/>
  <c r="N81" i="21"/>
  <c r="N77" i="21"/>
  <c r="N34" i="21"/>
  <c r="N89" i="21"/>
  <c r="N55" i="21"/>
  <c r="N70" i="21"/>
  <c r="N75" i="21"/>
  <c r="N86" i="21"/>
  <c r="N68" i="21"/>
  <c r="N59" i="21"/>
  <c r="N103" i="21"/>
  <c r="N48" i="21"/>
  <c r="N58" i="21"/>
  <c r="N45" i="21"/>
  <c r="N97" i="21"/>
  <c r="N39" i="21"/>
  <c r="N60" i="21"/>
  <c r="N80" i="21"/>
  <c r="N95" i="21"/>
  <c r="N51" i="21"/>
  <c r="N66" i="21"/>
  <c r="N76" i="21"/>
  <c r="N91" i="21"/>
  <c r="N98" i="21"/>
  <c r="N46" i="21"/>
  <c r="N61" i="21"/>
  <c r="N83" i="21"/>
  <c r="N44" i="21"/>
  <c r="N85" i="21"/>
  <c r="N78" i="21"/>
  <c r="N92" i="21"/>
  <c r="N43" i="21"/>
  <c r="N96" i="21"/>
  <c r="N57" i="21"/>
  <c r="N35" i="21"/>
  <c r="N74" i="21"/>
  <c r="N41" i="21"/>
  <c r="N93" i="21"/>
  <c r="N94" i="21"/>
  <c r="N90" i="21"/>
  <c r="N82" i="21"/>
  <c r="N72" i="21"/>
  <c r="N40" i="21"/>
  <c r="N79" i="21"/>
  <c r="N56" i="21"/>
  <c r="N88" i="21"/>
  <c r="N63" i="21"/>
  <c r="N42" i="21"/>
  <c r="N53" i="21"/>
  <c r="N49" i="21"/>
  <c r="N99" i="21"/>
  <c r="N47" i="21"/>
  <c r="N38" i="21"/>
  <c r="N84" i="21"/>
  <c r="N37" i="21"/>
  <c r="N67" i="21"/>
  <c r="N50" i="21"/>
  <c r="N102" i="21"/>
  <c r="N54" i="21"/>
  <c r="N100" i="21"/>
  <c r="N87" i="21"/>
  <c r="N64" i="21"/>
  <c r="N52" i="21"/>
  <c r="N36" i="21"/>
  <c r="N64" i="80"/>
  <c r="N81" i="80"/>
  <c r="N42" i="80"/>
  <c r="N54" i="80"/>
  <c r="N50" i="80"/>
  <c r="N36" i="80"/>
  <c r="N85" i="80"/>
  <c r="N40" i="80"/>
  <c r="N89" i="80"/>
  <c r="N87" i="80"/>
  <c r="N71" i="80"/>
  <c r="N70" i="80"/>
  <c r="N82" i="80"/>
  <c r="N73" i="80"/>
  <c r="N88" i="80"/>
  <c r="N78" i="80"/>
  <c r="N75" i="80"/>
  <c r="N61" i="80"/>
  <c r="N59" i="80"/>
  <c r="N49" i="80"/>
  <c r="N63" i="80"/>
  <c r="N77" i="80"/>
  <c r="N79" i="80"/>
  <c r="N84" i="80"/>
  <c r="N47" i="80"/>
  <c r="N68" i="80"/>
  <c r="N46" i="80"/>
  <c r="N55" i="80"/>
  <c r="N57" i="80"/>
  <c r="N51" i="80"/>
  <c r="N94" i="80"/>
  <c r="N67" i="80"/>
  <c r="N60" i="80"/>
  <c r="N91" i="80"/>
  <c r="N93" i="80"/>
  <c r="N35" i="80"/>
  <c r="N97" i="80"/>
  <c r="N98" i="80"/>
  <c r="N96" i="80"/>
  <c r="N52" i="80"/>
  <c r="N38" i="80"/>
  <c r="N101" i="80"/>
  <c r="N86" i="80"/>
  <c r="N56" i="80"/>
  <c r="N83" i="80"/>
  <c r="N80" i="80"/>
  <c r="N90" i="80"/>
  <c r="N66" i="80"/>
  <c r="N99" i="80"/>
  <c r="N45" i="80"/>
  <c r="N76" i="80"/>
  <c r="N102" i="80"/>
  <c r="N62" i="80"/>
  <c r="N100" i="80"/>
  <c r="N48" i="80"/>
  <c r="N43" i="80"/>
  <c r="N95" i="80"/>
  <c r="N41" i="80"/>
  <c r="N72" i="80"/>
  <c r="N37" i="80"/>
  <c r="N58" i="80"/>
  <c r="N103" i="80"/>
  <c r="N44" i="80"/>
  <c r="N34" i="80"/>
  <c r="N53" i="80"/>
  <c r="N39" i="80"/>
  <c r="N92" i="80"/>
  <c r="N74" i="80"/>
  <c r="N95" i="62"/>
  <c r="N91" i="62"/>
  <c r="N96" i="62"/>
  <c r="N83" i="62"/>
  <c r="N80" i="62"/>
  <c r="N70" i="62"/>
  <c r="N68" i="62"/>
  <c r="N64" i="62"/>
  <c r="N34" i="62"/>
  <c r="N78" i="62"/>
  <c r="N47" i="62"/>
  <c r="N98" i="62"/>
  <c r="N58" i="62"/>
  <c r="N46" i="62"/>
  <c r="N90" i="62"/>
  <c r="N53" i="62"/>
  <c r="N44" i="62"/>
  <c r="N102" i="62"/>
  <c r="N76" i="62"/>
  <c r="N74" i="62"/>
  <c r="N72" i="62"/>
  <c r="N49" i="62"/>
  <c r="N85" i="62"/>
  <c r="N63" i="62"/>
  <c r="N43" i="62"/>
  <c r="N54" i="62"/>
  <c r="N36" i="62"/>
  <c r="N59" i="62"/>
  <c r="N103" i="62"/>
  <c r="N99" i="62"/>
  <c r="N93" i="62"/>
  <c r="N89" i="62"/>
  <c r="N61" i="62"/>
  <c r="N50" i="62"/>
  <c r="N39" i="62"/>
  <c r="N97" i="62"/>
  <c r="N38" i="62"/>
  <c r="N71" i="62"/>
  <c r="N79" i="62"/>
  <c r="N77" i="62"/>
  <c r="N75" i="62"/>
  <c r="N56" i="62"/>
  <c r="N81" i="62"/>
  <c r="N35" i="62"/>
  <c r="N94" i="62"/>
  <c r="N57" i="62"/>
  <c r="N100" i="62"/>
  <c r="N42" i="62"/>
  <c r="N84" i="62"/>
  <c r="N82" i="62"/>
  <c r="N66" i="62"/>
  <c r="N41" i="62"/>
  <c r="N40" i="62"/>
  <c r="N60" i="62"/>
  <c r="N67" i="62"/>
  <c r="N86" i="62"/>
  <c r="N88" i="62"/>
  <c r="N45" i="62"/>
  <c r="N62" i="62"/>
  <c r="N92" i="62"/>
  <c r="N48" i="62"/>
  <c r="N51" i="62"/>
  <c r="N101" i="62"/>
  <c r="N52" i="62"/>
  <c r="N55" i="62"/>
  <c r="N73" i="62"/>
  <c r="N37" i="62"/>
  <c r="N87" i="62"/>
  <c r="M95" i="3"/>
  <c r="M102" i="3"/>
  <c r="M77" i="3"/>
  <c r="M67" i="3"/>
  <c r="M58" i="3"/>
  <c r="M53" i="3"/>
  <c r="M46" i="3"/>
  <c r="M34" i="3"/>
  <c r="M91" i="3"/>
  <c r="M52" i="3"/>
  <c r="M40" i="3"/>
  <c r="M50" i="3"/>
  <c r="M97" i="3"/>
  <c r="M59" i="3"/>
  <c r="M68" i="3"/>
  <c r="M93" i="3"/>
  <c r="M87" i="3"/>
  <c r="M71" i="3"/>
  <c r="M64" i="3"/>
  <c r="M98" i="3"/>
  <c r="M89" i="3"/>
  <c r="M83" i="3"/>
  <c r="M78" i="3"/>
  <c r="M57" i="3"/>
  <c r="M76" i="3"/>
  <c r="M74" i="3"/>
  <c r="M42" i="3"/>
  <c r="M39" i="3"/>
  <c r="M105" i="3"/>
  <c r="M72" i="3"/>
  <c r="M55" i="3"/>
  <c r="M51" i="3"/>
  <c r="M49" i="3"/>
  <c r="M88" i="3"/>
  <c r="M82" i="3"/>
  <c r="M75" i="3"/>
  <c r="M63" i="3"/>
  <c r="M47" i="3"/>
  <c r="M81" i="3"/>
  <c r="M61" i="3"/>
  <c r="M45" i="3"/>
  <c r="M43" i="3"/>
  <c r="M90" i="3"/>
  <c r="M104" i="3"/>
  <c r="M41" i="3"/>
  <c r="M36" i="3"/>
  <c r="M86" i="3"/>
  <c r="M66" i="3"/>
  <c r="M84" i="3"/>
  <c r="M99" i="3"/>
  <c r="M44" i="3"/>
  <c r="M92" i="3"/>
  <c r="M85" i="3"/>
  <c r="M48" i="3"/>
  <c r="M96" i="3"/>
  <c r="M80" i="3"/>
  <c r="M73" i="3"/>
  <c r="M35" i="3"/>
  <c r="M101" i="3"/>
  <c r="M79" i="3"/>
  <c r="M100" i="3"/>
  <c r="M70" i="3"/>
  <c r="M62" i="3"/>
  <c r="M103" i="3"/>
  <c r="M38" i="3"/>
  <c r="M60" i="3"/>
  <c r="M54" i="3"/>
  <c r="M37" i="3"/>
  <c r="M56" i="3"/>
  <c r="M94" i="3"/>
  <c r="N83" i="39"/>
  <c r="N80" i="39"/>
  <c r="N58" i="39"/>
  <c r="N67" i="39"/>
  <c r="N49" i="39"/>
  <c r="N39" i="39"/>
  <c r="N102" i="39"/>
  <c r="N78" i="39"/>
  <c r="N71" i="39"/>
  <c r="N38" i="39"/>
  <c r="N90" i="39"/>
  <c r="N70" i="39"/>
  <c r="N47" i="39"/>
  <c r="N100" i="39"/>
  <c r="N93" i="39"/>
  <c r="N76" i="39"/>
  <c r="N56" i="39"/>
  <c r="N88" i="39"/>
  <c r="N63" i="39"/>
  <c r="N45" i="39"/>
  <c r="N98" i="39"/>
  <c r="N74" i="39"/>
  <c r="N54" i="39"/>
  <c r="N34" i="39"/>
  <c r="N86" i="39"/>
  <c r="N61" i="39"/>
  <c r="N43" i="39"/>
  <c r="N96" i="39"/>
  <c r="N42" i="39"/>
  <c r="N94" i="39"/>
  <c r="N68" i="39"/>
  <c r="N50" i="39"/>
  <c r="N40" i="39"/>
  <c r="N35" i="39"/>
  <c r="N44" i="39"/>
  <c r="N46" i="39"/>
  <c r="N48" i="39"/>
  <c r="N60" i="39"/>
  <c r="N37" i="39"/>
  <c r="N62" i="39"/>
  <c r="N36" i="39"/>
  <c r="N97" i="39"/>
  <c r="N95" i="39"/>
  <c r="N87" i="39"/>
  <c r="N75" i="39"/>
  <c r="N66" i="39"/>
  <c r="N81" i="39"/>
  <c r="N89" i="39"/>
  <c r="N72" i="39"/>
  <c r="N91" i="39"/>
  <c r="N82" i="39"/>
  <c r="N103" i="39"/>
  <c r="N73" i="39"/>
  <c r="N77" i="39"/>
  <c r="N99" i="39"/>
  <c r="N92" i="39"/>
  <c r="N64" i="39"/>
  <c r="N57" i="39"/>
  <c r="N55" i="39"/>
  <c r="N52" i="39"/>
  <c r="N79" i="39"/>
  <c r="N59" i="39"/>
  <c r="N51" i="39"/>
  <c r="N85" i="39"/>
  <c r="N41" i="39"/>
  <c r="N84" i="39"/>
  <c r="N53" i="39"/>
  <c r="N101" i="39"/>
  <c r="M96" i="99"/>
  <c r="M73" i="99"/>
  <c r="M50" i="99"/>
  <c r="M40" i="99"/>
  <c r="M92" i="99"/>
  <c r="M60" i="99"/>
  <c r="M46" i="99"/>
  <c r="M36" i="99"/>
  <c r="M88" i="99"/>
  <c r="M72" i="99"/>
  <c r="M45" i="99"/>
  <c r="M35" i="99"/>
  <c r="M86" i="99"/>
  <c r="M59" i="99"/>
  <c r="M43" i="99"/>
  <c r="M90" i="99"/>
  <c r="M66" i="99"/>
  <c r="M57" i="99"/>
  <c r="M70" i="99"/>
  <c r="M67" i="99"/>
  <c r="M47" i="99"/>
  <c r="M89" i="99"/>
  <c r="M56" i="99"/>
  <c r="M41" i="99"/>
  <c r="M87" i="99"/>
  <c r="M85" i="99"/>
  <c r="M80" i="99"/>
  <c r="M54" i="99"/>
  <c r="M94" i="99"/>
  <c r="M81" i="99"/>
  <c r="M79" i="99"/>
  <c r="M58" i="99"/>
  <c r="M49" i="99"/>
  <c r="M37" i="99"/>
  <c r="M100" i="99"/>
  <c r="M82" i="99"/>
  <c r="M75" i="99"/>
  <c r="M34" i="99"/>
  <c r="M98" i="99"/>
  <c r="M63" i="99"/>
  <c r="M101" i="99"/>
  <c r="M99" i="99"/>
  <c r="M84" i="99"/>
  <c r="M55" i="99"/>
  <c r="M102" i="99"/>
  <c r="M74" i="99"/>
  <c r="M44" i="99"/>
  <c r="M39" i="99"/>
  <c r="M76" i="99"/>
  <c r="M62" i="99"/>
  <c r="M38" i="99"/>
  <c r="M91" i="99"/>
  <c r="M61" i="99"/>
  <c r="M103" i="99"/>
  <c r="M51" i="99"/>
  <c r="M83" i="99"/>
  <c r="M53" i="99"/>
  <c r="M71" i="99"/>
  <c r="M52" i="99"/>
  <c r="M95" i="99"/>
  <c r="M48" i="99"/>
  <c r="M97" i="99"/>
  <c r="M78" i="99"/>
  <c r="M77" i="99"/>
  <c r="M42" i="99"/>
  <c r="M68" i="99"/>
  <c r="M64" i="99"/>
  <c r="M93" i="99"/>
  <c r="N90" i="89"/>
  <c r="N64" i="89"/>
  <c r="N57" i="89"/>
  <c r="N50" i="89"/>
  <c r="N40" i="89"/>
  <c r="N97" i="89"/>
  <c r="N68" i="89"/>
  <c r="N55" i="89"/>
  <c r="N37" i="89"/>
  <c r="N86" i="89"/>
  <c r="N62" i="89"/>
  <c r="N101" i="89"/>
  <c r="N76" i="89"/>
  <c r="N56" i="89"/>
  <c r="N54" i="89"/>
  <c r="N99" i="89"/>
  <c r="N84" i="89"/>
  <c r="N81" i="89"/>
  <c r="N43" i="89"/>
  <c r="N95" i="89"/>
  <c r="N82" i="89"/>
  <c r="N74" i="89"/>
  <c r="N63" i="89"/>
  <c r="N41" i="89"/>
  <c r="N79" i="89"/>
  <c r="N72" i="89"/>
  <c r="N61" i="89"/>
  <c r="N100" i="89"/>
  <c r="N85" i="89"/>
  <c r="N44" i="89"/>
  <c r="N34" i="89"/>
  <c r="N58" i="89"/>
  <c r="N75" i="89"/>
  <c r="N73" i="89"/>
  <c r="N71" i="89"/>
  <c r="N70" i="89"/>
  <c r="N103" i="89"/>
  <c r="N66" i="89"/>
  <c r="N59" i="89"/>
  <c r="N53" i="89"/>
  <c r="N52" i="89"/>
  <c r="N51" i="89"/>
  <c r="N80" i="89"/>
  <c r="N49" i="89"/>
  <c r="N88" i="89"/>
  <c r="N77" i="89"/>
  <c r="N47" i="89"/>
  <c r="N98" i="89"/>
  <c r="N96" i="89"/>
  <c r="N94" i="89"/>
  <c r="N45" i="89"/>
  <c r="N42" i="89"/>
  <c r="N36" i="89"/>
  <c r="N67" i="89"/>
  <c r="N48" i="89"/>
  <c r="N39" i="89"/>
  <c r="N46" i="89"/>
  <c r="N92" i="89"/>
  <c r="N35" i="89"/>
  <c r="N93" i="89"/>
  <c r="N91" i="89"/>
  <c r="N89" i="89"/>
  <c r="N87" i="89"/>
  <c r="N102" i="89"/>
  <c r="N78" i="89"/>
  <c r="N60" i="89"/>
  <c r="N38" i="89"/>
  <c r="N83" i="89"/>
  <c r="N103" i="24"/>
  <c r="N83" i="24"/>
  <c r="N80" i="24"/>
  <c r="N70" i="24"/>
  <c r="N64" i="24"/>
  <c r="N42" i="24"/>
  <c r="N92" i="24"/>
  <c r="N57" i="24"/>
  <c r="N41" i="24"/>
  <c r="N84" i="24"/>
  <c r="N82" i="24"/>
  <c r="N77" i="24"/>
  <c r="N43" i="24"/>
  <c r="N91" i="24"/>
  <c r="N50" i="24"/>
  <c r="N36" i="24"/>
  <c r="N75" i="24"/>
  <c r="N55" i="24"/>
  <c r="N46" i="24"/>
  <c r="N97" i="24"/>
  <c r="N71" i="24"/>
  <c r="N68" i="24"/>
  <c r="N95" i="24"/>
  <c r="N60" i="24"/>
  <c r="N53" i="24"/>
  <c r="N76" i="24"/>
  <c r="N74" i="24"/>
  <c r="N59" i="24"/>
  <c r="N87" i="24"/>
  <c r="N48" i="24"/>
  <c r="N67" i="24"/>
  <c r="N38" i="24"/>
  <c r="N102" i="24"/>
  <c r="N44" i="24"/>
  <c r="N88" i="24"/>
  <c r="N58" i="24"/>
  <c r="N49" i="24"/>
  <c r="N101" i="24"/>
  <c r="N54" i="24"/>
  <c r="N62" i="24"/>
  <c r="N93" i="24"/>
  <c r="N56" i="24"/>
  <c r="N39" i="24"/>
  <c r="N89" i="24"/>
  <c r="N85" i="24"/>
  <c r="N35" i="24"/>
  <c r="N98" i="24"/>
  <c r="N96" i="24"/>
  <c r="N61" i="24"/>
  <c r="N37" i="24"/>
  <c r="N94" i="24"/>
  <c r="N90" i="24"/>
  <c r="N40" i="24"/>
  <c r="N34" i="24"/>
  <c r="N100" i="24"/>
  <c r="N63" i="24"/>
  <c r="N73" i="24"/>
  <c r="N66" i="24"/>
  <c r="N47" i="24"/>
  <c r="N45" i="24"/>
  <c r="N52" i="24"/>
  <c r="N81" i="24"/>
  <c r="N79" i="24"/>
  <c r="N51" i="24"/>
  <c r="N72" i="24"/>
  <c r="N86" i="24"/>
  <c r="N99" i="24"/>
  <c r="N78" i="24"/>
  <c r="M101" i="40"/>
  <c r="M78" i="40"/>
  <c r="M57" i="40"/>
  <c r="M47" i="40"/>
  <c r="M97" i="40"/>
  <c r="M74" i="40"/>
  <c r="M60" i="40"/>
  <c r="M43" i="40"/>
  <c r="M40" i="40"/>
  <c r="M75" i="40"/>
  <c r="M102" i="40"/>
  <c r="M89" i="40"/>
  <c r="M71" i="40"/>
  <c r="M50" i="40"/>
  <c r="M36" i="40"/>
  <c r="M66" i="40"/>
  <c r="M58" i="40"/>
  <c r="M44" i="40"/>
  <c r="M52" i="40"/>
  <c r="M83" i="40"/>
  <c r="M80" i="40"/>
  <c r="M63" i="40"/>
  <c r="M92" i="40"/>
  <c r="M90" i="40"/>
  <c r="M88" i="40"/>
  <c r="M86" i="40"/>
  <c r="M55" i="40"/>
  <c r="M35" i="40"/>
  <c r="M67" i="40"/>
  <c r="M99" i="40"/>
  <c r="M95" i="40"/>
  <c r="M64" i="40"/>
  <c r="M93" i="40"/>
  <c r="M91" i="40"/>
  <c r="M37" i="40"/>
  <c r="M39" i="40"/>
  <c r="M94" i="40"/>
  <c r="M76" i="40"/>
  <c r="M72" i="40"/>
  <c r="M38" i="40"/>
  <c r="M84" i="40"/>
  <c r="M82" i="40"/>
  <c r="M62" i="40"/>
  <c r="M46" i="40"/>
  <c r="M56" i="40"/>
  <c r="M54" i="40"/>
  <c r="M48" i="40"/>
  <c r="M42" i="40"/>
  <c r="M41" i="40"/>
  <c r="M96" i="40"/>
  <c r="M85" i="40"/>
  <c r="M51" i="40"/>
  <c r="M77" i="40"/>
  <c r="M98" i="40"/>
  <c r="M59" i="40"/>
  <c r="M100" i="40"/>
  <c r="M49" i="40"/>
  <c r="M87" i="40"/>
  <c r="M103" i="40"/>
  <c r="M68" i="40"/>
  <c r="M61" i="40"/>
  <c r="M79" i="40"/>
  <c r="M81" i="40"/>
  <c r="M34" i="40"/>
  <c r="M70" i="40"/>
  <c r="M45" i="40"/>
  <c r="M73" i="40"/>
  <c r="M53" i="40"/>
  <c r="M87" i="81"/>
  <c r="M54" i="81"/>
  <c r="M96" i="81"/>
  <c r="M73" i="81"/>
  <c r="M59" i="81"/>
  <c r="M43" i="81"/>
  <c r="M35" i="81"/>
  <c r="M103" i="81"/>
  <c r="M83" i="81"/>
  <c r="M80" i="81"/>
  <c r="M70" i="81"/>
  <c r="M64" i="81"/>
  <c r="M50" i="81"/>
  <c r="M40" i="81"/>
  <c r="M92" i="81"/>
  <c r="M57" i="81"/>
  <c r="M88" i="81"/>
  <c r="M61" i="81"/>
  <c r="M48" i="81"/>
  <c r="M101" i="81"/>
  <c r="M86" i="81"/>
  <c r="M81" i="81"/>
  <c r="M67" i="81"/>
  <c r="M97" i="81"/>
  <c r="M95" i="81"/>
  <c r="M75" i="81"/>
  <c r="M39" i="81"/>
  <c r="M79" i="81"/>
  <c r="M52" i="81"/>
  <c r="M98" i="81"/>
  <c r="M94" i="81"/>
  <c r="M77" i="81"/>
  <c r="M51" i="81"/>
  <c r="M90" i="81"/>
  <c r="M84" i="81"/>
  <c r="M62" i="81"/>
  <c r="M45" i="81"/>
  <c r="M42" i="81"/>
  <c r="M99" i="81"/>
  <c r="M78" i="81"/>
  <c r="M76" i="81"/>
  <c r="M74" i="81"/>
  <c r="M72" i="81"/>
  <c r="M55" i="81"/>
  <c r="M49" i="81"/>
  <c r="M36" i="81"/>
  <c r="M53" i="81"/>
  <c r="M102" i="81"/>
  <c r="M100" i="81"/>
  <c r="M71" i="81"/>
  <c r="M56" i="81"/>
  <c r="M44" i="81"/>
  <c r="M82" i="81"/>
  <c r="M58" i="81"/>
  <c r="M60" i="81"/>
  <c r="M85" i="81"/>
  <c r="M66" i="81"/>
  <c r="M34" i="81"/>
  <c r="M47" i="81"/>
  <c r="M63" i="81"/>
  <c r="M46" i="81"/>
  <c r="M89" i="81"/>
  <c r="M41" i="81"/>
  <c r="M91" i="81"/>
  <c r="M37" i="81"/>
  <c r="M93" i="81"/>
  <c r="M38" i="81"/>
  <c r="M68" i="81"/>
  <c r="M103" i="26"/>
  <c r="M83" i="26"/>
  <c r="M80" i="26"/>
  <c r="M70" i="26"/>
  <c r="M55" i="26"/>
  <c r="M37" i="26"/>
  <c r="M99" i="26"/>
  <c r="M76" i="26"/>
  <c r="M53" i="26"/>
  <c r="M91" i="26"/>
  <c r="M89" i="26"/>
  <c r="M62" i="26"/>
  <c r="M96" i="26"/>
  <c r="M63" i="26"/>
  <c r="M54" i="26"/>
  <c r="M42" i="26"/>
  <c r="M94" i="26"/>
  <c r="M72" i="26"/>
  <c r="M59" i="26"/>
  <c r="M40" i="26"/>
  <c r="M102" i="26"/>
  <c r="M78" i="26"/>
  <c r="M68" i="26"/>
  <c r="M98" i="26"/>
  <c r="M74" i="26"/>
  <c r="M57" i="26"/>
  <c r="M46" i="26"/>
  <c r="M44" i="26"/>
  <c r="M82" i="26"/>
  <c r="M49" i="26"/>
  <c r="M84" i="26"/>
  <c r="M75" i="26"/>
  <c r="M101" i="26"/>
  <c r="M39" i="26"/>
  <c r="M51" i="26"/>
  <c r="M66" i="26"/>
  <c r="M95" i="26"/>
  <c r="M87" i="26"/>
  <c r="M36" i="26"/>
  <c r="M85" i="26"/>
  <c r="M60" i="26"/>
  <c r="M47" i="26"/>
  <c r="M45" i="26"/>
  <c r="M43" i="26"/>
  <c r="M41" i="26"/>
  <c r="M71" i="26"/>
  <c r="M67" i="26"/>
  <c r="M56" i="26"/>
  <c r="M90" i="26"/>
  <c r="M100" i="26"/>
  <c r="M48" i="26"/>
  <c r="M50" i="26"/>
  <c r="M97" i="26"/>
  <c r="M93" i="26"/>
  <c r="M73" i="26"/>
  <c r="M77" i="26"/>
  <c r="M81" i="26"/>
  <c r="M79" i="26"/>
  <c r="M92" i="26"/>
  <c r="M88" i="26"/>
  <c r="M86" i="26"/>
  <c r="M38" i="26"/>
  <c r="M35" i="26"/>
  <c r="M61" i="26"/>
  <c r="M64" i="26"/>
  <c r="M34" i="26"/>
  <c r="M52" i="26"/>
  <c r="M58" i="26"/>
  <c r="N88" i="29"/>
  <c r="N52" i="29"/>
  <c r="N84" i="29"/>
  <c r="N81" i="29"/>
  <c r="N68" i="29"/>
  <c r="N56" i="29"/>
  <c r="N38" i="29"/>
  <c r="N97" i="29"/>
  <c r="N66" i="29"/>
  <c r="N50" i="29"/>
  <c r="N37" i="29"/>
  <c r="N95" i="29"/>
  <c r="N82" i="29"/>
  <c r="N64" i="29"/>
  <c r="N57" i="29"/>
  <c r="N85" i="29"/>
  <c r="N63" i="29"/>
  <c r="N54" i="29"/>
  <c r="N41" i="29"/>
  <c r="N100" i="29"/>
  <c r="N83" i="29"/>
  <c r="N76" i="29"/>
  <c r="N61" i="29"/>
  <c r="N40" i="29"/>
  <c r="N36" i="29"/>
  <c r="N98" i="29"/>
  <c r="N74" i="29"/>
  <c r="N96" i="29"/>
  <c r="N94" i="29"/>
  <c r="N59" i="29"/>
  <c r="N92" i="29"/>
  <c r="N71" i="29"/>
  <c r="N34" i="29"/>
  <c r="N102" i="29"/>
  <c r="N70" i="29"/>
  <c r="N90" i="29"/>
  <c r="N67" i="29"/>
  <c r="N103" i="29"/>
  <c r="N72" i="29"/>
  <c r="N58" i="29"/>
  <c r="N45" i="29"/>
  <c r="N46" i="29"/>
  <c r="N44" i="29"/>
  <c r="N39" i="29"/>
  <c r="N35" i="29"/>
  <c r="N79" i="29"/>
  <c r="N77" i="29"/>
  <c r="N49" i="29"/>
  <c r="N47" i="29"/>
  <c r="N43" i="29"/>
  <c r="N60" i="29"/>
  <c r="N101" i="29"/>
  <c r="N99" i="29"/>
  <c r="N62" i="29"/>
  <c r="N42" i="29"/>
  <c r="N91" i="29"/>
  <c r="N89" i="29"/>
  <c r="N75" i="29"/>
  <c r="N93" i="29"/>
  <c r="N87" i="29"/>
  <c r="N48" i="29"/>
  <c r="N86" i="29"/>
  <c r="N73" i="29"/>
  <c r="N53" i="29"/>
  <c r="N51" i="29"/>
  <c r="N78" i="29"/>
  <c r="N80" i="29"/>
  <c r="N55" i="29"/>
  <c r="M87" i="11"/>
  <c r="M77" i="11"/>
  <c r="M94" i="11"/>
  <c r="M81" i="11"/>
  <c r="M51" i="11"/>
  <c r="M97" i="11"/>
  <c r="M84" i="11"/>
  <c r="M72" i="11"/>
  <c r="M34" i="11"/>
  <c r="M93" i="11"/>
  <c r="M56" i="11"/>
  <c r="M38" i="11"/>
  <c r="M63" i="11"/>
  <c r="M47" i="11"/>
  <c r="M83" i="11"/>
  <c r="M78" i="11"/>
  <c r="M49" i="11"/>
  <c r="M85" i="11"/>
  <c r="M66" i="11"/>
  <c r="M58" i="11"/>
  <c r="M102" i="11"/>
  <c r="M45" i="11"/>
  <c r="M35" i="11"/>
  <c r="M76" i="11"/>
  <c r="M86" i="11"/>
  <c r="M82" i="11"/>
  <c r="M67" i="11"/>
  <c r="M59" i="11"/>
  <c r="M50" i="11"/>
  <c r="M80" i="11"/>
  <c r="M46" i="11"/>
  <c r="M44" i="11"/>
  <c r="M103" i="11"/>
  <c r="M101" i="11"/>
  <c r="M48" i="11"/>
  <c r="M99" i="11"/>
  <c r="M95" i="11"/>
  <c r="M100" i="11"/>
  <c r="M64" i="11"/>
  <c r="M53" i="11"/>
  <c r="M42" i="11"/>
  <c r="M79" i="11"/>
  <c r="M62" i="11"/>
  <c r="M75" i="11"/>
  <c r="M39" i="11"/>
  <c r="M60" i="11"/>
  <c r="M52" i="11"/>
  <c r="M61" i="11"/>
  <c r="M57" i="11"/>
  <c r="M92" i="11"/>
  <c r="M96" i="11"/>
  <c r="M90" i="11"/>
  <c r="M55" i="11"/>
  <c r="M98" i="11"/>
  <c r="M68" i="11"/>
  <c r="M43" i="11"/>
  <c r="M41" i="11"/>
  <c r="M37" i="11"/>
  <c r="M40" i="11"/>
  <c r="M54" i="11"/>
  <c r="M88" i="11"/>
  <c r="M74" i="11"/>
  <c r="M71" i="11"/>
  <c r="M73" i="11"/>
  <c r="M70" i="11"/>
  <c r="M36" i="11"/>
  <c r="M91" i="11"/>
  <c r="M89" i="11"/>
  <c r="P93" i="17"/>
  <c r="P37" i="17"/>
  <c r="P102" i="17"/>
  <c r="P82" i="17"/>
  <c r="P79" i="17"/>
  <c r="P60" i="17"/>
  <c r="P46" i="17"/>
  <c r="P36" i="17"/>
  <c r="P59" i="17"/>
  <c r="P95" i="17"/>
  <c r="P91" i="17"/>
  <c r="P68" i="17"/>
  <c r="P57" i="17"/>
  <c r="P50" i="17"/>
  <c r="P100" i="17"/>
  <c r="P94" i="17"/>
  <c r="P90" i="17"/>
  <c r="P77" i="17"/>
  <c r="P64" i="17"/>
  <c r="P35" i="17"/>
  <c r="P58" i="17"/>
  <c r="P51" i="17"/>
  <c r="P49" i="17"/>
  <c r="P47" i="17"/>
  <c r="P86" i="17"/>
  <c r="P84" i="17"/>
  <c r="P45" i="17"/>
  <c r="P96" i="17"/>
  <c r="P83" i="17"/>
  <c r="P70" i="17"/>
  <c r="P62" i="17"/>
  <c r="P98" i="17"/>
  <c r="P85" i="17"/>
  <c r="P66" i="17"/>
  <c r="P89" i="17"/>
  <c r="P87" i="17"/>
  <c r="P61" i="17"/>
  <c r="P55" i="17"/>
  <c r="P92" i="17"/>
  <c r="P88" i="17"/>
  <c r="P71" i="17"/>
  <c r="P97" i="17"/>
  <c r="P67" i="17"/>
  <c r="P81" i="17"/>
  <c r="P38" i="17"/>
  <c r="P74" i="17"/>
  <c r="P44" i="17"/>
  <c r="P75" i="17"/>
  <c r="P52" i="17"/>
  <c r="P99" i="17"/>
  <c r="P48" i="17"/>
  <c r="P53" i="17"/>
  <c r="P76" i="17"/>
  <c r="P54" i="17"/>
  <c r="P78" i="17"/>
  <c r="P40" i="17"/>
  <c r="P41" i="17"/>
  <c r="P39" i="17"/>
  <c r="P103" i="17"/>
  <c r="P72" i="17"/>
  <c r="P80" i="17"/>
  <c r="P56" i="17"/>
  <c r="P43" i="17"/>
  <c r="P42" i="17"/>
  <c r="P34" i="17"/>
  <c r="P101" i="17"/>
  <c r="P63" i="17"/>
  <c r="P73" i="17"/>
  <c r="M99" i="29"/>
  <c r="M76" i="29"/>
  <c r="M53" i="29"/>
  <c r="M95" i="29"/>
  <c r="M72" i="29"/>
  <c r="M63" i="29"/>
  <c r="M49" i="29"/>
  <c r="M39" i="29"/>
  <c r="M86" i="29"/>
  <c r="M81" i="29"/>
  <c r="M40" i="29"/>
  <c r="M79" i="29"/>
  <c r="M48" i="29"/>
  <c r="M36" i="29"/>
  <c r="M102" i="29"/>
  <c r="M87" i="29"/>
  <c r="M78" i="29"/>
  <c r="M42" i="29"/>
  <c r="M85" i="29"/>
  <c r="M54" i="29"/>
  <c r="M41" i="29"/>
  <c r="M37" i="29"/>
  <c r="M100" i="29"/>
  <c r="M83" i="29"/>
  <c r="M61" i="29"/>
  <c r="M98" i="29"/>
  <c r="M74" i="29"/>
  <c r="M96" i="29"/>
  <c r="M77" i="29"/>
  <c r="M75" i="29"/>
  <c r="M73" i="29"/>
  <c r="M92" i="29"/>
  <c r="M71" i="29"/>
  <c r="M56" i="29"/>
  <c r="M34" i="29"/>
  <c r="M82" i="29"/>
  <c r="M70" i="29"/>
  <c r="M90" i="29"/>
  <c r="M84" i="29"/>
  <c r="M67" i="29"/>
  <c r="M97" i="29"/>
  <c r="M93" i="29"/>
  <c r="M68" i="29"/>
  <c r="M62" i="29"/>
  <c r="M60" i="29"/>
  <c r="M46" i="29"/>
  <c r="M38" i="29"/>
  <c r="M51" i="29"/>
  <c r="M45" i="29"/>
  <c r="M66" i="29"/>
  <c r="M64" i="29"/>
  <c r="M58" i="29"/>
  <c r="M44" i="29"/>
  <c r="M50" i="29"/>
  <c r="M80" i="29"/>
  <c r="M57" i="29"/>
  <c r="M43" i="29"/>
  <c r="M91" i="29"/>
  <c r="M89" i="29"/>
  <c r="M94" i="29"/>
  <c r="M88" i="29"/>
  <c r="M59" i="29"/>
  <c r="M47" i="29"/>
  <c r="M101" i="29"/>
  <c r="M52" i="29"/>
  <c r="M35" i="29"/>
  <c r="M55" i="29"/>
  <c r="M103" i="29"/>
  <c r="N96" i="11"/>
  <c r="N103" i="11"/>
  <c r="N83" i="11"/>
  <c r="N80" i="11"/>
  <c r="N75" i="11"/>
  <c r="N97" i="11"/>
  <c r="N84" i="11"/>
  <c r="N72" i="11"/>
  <c r="N34" i="11"/>
  <c r="N95" i="11"/>
  <c r="N82" i="11"/>
  <c r="N79" i="11"/>
  <c r="N49" i="11"/>
  <c r="N39" i="11"/>
  <c r="N63" i="11"/>
  <c r="N47" i="11"/>
  <c r="N91" i="11"/>
  <c r="N54" i="11"/>
  <c r="N85" i="11"/>
  <c r="N66" i="11"/>
  <c r="N58" i="11"/>
  <c r="N102" i="11"/>
  <c r="N45" i="11"/>
  <c r="N35" i="11"/>
  <c r="N76" i="11"/>
  <c r="N100" i="11"/>
  <c r="N43" i="11"/>
  <c r="N48" i="11"/>
  <c r="N46" i="11"/>
  <c r="N44" i="11"/>
  <c r="N101" i="11"/>
  <c r="N99" i="11"/>
  <c r="N78" i="11"/>
  <c r="N93" i="11"/>
  <c r="N50" i="11"/>
  <c r="N81" i="11"/>
  <c r="N52" i="11"/>
  <c r="N41" i="11"/>
  <c r="N62" i="11"/>
  <c r="N77" i="11"/>
  <c r="N60" i="11"/>
  <c r="N38" i="11"/>
  <c r="N73" i="11"/>
  <c r="N71" i="11"/>
  <c r="N87" i="11"/>
  <c r="N53" i="11"/>
  <c r="N51" i="11"/>
  <c r="N61" i="11"/>
  <c r="N59" i="11"/>
  <c r="N57" i="11"/>
  <c r="N92" i="11"/>
  <c r="N94" i="11"/>
  <c r="N90" i="11"/>
  <c r="N55" i="11"/>
  <c r="N98" i="11"/>
  <c r="N88" i="11"/>
  <c r="N86" i="11"/>
  <c r="N64" i="11"/>
  <c r="N42" i="11"/>
  <c r="N40" i="11"/>
  <c r="N36" i="11"/>
  <c r="N74" i="11"/>
  <c r="N56" i="11"/>
  <c r="N67" i="11"/>
  <c r="N70" i="11"/>
  <c r="N68" i="11"/>
  <c r="N37" i="11"/>
  <c r="N89" i="11"/>
  <c r="N89" i="27"/>
  <c r="N43" i="27"/>
  <c r="N35" i="27"/>
  <c r="N85" i="27"/>
  <c r="N91" i="27"/>
  <c r="N75" i="27"/>
  <c r="N50" i="27"/>
  <c r="N37" i="27"/>
  <c r="N73" i="27"/>
  <c r="N62" i="27"/>
  <c r="N64" i="27"/>
  <c r="N57" i="27"/>
  <c r="N48" i="27"/>
  <c r="N97" i="27"/>
  <c r="N82" i="27"/>
  <c r="N95" i="27"/>
  <c r="N34" i="27"/>
  <c r="N80" i="27"/>
  <c r="N41" i="27"/>
  <c r="N87" i="27"/>
  <c r="N78" i="27"/>
  <c r="N76" i="27"/>
  <c r="N61" i="27"/>
  <c r="N83" i="27"/>
  <c r="N74" i="27"/>
  <c r="N72" i="27"/>
  <c r="N36" i="27"/>
  <c r="N90" i="27"/>
  <c r="N88" i="27"/>
  <c r="N81" i="27"/>
  <c r="N55" i="27"/>
  <c r="N101" i="27"/>
  <c r="N42" i="27"/>
  <c r="N40" i="27"/>
  <c r="N77" i="27"/>
  <c r="N56" i="27"/>
  <c r="N54" i="27"/>
  <c r="N79" i="27"/>
  <c r="N67" i="27"/>
  <c r="N51" i="27"/>
  <c r="N49" i="27"/>
  <c r="N47" i="27"/>
  <c r="N102" i="27"/>
  <c r="N100" i="27"/>
  <c r="N98" i="27"/>
  <c r="N96" i="27"/>
  <c r="N94" i="27"/>
  <c r="N60" i="27"/>
  <c r="N92" i="27"/>
  <c r="N71" i="27"/>
  <c r="N70" i="27"/>
  <c r="N46" i="27"/>
  <c r="N52" i="27"/>
  <c r="N99" i="27"/>
  <c r="N59" i="27"/>
  <c r="N39" i="27"/>
  <c r="N38" i="27"/>
  <c r="N44" i="27"/>
  <c r="N45" i="27"/>
  <c r="N103" i="27"/>
  <c r="N53" i="27"/>
  <c r="N63" i="27"/>
  <c r="N66" i="27"/>
  <c r="N86" i="27"/>
  <c r="N84" i="27"/>
  <c r="N93" i="27"/>
  <c r="N58" i="27"/>
  <c r="N68" i="27"/>
  <c r="N92" i="26"/>
  <c r="N60" i="26"/>
  <c r="N46" i="26"/>
  <c r="N36" i="26"/>
  <c r="N88" i="26"/>
  <c r="N52" i="26"/>
  <c r="N102" i="26"/>
  <c r="N73" i="26"/>
  <c r="N44" i="26"/>
  <c r="N100" i="26"/>
  <c r="N87" i="26"/>
  <c r="N71" i="26"/>
  <c r="N34" i="26"/>
  <c r="N74" i="26"/>
  <c r="N68" i="26"/>
  <c r="N61" i="26"/>
  <c r="N41" i="26"/>
  <c r="N48" i="26"/>
  <c r="N72" i="26"/>
  <c r="N96" i="26"/>
  <c r="N66" i="26"/>
  <c r="N103" i="26"/>
  <c r="N101" i="26"/>
  <c r="N77" i="26"/>
  <c r="N82" i="26"/>
  <c r="N39" i="26"/>
  <c r="N99" i="26"/>
  <c r="N97" i="26"/>
  <c r="N95" i="26"/>
  <c r="N38" i="26"/>
  <c r="N85" i="26"/>
  <c r="N55" i="26"/>
  <c r="N93" i="26"/>
  <c r="N80" i="26"/>
  <c r="N64" i="26"/>
  <c r="N89" i="26"/>
  <c r="N49" i="26"/>
  <c r="N47" i="26"/>
  <c r="N45" i="26"/>
  <c r="N43" i="26"/>
  <c r="N37" i="26"/>
  <c r="N83" i="26"/>
  <c r="N62" i="26"/>
  <c r="N58" i="26"/>
  <c r="N42" i="26"/>
  <c r="N40" i="26"/>
  <c r="N81" i="26"/>
  <c r="N70" i="26"/>
  <c r="N54" i="26"/>
  <c r="N35" i="26"/>
  <c r="N98" i="26"/>
  <c r="N56" i="26"/>
  <c r="N50" i="26"/>
  <c r="N78" i="26"/>
  <c r="N76" i="26"/>
  <c r="N63" i="26"/>
  <c r="N57" i="26"/>
  <c r="N91" i="26"/>
  <c r="N75" i="26"/>
  <c r="N79" i="26"/>
  <c r="N94" i="26"/>
  <c r="N90" i="26"/>
  <c r="N86" i="26"/>
  <c r="N84" i="26"/>
  <c r="N59" i="26"/>
  <c r="N67" i="26"/>
  <c r="N53" i="26"/>
  <c r="N51" i="26"/>
  <c r="O102" i="62"/>
  <c r="O100" i="62"/>
  <c r="O103" i="62"/>
  <c r="O94" i="62"/>
  <c r="O92" i="62"/>
  <c r="O57" i="62"/>
  <c r="O74" i="62"/>
  <c r="O72" i="62"/>
  <c r="O52" i="62"/>
  <c r="O63" i="62"/>
  <c r="O42" i="62"/>
  <c r="O80" i="62"/>
  <c r="O56" i="62"/>
  <c r="O59" i="62"/>
  <c r="O97" i="62"/>
  <c r="O95" i="62"/>
  <c r="O38" i="62"/>
  <c r="O87" i="62"/>
  <c r="O85" i="62"/>
  <c r="O78" i="62"/>
  <c r="O67" i="62"/>
  <c r="O48" i="62"/>
  <c r="O46" i="62"/>
  <c r="O44" i="62"/>
  <c r="O71" i="62"/>
  <c r="O70" i="62"/>
  <c r="O73" i="62"/>
  <c r="O66" i="62"/>
  <c r="O81" i="62"/>
  <c r="O35" i="62"/>
  <c r="O84" i="62"/>
  <c r="O54" i="62"/>
  <c r="O37" i="62"/>
  <c r="O36" i="62"/>
  <c r="O83" i="62"/>
  <c r="O45" i="62"/>
  <c r="O82" i="62"/>
  <c r="O68" i="62"/>
  <c r="O41" i="62"/>
  <c r="O40" i="62"/>
  <c r="O34" i="62"/>
  <c r="O76" i="62"/>
  <c r="O88" i="62"/>
  <c r="O86" i="62"/>
  <c r="O75" i="62"/>
  <c r="O39" i="62"/>
  <c r="O62" i="62"/>
  <c r="O64" i="62"/>
  <c r="O60" i="62"/>
  <c r="O43" i="62"/>
  <c r="O96" i="62"/>
  <c r="O55" i="62"/>
  <c r="O98" i="62"/>
  <c r="O93" i="62"/>
  <c r="O89" i="62"/>
  <c r="O50" i="62"/>
  <c r="O79" i="62"/>
  <c r="O90" i="62"/>
  <c r="O61" i="62"/>
  <c r="O101" i="62"/>
  <c r="O51" i="62"/>
  <c r="O91" i="62"/>
  <c r="O53" i="62"/>
  <c r="O77" i="62"/>
  <c r="O58" i="62"/>
  <c r="O47" i="62"/>
  <c r="O49" i="62"/>
  <c r="O99" i="62"/>
  <c r="N85" i="99"/>
  <c r="N101" i="99"/>
  <c r="N78" i="99"/>
  <c r="N67" i="99"/>
  <c r="N99" i="99"/>
  <c r="N68" i="99"/>
  <c r="N61" i="99"/>
  <c r="N54" i="99"/>
  <c r="N97" i="99"/>
  <c r="N84" i="99"/>
  <c r="N81" i="99"/>
  <c r="N42" i="99"/>
  <c r="N92" i="99"/>
  <c r="N48" i="99"/>
  <c r="N34" i="99"/>
  <c r="N93" i="99"/>
  <c r="N91" i="99"/>
  <c r="N45" i="99"/>
  <c r="N87" i="99"/>
  <c r="N80" i="99"/>
  <c r="N40" i="99"/>
  <c r="N83" i="99"/>
  <c r="N66" i="99"/>
  <c r="N46" i="99"/>
  <c r="N44" i="99"/>
  <c r="N77" i="99"/>
  <c r="N47" i="99"/>
  <c r="N36" i="99"/>
  <c r="N98" i="99"/>
  <c r="N86" i="99"/>
  <c r="N96" i="99"/>
  <c r="N90" i="99"/>
  <c r="N88" i="99"/>
  <c r="N73" i="99"/>
  <c r="N71" i="99"/>
  <c r="N56" i="99"/>
  <c r="N57" i="99"/>
  <c r="N55" i="99"/>
  <c r="N63" i="99"/>
  <c r="N82" i="99"/>
  <c r="N100" i="99"/>
  <c r="N38" i="99"/>
  <c r="N74" i="99"/>
  <c r="N62" i="99"/>
  <c r="N60" i="99"/>
  <c r="N58" i="99"/>
  <c r="N39" i="99"/>
  <c r="N94" i="99"/>
  <c r="N35" i="99"/>
  <c r="N89" i="99"/>
  <c r="N75" i="99"/>
  <c r="N95" i="99"/>
  <c r="N59" i="99"/>
  <c r="N37" i="99"/>
  <c r="N49" i="99"/>
  <c r="N53" i="99"/>
  <c r="N52" i="99"/>
  <c r="N70" i="99"/>
  <c r="N51" i="99"/>
  <c r="N64" i="99"/>
  <c r="N76" i="99"/>
  <c r="N50" i="99"/>
  <c r="N72" i="99"/>
  <c r="N43" i="99"/>
  <c r="N41" i="99"/>
  <c r="N79" i="99"/>
  <c r="N103" i="99"/>
  <c r="N102" i="99"/>
  <c r="M101" i="85"/>
  <c r="M90" i="85"/>
  <c r="M73" i="85"/>
  <c r="M63" i="85"/>
  <c r="M99" i="85"/>
  <c r="M84" i="85"/>
  <c r="M81" i="85"/>
  <c r="M52" i="85"/>
  <c r="M64" i="85"/>
  <c r="M40" i="85"/>
  <c r="M98" i="85"/>
  <c r="M96" i="85"/>
  <c r="M48" i="85"/>
  <c r="M36" i="85"/>
  <c r="M102" i="85"/>
  <c r="M100" i="85"/>
  <c r="M94" i="85"/>
  <c r="M53" i="85"/>
  <c r="M42" i="85"/>
  <c r="M76" i="85"/>
  <c r="M74" i="85"/>
  <c r="M41" i="85"/>
  <c r="M97" i="85"/>
  <c r="M85" i="85"/>
  <c r="M83" i="85"/>
  <c r="M67" i="85"/>
  <c r="M103" i="85"/>
  <c r="M77" i="85"/>
  <c r="M68" i="85"/>
  <c r="M50" i="85"/>
  <c r="M72" i="85"/>
  <c r="M89" i="85"/>
  <c r="M82" i="85"/>
  <c r="M88" i="85"/>
  <c r="M71" i="85"/>
  <c r="M70" i="85"/>
  <c r="M51" i="85"/>
  <c r="M49" i="85"/>
  <c r="M47" i="85"/>
  <c r="M45" i="85"/>
  <c r="M43" i="85"/>
  <c r="M95" i="85"/>
  <c r="M35" i="85"/>
  <c r="M92" i="85"/>
  <c r="M66" i="85"/>
  <c r="M62" i="85"/>
  <c r="M39" i="85"/>
  <c r="M38" i="85"/>
  <c r="M91" i="85"/>
  <c r="M86" i="85"/>
  <c r="M44" i="85"/>
  <c r="M46" i="85"/>
  <c r="M59" i="85"/>
  <c r="M57" i="85"/>
  <c r="M58" i="85"/>
  <c r="M80" i="85"/>
  <c r="M55" i="85"/>
  <c r="M37" i="85"/>
  <c r="M56" i="85"/>
  <c r="M60" i="85"/>
  <c r="M93" i="85"/>
  <c r="M75" i="85"/>
  <c r="M79" i="85"/>
  <c r="M61" i="85"/>
  <c r="M78" i="85"/>
  <c r="M34" i="85"/>
  <c r="M87" i="85"/>
  <c r="M54" i="85"/>
  <c r="M100" i="64"/>
  <c r="M77" i="64"/>
  <c r="M89" i="64"/>
  <c r="M62" i="64"/>
  <c r="M98" i="64"/>
  <c r="M75" i="64"/>
  <c r="M55" i="64"/>
  <c r="M96" i="64"/>
  <c r="M73" i="64"/>
  <c r="M53" i="64"/>
  <c r="M85" i="64"/>
  <c r="M68" i="64"/>
  <c r="M58" i="64"/>
  <c r="M52" i="64"/>
  <c r="M46" i="64"/>
  <c r="M83" i="64"/>
  <c r="M80" i="64"/>
  <c r="M70" i="64"/>
  <c r="M66" i="64"/>
  <c r="M44" i="64"/>
  <c r="M39" i="64"/>
  <c r="M93" i="64"/>
  <c r="M91" i="64"/>
  <c r="M51" i="64"/>
  <c r="M35" i="64"/>
  <c r="M102" i="64"/>
  <c r="M78" i="64"/>
  <c r="M76" i="64"/>
  <c r="M74" i="64"/>
  <c r="M64" i="64"/>
  <c r="M37" i="64"/>
  <c r="M41" i="64"/>
  <c r="M34" i="64"/>
  <c r="M67" i="64"/>
  <c r="M47" i="64"/>
  <c r="M45" i="64"/>
  <c r="M99" i="64"/>
  <c r="M97" i="64"/>
  <c r="M48" i="64"/>
  <c r="M94" i="64"/>
  <c r="M92" i="64"/>
  <c r="M90" i="64"/>
  <c r="M88" i="64"/>
  <c r="M81" i="64"/>
  <c r="M38" i="64"/>
  <c r="M86" i="64"/>
  <c r="M84" i="64"/>
  <c r="M79" i="64"/>
  <c r="M82" i="64"/>
  <c r="M95" i="64"/>
  <c r="M87" i="64"/>
  <c r="M56" i="64"/>
  <c r="M54" i="64"/>
  <c r="M63" i="64"/>
  <c r="M61" i="64"/>
  <c r="M43" i="64"/>
  <c r="M59" i="64"/>
  <c r="M49" i="64"/>
  <c r="M71" i="64"/>
  <c r="M60" i="64"/>
  <c r="M36" i="64"/>
  <c r="M103" i="64"/>
  <c r="M57" i="64"/>
  <c r="M72" i="64"/>
  <c r="M50" i="64"/>
  <c r="M40" i="64"/>
  <c r="M42" i="64"/>
  <c r="M101" i="64"/>
  <c r="M89" i="19"/>
  <c r="M56" i="19"/>
  <c r="M87" i="19"/>
  <c r="M54" i="19"/>
  <c r="M35" i="19"/>
  <c r="M95" i="19"/>
  <c r="M93" i="19"/>
  <c r="M91" i="19"/>
  <c r="M75" i="19"/>
  <c r="M37" i="19"/>
  <c r="M73" i="19"/>
  <c r="M48" i="19"/>
  <c r="M36" i="19"/>
  <c r="M101" i="19"/>
  <c r="M67" i="19"/>
  <c r="M59" i="19"/>
  <c r="M50" i="19"/>
  <c r="M34" i="19"/>
  <c r="M97" i="19"/>
  <c r="M77" i="19"/>
  <c r="M57" i="19"/>
  <c r="M44" i="19"/>
  <c r="M100" i="19"/>
  <c r="M86" i="19"/>
  <c r="M39" i="19"/>
  <c r="M81" i="19"/>
  <c r="M55" i="19"/>
  <c r="M38" i="19"/>
  <c r="M83" i="19"/>
  <c r="M63" i="19"/>
  <c r="M61" i="19"/>
  <c r="M53" i="19"/>
  <c r="M82" i="19"/>
  <c r="M70" i="19"/>
  <c r="M41" i="19"/>
  <c r="M66" i="19"/>
  <c r="M46" i="19"/>
  <c r="M51" i="19"/>
  <c r="M49" i="19"/>
  <c r="M47" i="19"/>
  <c r="M79" i="19"/>
  <c r="M62" i="19"/>
  <c r="M60" i="19"/>
  <c r="M58" i="19"/>
  <c r="M92" i="19"/>
  <c r="M71" i="19"/>
  <c r="M102" i="19"/>
  <c r="M94" i="19"/>
  <c r="M90" i="19"/>
  <c r="M88" i="19"/>
  <c r="M80" i="19"/>
  <c r="M103" i="19"/>
  <c r="M76" i="19"/>
  <c r="M74" i="19"/>
  <c r="M72" i="19"/>
  <c r="M45" i="19"/>
  <c r="M43" i="19"/>
  <c r="M98" i="19"/>
  <c r="M96" i="19"/>
  <c r="M40" i="19"/>
  <c r="M99" i="19"/>
  <c r="M42" i="19"/>
  <c r="M84" i="19"/>
  <c r="M52" i="19"/>
  <c r="M64" i="19"/>
  <c r="M85" i="19"/>
  <c r="M68" i="19"/>
  <c r="M78" i="19"/>
  <c r="N90" i="40"/>
  <c r="N86" i="40"/>
  <c r="N55" i="40"/>
  <c r="N91" i="40"/>
  <c r="N73" i="40"/>
  <c r="N64" i="40"/>
  <c r="N57" i="40"/>
  <c r="N43" i="40"/>
  <c r="N37" i="40"/>
  <c r="N70" i="40"/>
  <c r="N68" i="40"/>
  <c r="N97" i="40"/>
  <c r="N95" i="40"/>
  <c r="N53" i="40"/>
  <c r="N93" i="40"/>
  <c r="N51" i="40"/>
  <c r="N49" i="40"/>
  <c r="N35" i="40"/>
  <c r="N83" i="40"/>
  <c r="N80" i="40"/>
  <c r="N63" i="40"/>
  <c r="N50" i="40"/>
  <c r="N61" i="40"/>
  <c r="N34" i="40"/>
  <c r="N42" i="40"/>
  <c r="N58" i="40"/>
  <c r="N36" i="40"/>
  <c r="N62" i="40"/>
  <c r="N60" i="40"/>
  <c r="N47" i="40"/>
  <c r="N45" i="40"/>
  <c r="N52" i="40"/>
  <c r="N102" i="40"/>
  <c r="N94" i="40"/>
  <c r="N78" i="40"/>
  <c r="N76" i="40"/>
  <c r="N72" i="40"/>
  <c r="N38" i="40"/>
  <c r="N96" i="40"/>
  <c r="N74" i="40"/>
  <c r="N67" i="40"/>
  <c r="N56" i="40"/>
  <c r="N54" i="40"/>
  <c r="N48" i="40"/>
  <c r="N103" i="40"/>
  <c r="N88" i="40"/>
  <c r="N99" i="40"/>
  <c r="N40" i="40"/>
  <c r="N101" i="40"/>
  <c r="N87" i="40"/>
  <c r="N79" i="40"/>
  <c r="N82" i="40"/>
  <c r="N98" i="40"/>
  <c r="N84" i="40"/>
  <c r="N59" i="40"/>
  <c r="N100" i="40"/>
  <c r="N66" i="40"/>
  <c r="N75" i="40"/>
  <c r="N81" i="40"/>
  <c r="N39" i="40"/>
  <c r="N41" i="40"/>
  <c r="N92" i="40"/>
  <c r="N85" i="40"/>
  <c r="N89" i="40"/>
  <c r="N71" i="40"/>
  <c r="N46" i="40"/>
  <c r="N44" i="40"/>
  <c r="N77" i="40"/>
  <c r="M84" i="18"/>
  <c r="M81" i="18"/>
  <c r="M34" i="18"/>
  <c r="M93" i="18"/>
  <c r="M74" i="18"/>
  <c r="M49" i="18"/>
  <c r="M39" i="18"/>
  <c r="M94" i="18"/>
  <c r="M92" i="18"/>
  <c r="M58" i="18"/>
  <c r="M51" i="18"/>
  <c r="M101" i="18"/>
  <c r="M56" i="18"/>
  <c r="M35" i="18"/>
  <c r="M88" i="18"/>
  <c r="M45" i="18"/>
  <c r="M86" i="18"/>
  <c r="M79" i="18"/>
  <c r="M67" i="18"/>
  <c r="M99" i="18"/>
  <c r="M57" i="18"/>
  <c r="M77" i="18"/>
  <c r="M55" i="18"/>
  <c r="M38" i="18"/>
  <c r="M61" i="18"/>
  <c r="M102" i="18"/>
  <c r="M72" i="18"/>
  <c r="M59" i="18"/>
  <c r="M96" i="18"/>
  <c r="M53" i="18"/>
  <c r="M40" i="18"/>
  <c r="M36" i="18"/>
  <c r="M54" i="18"/>
  <c r="M48" i="18"/>
  <c r="M44" i="18"/>
  <c r="M62" i="18"/>
  <c r="M60" i="18"/>
  <c r="M50" i="18"/>
  <c r="M46" i="18"/>
  <c r="M63" i="18"/>
  <c r="M97" i="18"/>
  <c r="M83" i="18"/>
  <c r="M76" i="18"/>
  <c r="M68" i="18"/>
  <c r="M73" i="18"/>
  <c r="M71" i="18"/>
  <c r="M66" i="18"/>
  <c r="M52" i="18"/>
  <c r="M75" i="18"/>
  <c r="M70" i="18"/>
  <c r="M80" i="18"/>
  <c r="M95" i="18"/>
  <c r="M87" i="18"/>
  <c r="M85" i="18"/>
  <c r="M43" i="18"/>
  <c r="M42" i="18"/>
  <c r="M37" i="18"/>
  <c r="M64" i="18"/>
  <c r="M41" i="18"/>
  <c r="M78" i="18"/>
  <c r="M82" i="18"/>
  <c r="M103" i="18"/>
  <c r="M98" i="18"/>
  <c r="M100" i="18"/>
  <c r="M91" i="18"/>
  <c r="M89" i="18"/>
  <c r="M47" i="18"/>
  <c r="M90" i="18"/>
  <c r="N89" i="64"/>
  <c r="N62" i="64"/>
  <c r="N98" i="64"/>
  <c r="N75" i="64"/>
  <c r="N55" i="64"/>
  <c r="N103" i="64"/>
  <c r="N87" i="64"/>
  <c r="N60" i="64"/>
  <c r="N48" i="64"/>
  <c r="N85" i="64"/>
  <c r="N68" i="64"/>
  <c r="N58" i="64"/>
  <c r="N52" i="64"/>
  <c r="N46" i="64"/>
  <c r="N94" i="64"/>
  <c r="N71" i="64"/>
  <c r="N51" i="64"/>
  <c r="N38" i="64"/>
  <c r="N92" i="64"/>
  <c r="N49" i="64"/>
  <c r="N34" i="64"/>
  <c r="N91" i="64"/>
  <c r="N35" i="64"/>
  <c r="N76" i="64"/>
  <c r="N74" i="64"/>
  <c r="N64" i="64"/>
  <c r="N37" i="64"/>
  <c r="N72" i="64"/>
  <c r="N42" i="64"/>
  <c r="N40" i="64"/>
  <c r="N36" i="64"/>
  <c r="N67" i="64"/>
  <c r="N47" i="64"/>
  <c r="N45" i="64"/>
  <c r="N43" i="64"/>
  <c r="N95" i="64"/>
  <c r="N96" i="64"/>
  <c r="N86" i="64"/>
  <c r="N84" i="64"/>
  <c r="N79" i="64"/>
  <c r="N53" i="64"/>
  <c r="N100" i="64"/>
  <c r="N82" i="64"/>
  <c r="N77" i="64"/>
  <c r="N39" i="64"/>
  <c r="N101" i="64"/>
  <c r="N97" i="64"/>
  <c r="N93" i="64"/>
  <c r="N80" i="64"/>
  <c r="N59" i="64"/>
  <c r="N57" i="64"/>
  <c r="N83" i="64"/>
  <c r="N73" i="64"/>
  <c r="N70" i="64"/>
  <c r="N81" i="64"/>
  <c r="N44" i="64"/>
  <c r="N56" i="64"/>
  <c r="N102" i="64"/>
  <c r="N66" i="64"/>
  <c r="N63" i="64"/>
  <c r="N61" i="64"/>
  <c r="N50" i="64"/>
  <c r="N78" i="64"/>
  <c r="N41" i="64"/>
  <c r="N54" i="64"/>
  <c r="N99" i="64"/>
  <c r="N88" i="64"/>
  <c r="N90" i="64"/>
  <c r="M95" i="39"/>
  <c r="M51" i="39"/>
  <c r="M83" i="39"/>
  <c r="M80" i="39"/>
  <c r="M58" i="39"/>
  <c r="M67" i="39"/>
  <c r="M49" i="39"/>
  <c r="M39" i="39"/>
  <c r="M102" i="39"/>
  <c r="M78" i="39"/>
  <c r="M71" i="39"/>
  <c r="M38" i="39"/>
  <c r="M90" i="39"/>
  <c r="M70" i="39"/>
  <c r="M47" i="39"/>
  <c r="M100" i="39"/>
  <c r="M93" i="39"/>
  <c r="M76" i="39"/>
  <c r="M56" i="39"/>
  <c r="M88" i="39"/>
  <c r="M63" i="39"/>
  <c r="M45" i="39"/>
  <c r="M98" i="39"/>
  <c r="M74" i="39"/>
  <c r="M54" i="39"/>
  <c r="M34" i="39"/>
  <c r="M86" i="39"/>
  <c r="M61" i="39"/>
  <c r="M43" i="39"/>
  <c r="M84" i="39"/>
  <c r="M81" i="39"/>
  <c r="M59" i="39"/>
  <c r="M41" i="39"/>
  <c r="M35" i="39"/>
  <c r="M44" i="39"/>
  <c r="M46" i="39"/>
  <c r="M48" i="39"/>
  <c r="M60" i="39"/>
  <c r="M50" i="39"/>
  <c r="M37" i="39"/>
  <c r="M85" i="39"/>
  <c r="M73" i="39"/>
  <c r="M64" i="39"/>
  <c r="M79" i="39"/>
  <c r="M87" i="39"/>
  <c r="M89" i="39"/>
  <c r="M72" i="39"/>
  <c r="M101" i="39"/>
  <c r="M91" i="39"/>
  <c r="M97" i="39"/>
  <c r="M75" i="39"/>
  <c r="M77" i="39"/>
  <c r="M103" i="39"/>
  <c r="M94" i="39"/>
  <c r="M62" i="39"/>
  <c r="M66" i="39"/>
  <c r="M53" i="39"/>
  <c r="M57" i="39"/>
  <c r="M55" i="39"/>
  <c r="M52" i="39"/>
  <c r="M40" i="39"/>
  <c r="M68" i="39"/>
  <c r="M99" i="39"/>
  <c r="M92" i="39"/>
  <c r="M42" i="39"/>
  <c r="M82" i="39"/>
  <c r="M36" i="39"/>
  <c r="M96" i="39"/>
  <c r="N87" i="28"/>
  <c r="N57" i="28"/>
  <c r="N41" i="28"/>
  <c r="N103" i="28"/>
  <c r="N83" i="28"/>
  <c r="N80" i="28"/>
  <c r="N70" i="28"/>
  <c r="N55" i="28"/>
  <c r="N37" i="28"/>
  <c r="N98" i="28"/>
  <c r="N85" i="28"/>
  <c r="N78" i="28"/>
  <c r="N47" i="28"/>
  <c r="N94" i="28"/>
  <c r="N68" i="28"/>
  <c r="N59" i="28"/>
  <c r="N92" i="28"/>
  <c r="N72" i="28"/>
  <c r="N50" i="28"/>
  <c r="N90" i="28"/>
  <c r="N66" i="28"/>
  <c r="N48" i="28"/>
  <c r="N46" i="28"/>
  <c r="N101" i="28"/>
  <c r="N63" i="28"/>
  <c r="N99" i="28"/>
  <c r="N97" i="28"/>
  <c r="N61" i="28"/>
  <c r="N34" i="28"/>
  <c r="N95" i="28"/>
  <c r="N93" i="28"/>
  <c r="N91" i="28"/>
  <c r="N44" i="28"/>
  <c r="N35" i="28"/>
  <c r="N86" i="28"/>
  <c r="N79" i="28"/>
  <c r="N100" i="28"/>
  <c r="N45" i="28"/>
  <c r="N53" i="28"/>
  <c r="N43" i="28"/>
  <c r="N42" i="28"/>
  <c r="N40" i="28"/>
  <c r="N52" i="28"/>
  <c r="N49" i="28"/>
  <c r="N56" i="28"/>
  <c r="N54" i="28"/>
  <c r="N36" i="28"/>
  <c r="N81" i="28"/>
  <c r="N77" i="28"/>
  <c r="N67" i="28"/>
  <c r="N89" i="28"/>
  <c r="N76" i="28"/>
  <c r="N64" i="28"/>
  <c r="N60" i="28"/>
  <c r="N58" i="28"/>
  <c r="N96" i="28"/>
  <c r="N62" i="28"/>
  <c r="N71" i="28"/>
  <c r="N75" i="28"/>
  <c r="N73" i="28"/>
  <c r="N74" i="28"/>
  <c r="N39" i="28"/>
  <c r="N51" i="28"/>
  <c r="N38" i="28"/>
  <c r="N102" i="28"/>
  <c r="N82" i="28"/>
  <c r="N88" i="28"/>
  <c r="N84" i="28"/>
  <c r="M98" i="28"/>
  <c r="M75" i="28"/>
  <c r="M64" i="28"/>
  <c r="M42" i="28"/>
  <c r="M94" i="28"/>
  <c r="M71" i="28"/>
  <c r="M62" i="28"/>
  <c r="M48" i="28"/>
  <c r="M67" i="28"/>
  <c r="M51" i="28"/>
  <c r="M38" i="28"/>
  <c r="M96" i="28"/>
  <c r="M83" i="28"/>
  <c r="M49" i="28"/>
  <c r="M74" i="28"/>
  <c r="M68" i="28"/>
  <c r="M59" i="28"/>
  <c r="M92" i="28"/>
  <c r="M72" i="28"/>
  <c r="M50" i="28"/>
  <c r="M73" i="28"/>
  <c r="M54" i="28"/>
  <c r="M101" i="28"/>
  <c r="M63" i="28"/>
  <c r="M46" i="28"/>
  <c r="M99" i="28"/>
  <c r="M97" i="28"/>
  <c r="M61" i="28"/>
  <c r="M34" i="28"/>
  <c r="M102" i="28"/>
  <c r="M88" i="28"/>
  <c r="M81" i="28"/>
  <c r="M40" i="28"/>
  <c r="M47" i="28"/>
  <c r="M45" i="28"/>
  <c r="M43" i="28"/>
  <c r="M41" i="28"/>
  <c r="M53" i="28"/>
  <c r="M103" i="28"/>
  <c r="M56" i="28"/>
  <c r="M37" i="28"/>
  <c r="M79" i="28"/>
  <c r="M36" i="28"/>
  <c r="M100" i="28"/>
  <c r="M91" i="28"/>
  <c r="M84" i="28"/>
  <c r="M82" i="28"/>
  <c r="M58" i="28"/>
  <c r="M66" i="28"/>
  <c r="M60" i="28"/>
  <c r="M93" i="28"/>
  <c r="M70" i="28"/>
  <c r="M44" i="28"/>
  <c r="M95" i="28"/>
  <c r="M77" i="28"/>
  <c r="M80" i="28"/>
  <c r="M76" i="28"/>
  <c r="M57" i="28"/>
  <c r="M78" i="28"/>
  <c r="M55" i="28"/>
  <c r="M52" i="28"/>
  <c r="M39" i="28"/>
  <c r="M35" i="28"/>
  <c r="M90" i="28"/>
  <c r="M86" i="28"/>
  <c r="M85" i="28"/>
  <c r="M87" i="28"/>
  <c r="M89" i="28"/>
  <c r="O84" i="17"/>
  <c r="O81" i="17"/>
  <c r="O62" i="17"/>
  <c r="O48" i="17"/>
  <c r="O93" i="17"/>
  <c r="O37" i="17"/>
  <c r="O99" i="17"/>
  <c r="O75" i="17"/>
  <c r="O63" i="17"/>
  <c r="O61" i="17"/>
  <c r="O40" i="17"/>
  <c r="O36" i="17"/>
  <c r="O70" i="17"/>
  <c r="O102" i="17"/>
  <c r="O92" i="17"/>
  <c r="O88" i="17"/>
  <c r="O82" i="17"/>
  <c r="O73" i="17"/>
  <c r="O52" i="17"/>
  <c r="O60" i="17"/>
  <c r="O58" i="17"/>
  <c r="O51" i="17"/>
  <c r="O49" i="17"/>
  <c r="O47" i="17"/>
  <c r="O68" i="17"/>
  <c r="O56" i="17"/>
  <c r="O54" i="17"/>
  <c r="O38" i="17"/>
  <c r="O50" i="17"/>
  <c r="O35" i="17"/>
  <c r="O71" i="17"/>
  <c r="O100" i="17"/>
  <c r="O98" i="17"/>
  <c r="O85" i="17"/>
  <c r="O66" i="17"/>
  <c r="O95" i="17"/>
  <c r="O42" i="17"/>
  <c r="O41" i="17"/>
  <c r="O103" i="17"/>
  <c r="O101" i="17"/>
  <c r="O90" i="17"/>
  <c r="O86" i="17"/>
  <c r="O80" i="17"/>
  <c r="O78" i="17"/>
  <c r="O76" i="17"/>
  <c r="O74" i="17"/>
  <c r="O53" i="17"/>
  <c r="O91" i="17"/>
  <c r="O97" i="17"/>
  <c r="O67" i="17"/>
  <c r="O87" i="17"/>
  <c r="O55" i="17"/>
  <c r="O46" i="17"/>
  <c r="O94" i="17"/>
  <c r="O64" i="17"/>
  <c r="O77" i="17"/>
  <c r="O79" i="17"/>
  <c r="O83" i="17"/>
  <c r="O72" i="17"/>
  <c r="O43" i="17"/>
  <c r="O34" i="17"/>
  <c r="O57" i="17"/>
  <c r="O44" i="17"/>
  <c r="O89" i="17"/>
  <c r="O59" i="17"/>
  <c r="O39" i="17"/>
  <c r="O45" i="17"/>
  <c r="O96" i="17"/>
  <c r="N103" i="22"/>
  <c r="N85" i="22"/>
  <c r="N56" i="22"/>
  <c r="N38" i="22"/>
  <c r="N92" i="22"/>
  <c r="N96" i="22"/>
  <c r="N83" i="22"/>
  <c r="N41" i="22"/>
  <c r="N48" i="22"/>
  <c r="N36" i="22"/>
  <c r="N90" i="22"/>
  <c r="N68" i="22"/>
  <c r="N81" i="22"/>
  <c r="N72" i="22"/>
  <c r="N101" i="22"/>
  <c r="N86" i="22"/>
  <c r="N79" i="22"/>
  <c r="N43" i="22"/>
  <c r="N99" i="22"/>
  <c r="N61" i="22"/>
  <c r="N37" i="22"/>
  <c r="N77" i="22"/>
  <c r="N87" i="22"/>
  <c r="N73" i="22"/>
  <c r="N64" i="22"/>
  <c r="N44" i="22"/>
  <c r="N89" i="22"/>
  <c r="N76" i="22"/>
  <c r="N63" i="22"/>
  <c r="N59" i="22"/>
  <c r="N74" i="22"/>
  <c r="N50" i="22"/>
  <c r="N46" i="22"/>
  <c r="N39" i="22"/>
  <c r="N35" i="22"/>
  <c r="N82" i="22"/>
  <c r="N71" i="22"/>
  <c r="N62" i="22"/>
  <c r="N60" i="22"/>
  <c r="N52" i="22"/>
  <c r="N88" i="22"/>
  <c r="N84" i="22"/>
  <c r="N75" i="22"/>
  <c r="N70" i="22"/>
  <c r="N51" i="22"/>
  <c r="N47" i="22"/>
  <c r="N80" i="22"/>
  <c r="N34" i="22"/>
  <c r="N54" i="22"/>
  <c r="N57" i="22"/>
  <c r="N78" i="22"/>
  <c r="N93" i="22"/>
  <c r="N91" i="22"/>
  <c r="N97" i="22"/>
  <c r="N95" i="22"/>
  <c r="N58" i="22"/>
  <c r="N66" i="22"/>
  <c r="N100" i="22"/>
  <c r="N98" i="22"/>
  <c r="N94" i="22"/>
  <c r="N45" i="22"/>
  <c r="N42" i="22"/>
  <c r="N40" i="22"/>
  <c r="N53" i="22"/>
  <c r="N49" i="22"/>
  <c r="N55" i="22"/>
  <c r="N67" i="22"/>
  <c r="N102" i="22"/>
  <c r="M84" i="61"/>
  <c r="M81" i="61"/>
  <c r="M74" i="61"/>
  <c r="M58" i="61"/>
  <c r="M52" i="61"/>
  <c r="M44" i="61"/>
  <c r="M93" i="61"/>
  <c r="M51" i="61"/>
  <c r="M34" i="61"/>
  <c r="M91" i="61"/>
  <c r="M49" i="61"/>
  <c r="M38" i="61"/>
  <c r="M87" i="61"/>
  <c r="M67" i="61"/>
  <c r="M61" i="61"/>
  <c r="M47" i="61"/>
  <c r="M96" i="61"/>
  <c r="M76" i="61"/>
  <c r="M42" i="61"/>
  <c r="M94" i="61"/>
  <c r="M92" i="61"/>
  <c r="M45" i="61"/>
  <c r="M41" i="61"/>
  <c r="M72" i="61"/>
  <c r="M37" i="61"/>
  <c r="M88" i="61"/>
  <c r="M56" i="61"/>
  <c r="M36" i="61"/>
  <c r="M101" i="61"/>
  <c r="M50" i="61"/>
  <c r="M73" i="61"/>
  <c r="M71" i="61"/>
  <c r="M70" i="61"/>
  <c r="M68" i="61"/>
  <c r="M62" i="61"/>
  <c r="M60" i="61"/>
  <c r="M80" i="61"/>
  <c r="M66" i="61"/>
  <c r="M39" i="61"/>
  <c r="M35" i="61"/>
  <c r="M77" i="61"/>
  <c r="M48" i="61"/>
  <c r="M46" i="61"/>
  <c r="M90" i="61"/>
  <c r="M86" i="61"/>
  <c r="M75" i="61"/>
  <c r="M98" i="61"/>
  <c r="M63" i="61"/>
  <c r="M40" i="61"/>
  <c r="M57" i="61"/>
  <c r="M64" i="61"/>
  <c r="M78" i="61"/>
  <c r="M54" i="61"/>
  <c r="M79" i="61"/>
  <c r="M55" i="61"/>
  <c r="M43" i="61"/>
  <c r="M85" i="61"/>
  <c r="M83" i="61"/>
  <c r="M59" i="61"/>
  <c r="M89" i="61"/>
  <c r="M53" i="61"/>
  <c r="M103" i="61"/>
  <c r="M99" i="61"/>
  <c r="M97" i="61"/>
  <c r="M95" i="61"/>
  <c r="M102" i="61"/>
  <c r="M100" i="61"/>
  <c r="M82" i="61"/>
  <c r="M95" i="25"/>
  <c r="M97" i="25"/>
  <c r="M86" i="25"/>
  <c r="M71" i="25"/>
  <c r="M43" i="25"/>
  <c r="M70" i="25"/>
  <c r="M64" i="25"/>
  <c r="M42" i="25"/>
  <c r="M92" i="25"/>
  <c r="M78" i="25"/>
  <c r="M50" i="25"/>
  <c r="M36" i="25"/>
  <c r="M68" i="25"/>
  <c r="M62" i="25"/>
  <c r="M55" i="25"/>
  <c r="M34" i="25"/>
  <c r="M101" i="25"/>
  <c r="M88" i="25"/>
  <c r="M46" i="25"/>
  <c r="M84" i="25"/>
  <c r="M47" i="25"/>
  <c r="M45" i="25"/>
  <c r="M41" i="25"/>
  <c r="M99" i="25"/>
  <c r="M74" i="25"/>
  <c r="M63" i="25"/>
  <c r="M72" i="25"/>
  <c r="M61" i="25"/>
  <c r="M37" i="25"/>
  <c r="M66" i="25"/>
  <c r="M102" i="25"/>
  <c r="M100" i="25"/>
  <c r="M59" i="25"/>
  <c r="M76" i="25"/>
  <c r="M103" i="25"/>
  <c r="M49" i="25"/>
  <c r="M56" i="25"/>
  <c r="M87" i="25"/>
  <c r="M44" i="25"/>
  <c r="M98" i="25"/>
  <c r="M75" i="25"/>
  <c r="M80" i="25"/>
  <c r="M51" i="25"/>
  <c r="M81" i="25"/>
  <c r="M79" i="25"/>
  <c r="M91" i="25"/>
  <c r="M89" i="25"/>
  <c r="M60" i="25"/>
  <c r="M39" i="25"/>
  <c r="M93" i="25"/>
  <c r="M54" i="25"/>
  <c r="M38" i="25"/>
  <c r="M35" i="25"/>
  <c r="M90" i="25"/>
  <c r="M40" i="25"/>
  <c r="M85" i="25"/>
  <c r="M82" i="25"/>
  <c r="M73" i="25"/>
  <c r="M57" i="25"/>
  <c r="M53" i="25"/>
  <c r="M96" i="25"/>
  <c r="M83" i="25"/>
  <c r="M58" i="25"/>
  <c r="M94" i="25"/>
  <c r="M67" i="25"/>
  <c r="M48" i="25"/>
  <c r="M52" i="25"/>
  <c r="M77" i="25"/>
  <c r="N93" i="18"/>
  <c r="N74" i="18"/>
  <c r="N49" i="18"/>
  <c r="N39" i="18"/>
  <c r="N102" i="18"/>
  <c r="N82" i="18"/>
  <c r="N79" i="18"/>
  <c r="N56" i="18"/>
  <c r="N38" i="18"/>
  <c r="N88" i="18"/>
  <c r="N45" i="18"/>
  <c r="N99" i="18"/>
  <c r="N72" i="18"/>
  <c r="N63" i="18"/>
  <c r="N54" i="18"/>
  <c r="N59" i="18"/>
  <c r="N46" i="18"/>
  <c r="N44" i="18"/>
  <c r="N77" i="18"/>
  <c r="N55" i="18"/>
  <c r="N97" i="18"/>
  <c r="N64" i="18"/>
  <c r="N100" i="18"/>
  <c r="N98" i="18"/>
  <c r="N92" i="18"/>
  <c r="N53" i="18"/>
  <c r="N94" i="18"/>
  <c r="N90" i="18"/>
  <c r="N52" i="18"/>
  <c r="N103" i="18"/>
  <c r="N75" i="18"/>
  <c r="N73" i="18"/>
  <c r="N68" i="18"/>
  <c r="N60" i="18"/>
  <c r="N89" i="18"/>
  <c r="N87" i="18"/>
  <c r="N80" i="18"/>
  <c r="N50" i="18"/>
  <c r="N48" i="18"/>
  <c r="N62" i="18"/>
  <c r="N58" i="18"/>
  <c r="N81" i="18"/>
  <c r="N47" i="18"/>
  <c r="N43" i="18"/>
  <c r="N95" i="18"/>
  <c r="N71" i="18"/>
  <c r="N66" i="18"/>
  <c r="N70" i="18"/>
  <c r="N51" i="18"/>
  <c r="N86" i="18"/>
  <c r="N57" i="18"/>
  <c r="N78" i="18"/>
  <c r="N76" i="18"/>
  <c r="N101" i="18"/>
  <c r="N91" i="18"/>
  <c r="N83" i="18"/>
  <c r="N35" i="18"/>
  <c r="N67" i="18"/>
  <c r="N42" i="18"/>
  <c r="N37" i="18"/>
  <c r="N41" i="18"/>
  <c r="N36" i="18"/>
  <c r="N40" i="18"/>
  <c r="N34" i="18"/>
  <c r="N84" i="18"/>
  <c r="N96" i="18"/>
  <c r="N85" i="18"/>
  <c r="N61" i="18"/>
  <c r="O99" i="85"/>
  <c r="O78" i="85"/>
  <c r="O88" i="85"/>
  <c r="O71" i="85"/>
  <c r="O103" i="85"/>
  <c r="O76" i="85"/>
  <c r="O61" i="85"/>
  <c r="O53" i="85"/>
  <c r="O82" i="85"/>
  <c r="O79" i="85"/>
  <c r="O66" i="85"/>
  <c r="O64" i="85"/>
  <c r="O56" i="85"/>
  <c r="O34" i="85"/>
  <c r="O72" i="85"/>
  <c r="O57" i="85"/>
  <c r="O50" i="85"/>
  <c r="O37" i="85"/>
  <c r="O81" i="85"/>
  <c r="O62" i="85"/>
  <c r="O46" i="85"/>
  <c r="O92" i="85"/>
  <c r="O60" i="85"/>
  <c r="O95" i="85"/>
  <c r="O93" i="85"/>
  <c r="O91" i="85"/>
  <c r="O89" i="85"/>
  <c r="O87" i="85"/>
  <c r="O74" i="85"/>
  <c r="O40" i="85"/>
  <c r="O36" i="85"/>
  <c r="O85" i="85"/>
  <c r="O83" i="85"/>
  <c r="O54" i="85"/>
  <c r="O75" i="85"/>
  <c r="O73" i="85"/>
  <c r="O38" i="85"/>
  <c r="O35" i="85"/>
  <c r="O58" i="85"/>
  <c r="O101" i="85"/>
  <c r="O96" i="85"/>
  <c r="O67" i="85"/>
  <c r="O68" i="85"/>
  <c r="O102" i="85"/>
  <c r="O45" i="85"/>
  <c r="O47" i="85"/>
  <c r="O86" i="85"/>
  <c r="O49" i="85"/>
  <c r="O59" i="85"/>
  <c r="O97" i="85"/>
  <c r="O94" i="85"/>
  <c r="O51" i="85"/>
  <c r="O55" i="85"/>
  <c r="O52" i="85"/>
  <c r="O39" i="85"/>
  <c r="O84" i="85"/>
  <c r="O100" i="85"/>
  <c r="O48" i="85"/>
  <c r="O70" i="85"/>
  <c r="O90" i="85"/>
  <c r="O44" i="85"/>
  <c r="O77" i="85"/>
  <c r="O43" i="85"/>
  <c r="O63" i="85"/>
  <c r="O98" i="85"/>
  <c r="O80" i="85"/>
  <c r="O41" i="85"/>
  <c r="O42" i="85"/>
  <c r="M86" i="62"/>
  <c r="M71" i="62"/>
  <c r="M54" i="62"/>
  <c r="M103" i="62"/>
  <c r="M94" i="62"/>
  <c r="M76" i="62"/>
  <c r="M48" i="62"/>
  <c r="M96" i="62"/>
  <c r="M92" i="62"/>
  <c r="M74" i="62"/>
  <c r="M102" i="62"/>
  <c r="M72" i="62"/>
  <c r="M49" i="62"/>
  <c r="M87" i="62"/>
  <c r="M45" i="62"/>
  <c r="M40" i="62"/>
  <c r="M67" i="62"/>
  <c r="M61" i="62"/>
  <c r="M37" i="62"/>
  <c r="M36" i="62"/>
  <c r="M101" i="62"/>
  <c r="M91" i="62"/>
  <c r="M59" i="62"/>
  <c r="M99" i="62"/>
  <c r="M95" i="62"/>
  <c r="M93" i="62"/>
  <c r="M89" i="62"/>
  <c r="M80" i="62"/>
  <c r="M50" i="62"/>
  <c r="M39" i="62"/>
  <c r="M68" i="62"/>
  <c r="M62" i="62"/>
  <c r="M60" i="62"/>
  <c r="M70" i="62"/>
  <c r="M38" i="62"/>
  <c r="M73" i="62"/>
  <c r="M66" i="62"/>
  <c r="M97" i="62"/>
  <c r="M79" i="62"/>
  <c r="M77" i="62"/>
  <c r="M75" i="62"/>
  <c r="M56" i="62"/>
  <c r="M98" i="62"/>
  <c r="M85" i="62"/>
  <c r="M55" i="62"/>
  <c r="M43" i="62"/>
  <c r="M42" i="62"/>
  <c r="M84" i="62"/>
  <c r="M82" i="62"/>
  <c r="M41" i="62"/>
  <c r="M34" i="62"/>
  <c r="M83" i="62"/>
  <c r="M58" i="62"/>
  <c r="M44" i="62"/>
  <c r="M64" i="62"/>
  <c r="M46" i="62"/>
  <c r="M81" i="62"/>
  <c r="M57" i="62"/>
  <c r="M100" i="62"/>
  <c r="M88" i="62"/>
  <c r="M53" i="62"/>
  <c r="M52" i="62"/>
  <c r="M51" i="62"/>
  <c r="M90" i="62"/>
  <c r="M78" i="62"/>
  <c r="M47" i="62"/>
  <c r="M35" i="62"/>
  <c r="M63" i="62"/>
  <c r="N90" i="85"/>
  <c r="N73" i="85"/>
  <c r="N99" i="85"/>
  <c r="N78" i="85"/>
  <c r="N86" i="85"/>
  <c r="N44" i="85"/>
  <c r="N101" i="85"/>
  <c r="N97" i="85"/>
  <c r="N74" i="85"/>
  <c r="N72" i="85"/>
  <c r="N59" i="85"/>
  <c r="N51" i="85"/>
  <c r="N76" i="85"/>
  <c r="N66" i="85"/>
  <c r="N102" i="85"/>
  <c r="N100" i="85"/>
  <c r="N94" i="85"/>
  <c r="N81" i="85"/>
  <c r="N79" i="85"/>
  <c r="N62" i="85"/>
  <c r="N46" i="85"/>
  <c r="N41" i="85"/>
  <c r="N95" i="85"/>
  <c r="N93" i="85"/>
  <c r="N91" i="85"/>
  <c r="N89" i="85"/>
  <c r="N87" i="85"/>
  <c r="N40" i="85"/>
  <c r="N37" i="85"/>
  <c r="N36" i="85"/>
  <c r="N67" i="85"/>
  <c r="N56" i="85"/>
  <c r="N92" i="85"/>
  <c r="N88" i="85"/>
  <c r="N57" i="85"/>
  <c r="N39" i="85"/>
  <c r="N64" i="85"/>
  <c r="N103" i="85"/>
  <c r="N82" i="85"/>
  <c r="N96" i="85"/>
  <c r="N34" i="85"/>
  <c r="N52" i="85"/>
  <c r="N42" i="85"/>
  <c r="N35" i="85"/>
  <c r="N68" i="85"/>
  <c r="N53" i="85"/>
  <c r="N85" i="85"/>
  <c r="N75" i="85"/>
  <c r="N43" i="85"/>
  <c r="N45" i="85"/>
  <c r="N47" i="85"/>
  <c r="N49" i="85"/>
  <c r="N38" i="85"/>
  <c r="N58" i="85"/>
  <c r="N48" i="85"/>
  <c r="N84" i="85"/>
  <c r="N50" i="85"/>
  <c r="N61" i="85"/>
  <c r="N70" i="85"/>
  <c r="N71" i="85"/>
  <c r="N55" i="85"/>
  <c r="N60" i="85"/>
  <c r="N77" i="85"/>
  <c r="N80" i="85"/>
  <c r="N83" i="85"/>
  <c r="N63" i="85"/>
  <c r="N98" i="85"/>
  <c r="N54" i="85"/>
  <c r="O67" i="39"/>
  <c r="O49" i="39"/>
  <c r="O39" i="39"/>
  <c r="O102" i="39"/>
  <c r="O78" i="39"/>
  <c r="O71" i="39"/>
  <c r="O38" i="39"/>
  <c r="O90" i="39"/>
  <c r="O70" i="39"/>
  <c r="O47" i="39"/>
  <c r="O100" i="39"/>
  <c r="O93" i="39"/>
  <c r="O76" i="39"/>
  <c r="O56" i="39"/>
  <c r="O88" i="39"/>
  <c r="O63" i="39"/>
  <c r="O45" i="39"/>
  <c r="O98" i="39"/>
  <c r="O74" i="39"/>
  <c r="O54" i="39"/>
  <c r="O34" i="39"/>
  <c r="O86" i="39"/>
  <c r="O61" i="39"/>
  <c r="O43" i="39"/>
  <c r="O96" i="39"/>
  <c r="O42" i="39"/>
  <c r="O84" i="39"/>
  <c r="O81" i="39"/>
  <c r="O59" i="39"/>
  <c r="O41" i="39"/>
  <c r="O103" i="39"/>
  <c r="O82" i="39"/>
  <c r="O79" i="39"/>
  <c r="O72" i="39"/>
  <c r="O80" i="39"/>
  <c r="O44" i="39"/>
  <c r="O35" i="39"/>
  <c r="O46" i="39"/>
  <c r="O48" i="39"/>
  <c r="O60" i="39"/>
  <c r="O58" i="39"/>
  <c r="O37" i="39"/>
  <c r="O62" i="39"/>
  <c r="O50" i="39"/>
  <c r="O36" i="39"/>
  <c r="O85" i="39"/>
  <c r="O83" i="39"/>
  <c r="O73" i="39"/>
  <c r="O64" i="39"/>
  <c r="O99" i="39"/>
  <c r="O89" i="39"/>
  <c r="O77" i="39"/>
  <c r="O40" i="39"/>
  <c r="O87" i="39"/>
  <c r="O95" i="39"/>
  <c r="O91" i="39"/>
  <c r="O97" i="39"/>
  <c r="O75" i="39"/>
  <c r="O51" i="39"/>
  <c r="O66" i="39"/>
  <c r="O68" i="39"/>
  <c r="O55" i="39"/>
  <c r="O92" i="39"/>
  <c r="O53" i="39"/>
  <c r="O52" i="39"/>
  <c r="O94" i="39"/>
  <c r="O101" i="39"/>
  <c r="O57" i="39"/>
  <c r="M94" i="24"/>
  <c r="M71" i="24"/>
  <c r="M43" i="24"/>
  <c r="M35" i="24"/>
  <c r="M103" i="24"/>
  <c r="M83" i="24"/>
  <c r="M80" i="24"/>
  <c r="M70" i="24"/>
  <c r="M64" i="24"/>
  <c r="M42" i="24"/>
  <c r="M97" i="24"/>
  <c r="M67" i="24"/>
  <c r="M59" i="24"/>
  <c r="M40" i="24"/>
  <c r="M93" i="24"/>
  <c r="M75" i="24"/>
  <c r="M57" i="24"/>
  <c r="M37" i="24"/>
  <c r="M101" i="24"/>
  <c r="M86" i="24"/>
  <c r="M82" i="24"/>
  <c r="M62" i="24"/>
  <c r="M44" i="24"/>
  <c r="M38" i="24"/>
  <c r="M68" i="24"/>
  <c r="M89" i="24"/>
  <c r="M78" i="24"/>
  <c r="M61" i="24"/>
  <c r="M50" i="24"/>
  <c r="M76" i="24"/>
  <c r="M74" i="24"/>
  <c r="M85" i="24"/>
  <c r="M72" i="24"/>
  <c r="M46" i="24"/>
  <c r="M39" i="24"/>
  <c r="M77" i="24"/>
  <c r="M60" i="24"/>
  <c r="M51" i="24"/>
  <c r="M56" i="24"/>
  <c r="M99" i="24"/>
  <c r="M95" i="24"/>
  <c r="M91" i="24"/>
  <c r="M54" i="24"/>
  <c r="M87" i="24"/>
  <c r="M48" i="24"/>
  <c r="M63" i="24"/>
  <c r="M36" i="24"/>
  <c r="M98" i="24"/>
  <c r="M96" i="24"/>
  <c r="M92" i="24"/>
  <c r="M55" i="24"/>
  <c r="M41" i="24"/>
  <c r="M34" i="24"/>
  <c r="M102" i="24"/>
  <c r="M73" i="24"/>
  <c r="M66" i="24"/>
  <c r="M53" i="24"/>
  <c r="M49" i="24"/>
  <c r="M47" i="24"/>
  <c r="M45" i="24"/>
  <c r="M52" i="24"/>
  <c r="M88" i="24"/>
  <c r="M58" i="24"/>
  <c r="M84" i="24"/>
  <c r="M90" i="24"/>
  <c r="M79" i="24"/>
  <c r="M81" i="24"/>
  <c r="M100" i="24"/>
  <c r="P88" i="85"/>
  <c r="P71" i="85"/>
  <c r="P97" i="85"/>
  <c r="P70" i="85"/>
  <c r="P84" i="85"/>
  <c r="P81" i="85"/>
  <c r="P52" i="85"/>
  <c r="P95" i="85"/>
  <c r="P49" i="85"/>
  <c r="P39" i="85"/>
  <c r="P98" i="85"/>
  <c r="P96" i="85"/>
  <c r="P74" i="85"/>
  <c r="P48" i="85"/>
  <c r="P36" i="85"/>
  <c r="P92" i="85"/>
  <c r="P79" i="85"/>
  <c r="P60" i="85"/>
  <c r="P67" i="85"/>
  <c r="P58" i="85"/>
  <c r="P55" i="85"/>
  <c r="P44" i="85"/>
  <c r="P85" i="85"/>
  <c r="P83" i="85"/>
  <c r="P76" i="85"/>
  <c r="P37" i="85"/>
  <c r="P56" i="85"/>
  <c r="P54" i="85"/>
  <c r="P34" i="85"/>
  <c r="P94" i="85"/>
  <c r="P90" i="85"/>
  <c r="P86" i="85"/>
  <c r="P80" i="85"/>
  <c r="P72" i="85"/>
  <c r="P103" i="85"/>
  <c r="P89" i="85"/>
  <c r="P82" i="85"/>
  <c r="P59" i="85"/>
  <c r="P102" i="85"/>
  <c r="P53" i="85"/>
  <c r="P77" i="85"/>
  <c r="P47" i="85"/>
  <c r="P73" i="85"/>
  <c r="P101" i="85"/>
  <c r="P91" i="85"/>
  <c r="P38" i="85"/>
  <c r="P100" i="85"/>
  <c r="P46" i="85"/>
  <c r="P35" i="85"/>
  <c r="P51" i="85"/>
  <c r="P57" i="85"/>
  <c r="P40" i="85"/>
  <c r="P99" i="85"/>
  <c r="P61" i="85"/>
  <c r="P41" i="85"/>
  <c r="P93" i="85"/>
  <c r="P50" i="85"/>
  <c r="P68" i="85"/>
  <c r="P64" i="85"/>
  <c r="P45" i="85"/>
  <c r="P62" i="85"/>
  <c r="P78" i="85"/>
  <c r="P66" i="85"/>
  <c r="P42" i="85"/>
  <c r="P75" i="85"/>
  <c r="P87" i="85"/>
  <c r="P63" i="85"/>
  <c r="P43" i="85"/>
  <c r="N96" i="81"/>
  <c r="N73" i="81"/>
  <c r="N59" i="81"/>
  <c r="N43" i="81"/>
  <c r="N35" i="81"/>
  <c r="N85" i="81"/>
  <c r="N42" i="81"/>
  <c r="N92" i="81"/>
  <c r="N57" i="81"/>
  <c r="N101" i="81"/>
  <c r="N78" i="81"/>
  <c r="N68" i="81"/>
  <c r="N48" i="81"/>
  <c r="N103" i="81"/>
  <c r="N86" i="81"/>
  <c r="N81" i="81"/>
  <c r="N67" i="81"/>
  <c r="N84" i="81"/>
  <c r="N79" i="81"/>
  <c r="N46" i="81"/>
  <c r="N34" i="81"/>
  <c r="N64" i="81"/>
  <c r="N55" i="81"/>
  <c r="N38" i="81"/>
  <c r="N98" i="81"/>
  <c r="N94" i="81"/>
  <c r="N77" i="81"/>
  <c r="N51" i="81"/>
  <c r="N49" i="81"/>
  <c r="N47" i="81"/>
  <c r="N90" i="81"/>
  <c r="N75" i="81"/>
  <c r="N62" i="81"/>
  <c r="N82" i="81"/>
  <c r="N71" i="81"/>
  <c r="N60" i="81"/>
  <c r="N58" i="81"/>
  <c r="N41" i="81"/>
  <c r="N95" i="81"/>
  <c r="N80" i="81"/>
  <c r="N53" i="81"/>
  <c r="N102" i="81"/>
  <c r="N100" i="81"/>
  <c r="N52" i="81"/>
  <c r="N70" i="81"/>
  <c r="N54" i="81"/>
  <c r="N50" i="81"/>
  <c r="N72" i="81"/>
  <c r="N74" i="81"/>
  <c r="N88" i="81"/>
  <c r="N76" i="81"/>
  <c r="N83" i="81"/>
  <c r="N66" i="81"/>
  <c r="N93" i="81"/>
  <c r="N91" i="81"/>
  <c r="N89" i="81"/>
  <c r="N99" i="81"/>
  <c r="N45" i="81"/>
  <c r="N87" i="81"/>
  <c r="N40" i="81"/>
  <c r="N37" i="81"/>
  <c r="N36" i="81"/>
  <c r="N44" i="81"/>
  <c r="N61" i="81"/>
  <c r="N63" i="81"/>
  <c r="N39" i="81"/>
  <c r="N97" i="81"/>
  <c r="N56" i="81"/>
  <c r="M100" i="27"/>
  <c r="M77" i="27"/>
  <c r="M66" i="27"/>
  <c r="M96" i="27"/>
  <c r="M73" i="27"/>
  <c r="M50" i="27"/>
  <c r="M40" i="27"/>
  <c r="M57" i="27"/>
  <c r="M102" i="27"/>
  <c r="M89" i="27"/>
  <c r="M48" i="27"/>
  <c r="M36" i="27"/>
  <c r="M99" i="27"/>
  <c r="M84" i="27"/>
  <c r="M81" i="27"/>
  <c r="M97" i="27"/>
  <c r="M82" i="27"/>
  <c r="M79" i="27"/>
  <c r="M46" i="27"/>
  <c r="M91" i="27"/>
  <c r="M56" i="27"/>
  <c r="M42" i="27"/>
  <c r="M80" i="27"/>
  <c r="M87" i="27"/>
  <c r="M78" i="27"/>
  <c r="M63" i="27"/>
  <c r="M54" i="27"/>
  <c r="M85" i="27"/>
  <c r="M76" i="27"/>
  <c r="M61" i="27"/>
  <c r="M37" i="27"/>
  <c r="M92" i="27"/>
  <c r="M103" i="27"/>
  <c r="M83" i="27"/>
  <c r="M58" i="27"/>
  <c r="M43" i="27"/>
  <c r="M41" i="27"/>
  <c r="M93" i="27"/>
  <c r="M70" i="27"/>
  <c r="M34" i="27"/>
  <c r="M74" i="27"/>
  <c r="M52" i="27"/>
  <c r="M90" i="27"/>
  <c r="M98" i="27"/>
  <c r="M94" i="27"/>
  <c r="M62" i="27"/>
  <c r="M60" i="27"/>
  <c r="M71" i="27"/>
  <c r="M59" i="27"/>
  <c r="M72" i="27"/>
  <c r="M68" i="27"/>
  <c r="M38" i="27"/>
  <c r="M35" i="27"/>
  <c r="M53" i="27"/>
  <c r="M51" i="27"/>
  <c r="M75" i="27"/>
  <c r="M67" i="27"/>
  <c r="M39" i="27"/>
  <c r="M55" i="27"/>
  <c r="M47" i="27"/>
  <c r="M49" i="27"/>
  <c r="M95" i="27"/>
  <c r="M44" i="27"/>
  <c r="M86" i="27"/>
  <c r="M88" i="27"/>
  <c r="M101" i="27"/>
  <c r="M64" i="27"/>
  <c r="M45"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tc={5F414D22-804F-4913-8908-A1CF1218848D}</author>
    <author>tc={96BD24C3-59EE-4B19-90EB-A0490A273F1C}</author>
  </authors>
  <commentList>
    <comment ref="C119" authorId="0" shapeId="0" xr:uid="{5F414D22-804F-4913-8908-A1CF1218848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22" authorId="1" shapeId="0" xr:uid="{96BD24C3-59EE-4B19-90EB-A0490A273F1C}">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tc={F08556B7-EE6D-4401-BAF8-912257F149ED}</author>
    <author>tc={87747065-DDE9-4019-BEAE-D27FF06A9A28}</author>
  </authors>
  <commentList>
    <comment ref="C119" authorId="0" shapeId="0" xr:uid="{F08556B7-EE6D-4401-BAF8-912257F149E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22" authorId="1" shapeId="0" xr:uid="{87747065-DDE9-4019-BEAE-D27FF06A9A28}">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tc={44771FAA-5757-4A08-BE70-D0C90AD3D0C9}</author>
    <author>tc={5D69ECC1-1A70-4326-BA39-DF8270E2B9FF}</author>
    <author>tc={3ACA1355-CF3C-40DE-A262-6069201E4321}</author>
    <author>tc={3B24306A-AB0C-4824-A939-04F9436450B3}</author>
    <author>tc={85AD96C1-24AF-4AE4-9F25-E774EB4CE4F0}</author>
  </authors>
  <commentList>
    <comment ref="C114" authorId="0" shapeId="0" xr:uid="{44771FAA-5757-4A08-BE70-D0C90AD3D0C9}">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D69ECC1-1A70-4326-BA39-DF8270E2B9FF}">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3ACA1355-CF3C-40DE-A262-6069201E4321}">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3B24306A-AB0C-4824-A939-04F9436450B3}">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85AD96C1-24AF-4AE4-9F25-E774EB4CE4F0}">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tc={8B3C97F3-DFA6-48EB-89E4-94753706BCB2}</author>
    <author>tc={A2AA085B-8748-48D9-BC30-E74EE2001AEA}</author>
  </authors>
  <commentList>
    <comment ref="C120" authorId="0" shapeId="0" xr:uid="{8B3C97F3-DFA6-48EB-89E4-94753706BCB2}">
      <text>
        <t>[Threaded comment]
Your version of Excel allows you to read this threaded comment; however, any edits to it will get removed if the file is opened in a newer version of Excel. Learn more: https://go.microsoft.com/fwlink/?linkid=870924
Comment:
    CF here is from the IL baseline work. Needs to be adjusted to PR levels</t>
      </text>
    </comment>
    <comment ref="C123" authorId="1" shapeId="0" xr:uid="{A2AA085B-8748-48D9-BC30-E74EE2001AEA}">
      <text>
        <t>[Threaded comment]
Your version of Excel allows you to read this threaded comment; however, any edits to it will get removed if the file is opened in a newer version of Excel. Learn more: https://go.microsoft.com/fwlink/?linkid=870924
Comment:
    Ewatertotal here is from the IL baseline work. Needs to be adjusted to PR levels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tc={F2DF85C0-9F6B-4857-9F5B-FA50DE338B0B}</author>
  </authors>
  <commentList>
    <comment ref="C115" authorId="0" shapeId="0" xr:uid="{F2DF85C0-9F6B-4857-9F5B-FA50DE338B0B}">
      <text>
        <t>[Threaded comment]
Your version of Excel allows you to read this threaded comment; however, any edits to it will get removed if the file is opened in a newer version of Excel. Learn more: https://go.microsoft.com/fwlink/?linkid=870924
Comment:
    Factors here are from the IL baseline work. Needs to be adjusted to PR levels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tc={2BF8FF7A-F954-4153-9078-266473EED091}</author>
    <author>tc={0F37195B-523B-4EF2-982B-CCB85D233522}</author>
  </authors>
  <commentList>
    <comment ref="C120" authorId="0" shapeId="0" xr:uid="{2BF8FF7A-F954-4153-9078-266473EED091}">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31" authorId="1" shapeId="0" xr:uid="{0F37195B-523B-4EF2-982B-CCB85D233522}">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tc={F5AD044F-670E-4085-9F18-0EAF6FC9CF5C}</author>
  </authors>
  <commentList>
    <comment ref="C115" authorId="0" shapeId="0" xr:uid="{F5AD044F-670E-4085-9F18-0EAF6FC9CF5C}">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tc={236F20C9-689F-49C7-AEEE-4023445677FA}</author>
  </authors>
  <commentList>
    <comment ref="C115" authorId="0" shapeId="0" xr:uid="{236F20C9-689F-49C7-AEEE-4023445677FA}">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tc={FF815FD2-EE0C-47B7-A130-A016FF1B45E1}</author>
  </authors>
  <commentList>
    <comment ref="C126" authorId="0" shapeId="0" xr:uid="{FF815FD2-EE0C-47B7-A130-A016FF1B45E1}">
      <text>
        <t>[Threaded comment]
Your version of Excel allows you to read this threaded comment; however, any edits to it will get removed if the file is opened in a newer version of Excel. Learn more: https://go.microsoft.com/fwlink/?linkid=870924
Comment:
    IL Specific value, needs to be refreshed to PR levels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tc={57607E5F-331A-47CD-A944-D52503092032}</author>
  </authors>
  <commentList>
    <comment ref="C119" authorId="0" shapeId="0" xr:uid="{57607E5F-331A-47CD-A944-D52503092032}">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tc={18F124F6-DCB3-4655-A798-62DD0FEF485F}</author>
    <author>tc={6607AA6E-87DF-494A-9048-1A369FA54D7E}</author>
    <author>tc={5F70BCDB-2ACA-4A38-ABA5-96772893B49D}</author>
  </authors>
  <commentList>
    <comment ref="C116" authorId="0" shapeId="0" xr:uid="{18F124F6-DCB3-4655-A798-62DD0FEF485F}">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6607AA6E-87DF-494A-9048-1A369FA54D7E}">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5F70BCDB-2ACA-4A38-ABA5-96772893B49D}">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tc={A4A943B0-275A-4546-B08B-93224AA34550}</author>
    <author>tc={8201FDEB-2027-4E98-BE74-C28E488A149A}</author>
    <author>tc={CBAF25A3-A011-4204-B92B-ACCB4EFD0D91}</author>
  </authors>
  <commentList>
    <comment ref="C116" authorId="0" shapeId="0" xr:uid="{A4A943B0-275A-4546-B08B-93224AA34550}">
      <text>
        <t>[Threaded comment]
Your version of Excel allows you to read this threaded comment; however, any edits to it will get removed if the file is opened in a newer version of Excel. Learn more: https://go.microsoft.com/fwlink/?linkid=870924
Comment:
    No citations given for assumptions of derived value</t>
      </text>
    </comment>
    <comment ref="C118" authorId="1" shapeId="0" xr:uid="{8201FDEB-2027-4E98-BE74-C28E488A149A}">
      <text>
        <t xml:space="preserve">[Threaded comment]
Your version of Excel allows you to read this threaded comment; however, any edits to it will get removed if the file is opened in a newer version of Excel. Learn more: https://go.microsoft.com/fwlink/?linkid=870924
Comment:
    Based on cost from vendor of typical smart socket on the market, Simply Conserve Smart Socket by AM Conservation Group. 10 amp smart socket: $8.92/each; 15 amp smart socket: $9.00/each </t>
      </text>
    </comment>
    <comment ref="C119" authorId="2" shapeId="0" xr:uid="{CBAF25A3-A011-4204-B92B-ACCB4EFD0D91}">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tc={F3A83023-F9EB-4105-8CB7-90BE0AD5FBF4}</author>
  </authors>
  <commentList>
    <comment ref="C113" authorId="0" shapeId="0" xr:uid="{F3A83023-F9EB-4105-8CB7-90BE0AD5FBF4}">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tc={AA803EBB-C660-4557-AB83-E27428853B79}</author>
  </authors>
  <commentList>
    <comment ref="C113" authorId="0" shapeId="0" xr:uid="{AA803EBB-C660-4557-AB83-E27428853B7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tc={978B2B1F-1BFE-4389-B624-14279577082F}</author>
    <author>tc={BB5363AA-9DCF-4274-B091-A4C9AE33CB8B}</author>
    <author>tc={210FF34F-CE1D-40C6-9097-E5F1659B67E4}</author>
    <author>tc={01D44D3F-81E3-4B25-8AD7-F6D67EA1C262}</author>
    <author>tc={802599EE-D3E7-4108-9D47-705B1CD748E7}</author>
  </authors>
  <commentList>
    <comment ref="C111" authorId="0" shapeId="0" xr:uid="{978B2B1F-1BFE-4389-B624-14279577082F}">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E115" authorId="1" shapeId="0" xr:uid="{BB5363AA-9DCF-4274-B091-A4C9AE33CB8B}">
      <text>
        <t>[Threaded comment]
Your version of Excel allows you to read this threaded comment; however, any edits to it will get removed if the file is opened in a newer version of Excel. Learn more: https://go.microsoft.com/fwlink/?linkid=870924
Comment:
    Sourced from the IL TRM example</t>
      </text>
    </comment>
    <comment ref="E120" authorId="2" shapeId="0" xr:uid="{210FF34F-CE1D-40C6-9097-E5F1659B67E4}">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 ref="E127" authorId="3" shapeId="0" xr:uid="{01D44D3F-81E3-4B25-8AD7-F6D67EA1C262}">
      <text>
        <t>[Threaded comment]
Your version of Excel allows you to read this threaded comment; however, any edits to it will get removed if the file is opened in a newer version of Excel. Learn more: https://go.microsoft.com/fwlink/?linkid=870924
Comment:
    Values chosen from IL TRM example</t>
      </text>
    </comment>
    <comment ref="E131" authorId="4" shapeId="0" xr:uid="{802599EE-D3E7-4108-9D47-705B1CD748E7}">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tc={7C58F73D-8BAA-4E98-8F85-E1391741699C}</author>
    <author>tc={2F55A0B8-0E1B-4CA0-A2C5-4C292525AEBB}</author>
    <author>tc={BFEDBE0C-9469-4DC6-A200-2A3EB1973179}</author>
  </authors>
  <commentList>
    <comment ref="C112" authorId="0" shapeId="0" xr:uid="{7C58F73D-8BAA-4E98-8F85-E1391741699C}">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I122" authorId="1" shapeId="0" xr:uid="{2F55A0B8-0E1B-4CA0-A2C5-4C292525AEBB}">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 ref="I149" authorId="2" shapeId="0" xr:uid="{BFEDBE0C-9469-4DC6-A200-2A3EB1973179}">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tc={9022CBA2-0E4D-44D0-8A8A-FD7395D99C61}</author>
  </authors>
  <commentList>
    <comment ref="C112" authorId="0" shapeId="0" xr:uid="{9022CBA2-0E4D-44D0-8A8A-FD7395D99C61}">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tc={8F22C094-634B-47CD-9D7A-EFC630E528B8}</author>
  </authors>
  <commentList>
    <comment ref="C112" authorId="0" shapeId="0" xr:uid="{8F22C094-634B-47CD-9D7A-EFC630E528B8}">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tc={3B0F748F-9345-49EE-B190-3DA525C98655}</author>
  </authors>
  <commentList>
    <comment ref="C113" authorId="0" shapeId="0" xr:uid="{3B0F748F-9345-49EE-B190-3DA525C98655}">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tc={A0190BC7-95A4-48BB-BEE1-C2F2E6D7C8AA}</author>
    <author>tc={8DBABCE0-9286-4DCD-ADD6-B533B0EC5AFD}</author>
    <author>tc={A75D1C4A-4D83-4AEF-8E77-DDDE415FC513}</author>
    <author>tc={6BEA284C-A274-4753-9004-A6095DCB4320}</author>
  </authors>
  <commentList>
    <comment ref="C112" authorId="0" shapeId="0" xr:uid="{A0190BC7-95A4-48BB-BEE1-C2F2E6D7C8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4" authorId="1" shapeId="0" xr:uid="{8DBABCE0-9286-4DCD-ADD6-B533B0EC5AFD}">
      <text>
        <t>[Threaded comment]
Your version of Excel allows you to read this threaded comment; however, any edits to it will get removed if the file is opened in a newer version of Excel. Learn more: https://go.microsoft.com/fwlink/?linkid=870924
Comment:
    Retrofit values chosen</t>
      </text>
    </comment>
    <comment ref="E126" authorId="2" shapeId="0" xr:uid="{A75D1C4A-4D83-4AEF-8E77-DDDE415FC513}">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 ref="E132" authorId="3" shapeId="0" xr:uid="{6BEA284C-A274-4753-9004-A6095DCB4320}">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tc={7ED37097-41B9-4691-A49F-FC1DF146934E}</author>
    <author>tc={C8187C1E-657A-4F3D-A91F-D9F7C5C1C29F}</author>
    <author>tc={7549AD28-DC8B-42F5-9C13-D1963E9A8E16}</author>
    <author>tc={5DF001CA-A53F-4F9A-A39E-2DB4E96A564C}</author>
  </authors>
  <commentList>
    <comment ref="C112" authorId="0" shapeId="0" xr:uid="{7ED37097-41B9-4691-A49F-FC1DF146934E}">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5" authorId="1" shapeId="0" xr:uid="{C8187C1E-657A-4F3D-A91F-D9F7C5C1C29F}">
      <text>
        <t>[Threaded comment]
Your version of Excel allows you to read this threaded comment; however, any edits to it will get removed if the file is opened in a newer version of Excel. Learn more: https://go.microsoft.com/fwlink/?linkid=870924
Comment:
    Random choice from IL TRM example</t>
      </text>
    </comment>
    <comment ref="F123" authorId="2" shapeId="0" xr:uid="{7549AD28-DC8B-42F5-9C13-D1963E9A8E16}">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 ref="F130" authorId="3" shapeId="0" xr:uid="{5DF001CA-A53F-4F9A-A39E-2DB4E96A564C}">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tc={D238ED76-DC78-47E5-822B-F76C3008F6B2}</author>
    <author>tc={A5AE42BD-30AE-4C51-BD0D-D455E7FC1F40}</author>
    <author>tc={31867310-183D-4F9C-865E-BCB3FF48285E}</author>
  </authors>
  <commentList>
    <comment ref="C112" authorId="0" shapeId="0" xr:uid="{D238ED76-DC78-47E5-822B-F76C3008F6B2}">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3" authorId="1" shapeId="0" xr:uid="{A5AE42BD-30AE-4C51-BD0D-D455E7FC1F40}">
      <text>
        <t>[Threaded comment]
Your version of Excel allows you to read this threaded comment; however, any edits to it will get removed if the file is opened in a newer version of Excel. Learn more: https://go.microsoft.com/fwlink/?linkid=870924
Comment:
    Retrofit value chosen</t>
      </text>
    </comment>
    <comment ref="C116" authorId="2" shapeId="0" xr:uid="{31867310-183D-4F9C-865E-BCB3FF48285E}">
      <text>
        <t>[Threaded comment]
Your version of Excel allows you to read this threaded comment; however, any edits to it will get removed if the file is opened in a newer version of Excel. Learn more: https://go.microsoft.com/fwlink/?linkid=870924
Comment:
    IL specific value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tc={5BCC1D40-650F-4E94-9CA2-85070ABC37AA}</author>
  </authors>
  <commentList>
    <comment ref="C113" authorId="0" shapeId="0" xr:uid="{5BCC1D40-650F-4E94-9CA2-85070ABC37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tc={8F406122-2C98-48C9-BD97-3EB1E694897B}</author>
  </authors>
  <commentList>
    <comment ref="G112" authorId="0" shapeId="0" xr:uid="{8F406122-2C98-48C9-BD97-3EB1E694897B}">
      <text>
        <t>[Threaded comment]
Your version of Excel allows you to read this threaded comment; however, any edits to it will get removed if the file is opened in a newer version of Excel. Learn more: https://go.microsoft.com/fwlink/?linkid=870924
Comment:
    Using the Res splits for end use disaggregation</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tc={85B7C444-26A5-4CC1-AFE4-9039D067FD52}</author>
    <author>Matt Socks</author>
    <author>tc={0A47BF4B-35E4-4934-9F7F-B9D92DD291D1}</author>
  </authors>
  <commentList>
    <comment ref="B163" authorId="0" shapeId="0" xr:uid="{85B7C444-26A5-4CC1-AFE4-9039D067FD52}">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P174" authorId="1" shapeId="0" xr:uid="{00000000-0006-0000-8F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74" authorId="1" shapeId="0" xr:uid="{00000000-0006-0000-8F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74" authorId="1" shapeId="0" xr:uid="{00000000-0006-0000-8F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B176" authorId="2" shapeId="0" xr:uid="{0A47BF4B-35E4-4934-9F7F-B9D92DD291D1}">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Q187" authorId="1" shapeId="0" xr:uid="{E0676EB9-91FE-4A45-8D26-F79FB94F17AE}">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87" authorId="1" shapeId="0" xr:uid="{AAABE8C1-C9E4-4016-9ECB-A478B986976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S187" authorId="1" shapeId="0" xr:uid="{2999968B-9375-46E1-A842-0539DBE2CE9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tc={998241AE-D63C-46F8-AFAD-447C7D906ED2}</author>
    <author>tc={5B34B61D-EA24-4633-8DB7-DFDDEBBDBA85}</author>
    <author>tc={A9F8259D-0063-424A-92B0-FA7D9BDE2D6C}</author>
    <author>tc={0D19F506-F742-4CDC-8B45-9FBC7B24B461}</author>
    <author>tc={6E8FD691-EA37-4183-97A9-DCCE13A928EB}</author>
  </authors>
  <commentList>
    <comment ref="C114" authorId="0" shapeId="0" xr:uid="{998241AE-D63C-46F8-AFAD-447C7D906ED2}">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B34B61D-EA24-4633-8DB7-DFDDEBBDBA85}">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A9F8259D-0063-424A-92B0-FA7D9BDE2D6C}">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0D19F506-F742-4CDC-8B45-9FBC7B24B461}">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6E8FD691-EA37-4183-97A9-DCCE13A928EB}">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tc={21487A92-8054-4802-A49E-4EA0BDC4630C}</author>
    <author>tc={856F9DCA-8D4F-467A-A8FD-D088EFFC115C}</author>
    <author>tc={3CB69EAF-3257-4AB7-B4D0-B4ABF13F1104}</author>
  </authors>
  <commentList>
    <comment ref="C174" authorId="0" shapeId="0" xr:uid="{21487A92-8054-4802-A49E-4EA0BDC4630C}">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856F9DCA-8D4F-467A-A8FD-D088EFFC115C}">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3CB69EAF-3257-4AB7-B4D0-B4ABF13F1104}">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tc={6C505574-F3E2-4711-9D6C-B6F2D8E26755}</author>
    <author>tc={B11895B8-5905-425B-8254-B21F00958DDD}</author>
    <author>tc={1A5227C4-ABE0-468D-BBFE-665B47157416}</author>
  </authors>
  <commentList>
    <comment ref="C174" authorId="0" shapeId="0" xr:uid="{6C505574-F3E2-4711-9D6C-B6F2D8E26755}">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B11895B8-5905-425B-8254-B21F00958DDD}">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1A5227C4-ABE0-468D-BBFE-665B47157416}">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tc={5B0E904B-B9E0-4B27-8422-16FD79E0008A}</author>
  </authors>
  <commentList>
    <comment ref="C133" authorId="0" shapeId="0" xr:uid="{5B0E904B-B9E0-4B27-8422-16FD79E0008A}">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tc={801FC52B-081F-4695-B16A-CC0A7E65BF2D}</author>
  </authors>
  <commentList>
    <comment ref="C130" authorId="0" shapeId="0" xr:uid="{801FC52B-081F-4695-B16A-CC0A7E65BF2D}">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tc={BE14FA00-C2C6-4D73-9A5D-C5D4065EF5C4}</author>
  </authors>
  <commentList>
    <comment ref="C145" authorId="0" shapeId="0" xr:uid="{BE14FA00-C2C6-4D73-9A5D-C5D4065EF5C4}">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tc={058DD852-16A8-4AC5-B404-8FC8E4657891}</author>
  </authors>
  <commentList>
    <comment ref="C124" authorId="0" shapeId="0" xr:uid="{058DD852-16A8-4AC5-B404-8FC8E4657891}">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tc={1AC578A2-AC15-4E09-8C9A-4FFAEAD9B649}</author>
  </authors>
  <commentList>
    <comment ref="C132" authorId="0" shapeId="0" xr:uid="{1AC578A2-AC15-4E09-8C9A-4FFAEAD9B649}">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tc={2D9A2CC8-4D67-4DFB-B9C6-9F8766E0BEED}</author>
  </authors>
  <commentList>
    <comment ref="C115" authorId="0" shapeId="0" xr:uid="{2D9A2CC8-4D67-4DFB-B9C6-9F8766E0BEE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tc={8A0EF6E9-6FF0-40F2-80BE-A0ED4084C3E1}</author>
  </authors>
  <commentList>
    <comment ref="C115" authorId="0" shapeId="0" xr:uid="{8A0EF6E9-6FF0-40F2-80BE-A0ED4084C3E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tc={C15B4773-99A8-4C07-800D-69EAA0EC1E6F}</author>
  </authors>
  <commentList>
    <comment ref="C115" authorId="0" shapeId="0" xr:uid="{C15B4773-99A8-4C07-800D-69EAA0EC1E6F}">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tc={7DCD9B83-5166-4260-9A3E-F00255AEDCA9}</author>
  </authors>
  <commentList>
    <comment ref="G114" authorId="0" shapeId="0" xr:uid="{7DCD9B83-5166-4260-9A3E-F00255AEDCA9}">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tc={69704E2A-9A29-40EC-B3C7-C0C733043F6D}</author>
  </authors>
  <commentList>
    <comment ref="G114" authorId="0" shapeId="0" xr:uid="{69704E2A-9A29-40EC-B3C7-C0C733043F6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tc={AEB677FF-30BD-44D7-982B-61EC2EC3AC51}</author>
  </authors>
  <commentList>
    <comment ref="G114" authorId="0" shapeId="0" xr:uid="{AEB677FF-30BD-44D7-982B-61EC2EC3AC5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tc={CA478B7E-8B55-4943-9E9B-CDCD54B44F0E}</author>
  </authors>
  <commentList>
    <comment ref="C115" authorId="0" shapeId="0" xr:uid="{CA478B7E-8B55-4943-9E9B-CDCD54B44F0E}">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tc={0B073E0C-54A2-49FD-9D10-68F372A93F0B}</author>
  </authors>
  <commentList>
    <comment ref="C115" authorId="0" shapeId="0" xr:uid="{0B073E0C-54A2-49FD-9D10-68F372A93F0B}">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tc={CC4957C0-A4FC-4BE5-8ABF-0851EE5548D1}</author>
  </authors>
  <commentList>
    <comment ref="C115" authorId="0" shapeId="0" xr:uid="{CC4957C0-A4FC-4BE5-8ABF-0851EE5548D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tc={89354E47-83BB-4711-9804-D14D924EFE6C}</author>
    <author>tc={0E561484-496B-455A-A2C0-402FA228FFBD}</author>
    <author>tc={2AF0722E-CE4A-43E0-BCEF-485BEFF774B1}</author>
  </authors>
  <commentList>
    <comment ref="C119" authorId="0" shapeId="0" xr:uid="{89354E47-83BB-4711-9804-D14D924EFE6C}">
      <text>
        <t>[Threaded comment]
Your version of Excel allows you to read this threaded comment; however, any edits to it will get removed if the file is opened in a newer version of Excel. Learn more: https://go.microsoft.com/fwlink/?linkid=870924
Comment:
    Based on 21 cu. Ft assumption based off DOE findings</t>
      </text>
    </comment>
    <comment ref="D122" authorId="1" shapeId="0" xr:uid="{0E561484-496B-455A-A2C0-402FA228FFBD}">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 ref="E122" authorId="2" shapeId="0" xr:uid="{2AF0722E-CE4A-43E0-BCEF-485BEFF774B1}">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tc={1A8805F4-8DBD-4611-A2C3-894549F598E2}</author>
  </authors>
  <commentList>
    <comment ref="C111" authorId="0" shapeId="0" xr:uid="{1A8805F4-8DBD-4611-A2C3-894549F598E2}">
      <text>
        <t>[Threaded comment]
Your version of Excel allows you to read this threaded comment; however, any edits to it will get removed if the file is opened in a newer version of Excel. Learn more: https://go.microsoft.com/fwlink/?linkid=870924
Comment:
    Region agnostic data</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tc={3FFD8515-E862-4F79-9F1C-6038ACEF6C23}</author>
  </authors>
  <commentList>
    <comment ref="C119" authorId="0" shapeId="0" xr:uid="{3FFD8515-E862-4F79-9F1C-6038ACEF6C23}">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tc={827BF922-DE03-4327-8CF7-B0C51A7017DD}</author>
  </authors>
  <commentList>
    <comment ref="E118" authorId="0" shapeId="0" xr:uid="{827BF922-DE03-4327-8CF7-B0C51A7017DD}">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tc={0B4C0339-781F-40F3-8FB8-23E4E58ED7A8}</author>
  </authors>
  <commentList>
    <comment ref="E118" authorId="0" shapeId="0" xr:uid="{0B4C0339-781F-40F3-8FB8-23E4E58ED7A8}">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tc={9F7E0977-FF1B-4848-82B7-E7D96D73EC16}</author>
    <author>tc={C03C99A6-FC4C-4298-B409-3AB6EF55A02D}</author>
    <author>tc={778E584A-9F4A-4CD2-A23A-280FA9437488}</author>
  </authors>
  <commentList>
    <comment ref="C116" authorId="0" shapeId="0" xr:uid="{9F7E0977-FF1B-4848-82B7-E7D96D73EC16}">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C03C99A6-FC4C-4298-B409-3AB6EF55A02D}">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778E584A-9F4A-4CD2-A23A-280FA9437488}">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tc={8BE4B212-CAFD-445A-894F-C33CD42E8D15}</author>
    <author>tc={92ACDB48-B158-441D-9BC0-DD9ADBB1E7A2}</author>
    <author>tc={1C9B8CC5-2CEF-4A7D-B437-ECABA2C79BCE}</author>
    <author>tc={0F40C322-32EF-43A3-ADF6-2D928332B17A}</author>
    <author>tc={4448BDC8-9E98-46ED-8453-E6C401B5AAD2}</author>
  </authors>
  <commentList>
    <comment ref="C113" authorId="0" shapeId="0" xr:uid="{8BE4B212-CAFD-445A-894F-C33CD42E8D1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B115" authorId="1" shapeId="0" xr:uid="{92ACDB48-B158-441D-9BC0-DD9ADBB1E7A2}">
      <text>
        <t>[Threaded comment]
Your version of Excel allows you to read this threaded comment; however, any edits to it will get removed if the file is opened in a newer version of Excel. Learn more: https://go.microsoft.com/fwlink/?linkid=870924
Comment:
    IL specific values, need to be adjusted for PR levels</t>
      </text>
    </comment>
    <comment ref="C119" authorId="2" shapeId="0" xr:uid="{1C9B8CC5-2CEF-4A7D-B437-ECABA2C79BCE}">
      <text>
        <t>[Threaded comment]
Your version of Excel allows you to read this threaded comment; however, any edits to it will get removed if the file is opened in a newer version of Excel. Learn more: https://go.microsoft.com/fwlink/?linkid=870924
Comment:
    Assumption of new lighting being added. Value needs to be changed here.</t>
      </text>
    </comment>
    <comment ref="C121" authorId="3" shapeId="0" xr:uid="{0F40C322-32EF-43A3-ADF6-2D928332B17A}">
      <text>
        <t>[Threaded comment]
Your version of Excel allows you to read this threaded comment; however, any edits to it will get removed if the file is opened in a newer version of Excel. Learn more: https://go.microsoft.com/fwlink/?linkid=870924
Comment:
    IL specific value, needs to be adjusted to PR levels</t>
      </text>
    </comment>
    <comment ref="D139" authorId="4" shapeId="0" xr:uid="{4448BDC8-9E98-46ED-8453-E6C401B5AAD2}">
      <text>
        <t>[Threaded comment]
Your version of Excel allows you to read this threaded comment; however, any edits to it will get removed if the file is opened in a newer version of Excel. Learn more: https://go.microsoft.com/fwlink/?linkid=870924
Comment:
    Can be observed as region agnostic values</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tc={25990C51-C096-4843-B021-A95F29BA7517}</author>
    <author>tc={2DF790A3-B24F-415D-B3FD-44835C210F0A}</author>
    <author>tc={B93590B5-42A6-4945-B110-14EF19D57885}</author>
  </authors>
  <commentList>
    <comment ref="C111" authorId="0" shapeId="0" xr:uid="{25990C51-C096-4843-B021-A95F29BA7517}">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0" authorId="1" shapeId="0" xr:uid="{2DF790A3-B24F-415D-B3FD-44835C210F0A}">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1" authorId="2" shapeId="0" xr:uid="{B93590B5-42A6-4945-B110-14EF19D5788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tc={21F26933-8EF7-4899-9310-48CB09BAB821}</author>
  </authors>
  <commentList>
    <comment ref="C112" authorId="0" shapeId="0" xr:uid="{21F26933-8EF7-4899-9310-48CB09BAB821}">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tc={B126960F-FBFF-42B9-AFA8-A3432AE5644D}</author>
    <author>tc={B04F9A76-CB70-45C2-8213-4C9B4A58E514}</author>
  </authors>
  <commentList>
    <comment ref="C112" authorId="0" shapeId="0" xr:uid="{B126960F-FBFF-42B9-AFA8-A3432AE5644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04F9A76-CB70-45C2-8213-4C9B4A58E514}">
      <text>
        <t xml:space="preserve">[Threaded comment]
Your version of Excel allows you to read this threaded comment; however, any edits to it will get removed if the file is opened in a newer version of Excel. Learn more: https://go.microsoft.com/fwlink/?linkid=870924
Comment:
    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tc={50B808E5-6549-4002-8824-53ACDC3AA265}</author>
  </authors>
  <commentList>
    <comment ref="D121" authorId="0" shapeId="0" xr:uid="{50B808E5-6549-4002-8824-53ACDC3AA265}">
      <text>
        <t>[Threaded comment]
Your version of Excel allows you to read this threaded comment; however, any edits to it will get removed if the file is opened in a newer version of Excel. Learn more: https://go.microsoft.com/fwlink/?linkid=870924
Comment:
    Assuming to be equal to Combination A</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tc={7F857458-E472-4429-B877-568674300186}</author>
  </authors>
  <commentList>
    <comment ref="C112" authorId="0" shapeId="0" xr:uid="{7F857458-E472-4429-B877-568674300186}">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tc={CD48593C-615E-42CD-9757-D8F87E460FD1}</author>
  </authors>
  <commentList>
    <comment ref="C112" authorId="0" shapeId="0" xr:uid="{CD48593C-615E-42CD-9757-D8F87E460FD1}">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tc={038EF6F4-B984-4A64-A7EF-08043F4A2C65}</author>
  </authors>
  <commentList>
    <comment ref="C112" authorId="0" shapeId="0" xr:uid="{038EF6F4-B984-4A64-A7EF-08043F4A2C65}">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tc={61D75DA9-6C1E-457F-9705-0D84591DECAB}</author>
    <author>tc={BA756753-B6B7-4464-9A86-200646BE90CF}</author>
    <author>tc={D6F23D79-0C83-41F3-8EF0-5C84DA452DBA}</author>
  </authors>
  <commentList>
    <comment ref="C113" authorId="0" shapeId="0" xr:uid="{61D75DA9-6C1E-457F-9705-0D84591DECAB}">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A756753-B6B7-4464-9A86-200646BE90CF}">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D6F23D79-0C83-41F3-8EF0-5C84DA452DB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tc={60F6271E-6811-4CA2-8A2C-C7BA9D68622C}</author>
    <author>tc={159382E5-87C5-41F5-A4E8-F0CFF1D6E7EE}</author>
    <author>tc={EE56F2B9-324D-43F2-B4D2-5547D9CECB1B}</author>
  </authors>
  <commentList>
    <comment ref="C113" authorId="0" shapeId="0" xr:uid="{60F6271E-6811-4CA2-8A2C-C7BA9D68622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159382E5-87C5-41F5-A4E8-F0CFF1D6E7EE}">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EE56F2B9-324D-43F2-B4D2-5547D9CECB1B}">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tc={6CEF6E7E-5236-4B50-A0EF-0DF613EAA188}</author>
    <author>tc={50A5D91E-000D-44AB-863F-4424FE5B491C}</author>
    <author>tc={D3E07ED3-B89D-418F-A91B-57E6AD11DC3E}</author>
  </authors>
  <commentList>
    <comment ref="C113" authorId="0" shapeId="0" xr:uid="{6CEF6E7E-5236-4B50-A0EF-0DF613EAA188}">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50A5D91E-000D-44AB-863F-4424FE5B491C}">
      <text>
        <t>[Threaded comment]
Your version of Excel allows you to read this threaded comment; however, any edits to it will get removed if the file is opened in a newer version of Excel. Learn more: https://go.microsoft.com/fwlink/?linkid=870924
Comment:
    Assuming multi step</t>
      </text>
    </comment>
    <comment ref="C116" authorId="2" shapeId="0" xr:uid="{D3E07ED3-B89D-418F-A91B-57E6AD11DC3E}">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tc={9219B36C-90D3-42BB-AA71-DF08B29D5481}</author>
    <author>tc={FFCA3F0D-AFAD-4BBB-ABD6-1B618FE6ED6B}</author>
    <author>tc={57834A9D-B27E-4DF5-A443-E7F52911E5CA}</author>
  </authors>
  <commentList>
    <comment ref="C113" authorId="0" shapeId="0" xr:uid="{9219B36C-90D3-42BB-AA71-DF08B29D5481}">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FCA3F0D-AFAD-4BBB-ABD6-1B618FE6ED6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57834A9D-B27E-4DF5-A443-E7F52911E5C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tc={A38FF09F-7681-49C7-8741-DC3C449D46D7}</author>
  </authors>
  <commentList>
    <comment ref="E123" authorId="0" shapeId="0" xr:uid="{A38FF09F-7681-49C7-8741-DC3C449D46D7}">
      <text>
        <t>[Threaded comment]
Your version of Excel allows you to read this threaded comment; however, any edits to it will get removed if the file is opened in a newer version of Excel. Learn more: https://go.microsoft.com/fwlink/?linkid=870924
Comment:
    Based on source for baseline effectiveness being 50%</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tc={77D688AB-0D71-4F8A-9564-60B57DD3D406}</author>
    <author>tc={B6852827-D81B-4DD4-939B-A2531F7D0BEB}</author>
    <author>tc={9DF42E0E-F355-4E41-A28D-16DE24F7B588}</author>
  </authors>
  <commentList>
    <comment ref="C113" authorId="0" shapeId="0" xr:uid="{77D688AB-0D71-4F8A-9564-60B57DD3D406}">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6852827-D81B-4DD4-939B-A2531F7D0BE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9DF42E0E-F355-4E41-A28D-16DE24F7B588}">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tc={83DCACD6-2A7C-4E39-AEE5-F454AB238A36}</author>
    <author>tc={B6B97C80-9E43-4842-AE47-24D423C71DC6}</author>
  </authors>
  <commentList>
    <comment ref="C112" authorId="0" shapeId="0" xr:uid="{83DCACD6-2A7C-4E39-AEE5-F454AB238A36}">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B6B97C80-9E43-4842-AE47-24D423C71DC6}">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tc={78C0B617-77CD-40F2-85A9-06D550FA8422}</author>
    <author>tc={F0C786E0-8C7D-4FAF-9141-1E9428B16D62}</author>
  </authors>
  <commentList>
    <comment ref="C112" authorId="0" shapeId="0" xr:uid="{78C0B617-77CD-40F2-85A9-06D550FA8422}">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F0C786E0-8C7D-4FAF-9141-1E9428B16D62}">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tc={48B4B615-08C2-4E81-B88B-397CB15D8048}</author>
    <author>tc={3FAEB4A2-1EC7-41FA-9ACB-8AB1839E79F6}</author>
    <author>Matt Socks</author>
  </authors>
  <commentList>
    <comment ref="C111" authorId="0" shapeId="0" xr:uid="{48B4B615-08C2-4E81-B88B-397CB15D8048}">
      <text>
        <t xml:space="preserve">[Threaded comment]
Your version of Excel allows you to read this threaded comment; however, any edits to it will get removed if the file is opened in a newer version of Excel. Learn more: https://go.microsoft.com/fwlink/?linkid=870924
Comment:
    Region agnostic source: 5 DeOreo, B., and P. Mayer. Residential End Uses of Water Study Update. Forthcoming. ©2015 Water Research Foundation. Reprinted With Permission 
</t>
      </text>
    </comment>
    <comment ref="C112" authorId="1" shapeId="0" xr:uid="{3FAEB4A2-1EC7-41FA-9ACB-8AB1839E79F6}">
      <text>
        <t xml:space="preserve">[Threaded comment]
Your version of Excel allows you to read this threaded comment; however, any edits to it will get removed if the file is opened in a newer version of Excel. Learn more: https://go.microsoft.com/fwlink/?linkid=870924
Comment:
    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
      </text>
    </comment>
    <comment ref="P163" authorId="2" shapeId="0" xr:uid="{00000000-0006-0000-C6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63" authorId="2" shapeId="0" xr:uid="{00000000-0006-0000-C6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63" authorId="2" shapeId="0" xr:uid="{00000000-0006-0000-C6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tc={07D104B4-EB3D-4A6B-9B72-788B6F791649}</author>
  </authors>
  <commentList>
    <comment ref="C113" authorId="0" shapeId="0" xr:uid="{07D104B4-EB3D-4A6B-9B72-788B6F79164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tc={A174CFC0-2C51-4109-A3C4-83A03BACC1B5}</author>
  </authors>
  <commentList>
    <comment ref="E125" authorId="0" shapeId="0" xr:uid="{A174CFC0-2C51-4109-A3C4-83A03BACC1B5}">
      <text>
        <t>[Threaded comment]
Your version of Excel allows you to read this threaded comment; however, any edits to it will get removed if the file is opened in a newer version of Excel. Learn more: https://go.microsoft.com/fwlink/?linkid=870924
Comment:
    Lack of data</t>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Matt Socks</author>
  </authors>
  <commentList>
    <comment ref="P134" authorId="0" shapeId="0" xr:uid="{00000000-0006-0000-C7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34" authorId="0" shapeId="0" xr:uid="{00000000-0006-0000-C7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34" authorId="0" shapeId="0" xr:uid="{00000000-0006-0000-C7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tc={D0CFFCB5-720D-47CA-92B1-4195FADD8475}</author>
  </authors>
  <commentList>
    <comment ref="C124" authorId="0" shapeId="0" xr:uid="{D0CFFCB5-720D-47CA-92B1-4195FADD8475}">
      <text>
        <t>[Threaded comment]
Your version of Excel allows you to read this threaded comment; however, any edits to it will get removed if the file is opened in a newer version of Excel. Learn more: https://go.microsoft.com/fwlink/?linkid=870924
Comment:
    Electric tankless</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tc={63CEB620-FACE-4F2A-9853-F5F20FC52F5C}</author>
    <author>tc={23479CBA-26C8-4A87-BD01-D9DC67F90D44}</author>
    <author>tc={B88DB72A-6879-4407-9551-3D36CAAD897E}</author>
    <author>tc={080E2416-C163-4299-B287-68DD01FF9C02}</author>
    <author>tc={A8BE7C35-F30A-497F-96A5-677B7DA038B9}</author>
    <author>tc={6267CA0D-55A6-43AA-883E-E66A4FB94D56}</author>
    <author>tc={83195B40-9AAD-4DF9-A251-90974E2D782E}</author>
    <author>tc={A8A857BA-C7A9-4FEC-B749-6664990594FD}</author>
  </authors>
  <commentList>
    <comment ref="C118" authorId="0" shapeId="0" xr:uid="{63CEB620-FACE-4F2A-9853-F5F20FC52F5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20" authorId="1" shapeId="0" xr:uid="{23479CBA-26C8-4A87-BD01-D9DC67F90D44}">
      <text>
        <t>[Threaded comment]
Your version of Excel allows you to read this threaded comment; however, any edits to it will get removed if the file is opened in a newer version of Excel. Learn more: https://go.microsoft.com/fwlink/?linkid=870924
Comment:
    Assuming a 12 EER for a Large CI CAC: https://www.energystar.gov/products/heating_cooling/light_commercial_heating_cooling/light_commercial_hvac_key_product_criteria</t>
      </text>
    </comment>
    <comment ref="C123" authorId="2" shapeId="0" xr:uid="{B88DB72A-6879-4407-9551-3D36CAAD897E}">
      <text>
        <t>[Threaded comment]
Your version of Excel allows you to read this threaded comment; however, any edits to it will get removed if the file is opened in a newer version of Excel. Learn more: https://go.microsoft.com/fwlink/?linkid=870924
Comment:
    Random assumption of 65 degree CD for PE. Likely to be higher, closer to 360</t>
      </text>
    </comment>
    <comment ref="C131" authorId="3" shapeId="0" xr:uid="{080E2416-C163-4299-B287-68DD01FF9C02}">
      <text>
        <t>[Threaded comment]
Your version of Excel allows you to read this threaded comment; however, any edits to it will get removed if the file is opened in a newer version of Excel. Learn more: https://go.microsoft.com/fwlink/?linkid=870924
Comment:
    Chosen a setpoint of 72, with highest humidity.</t>
      </text>
    </comment>
    <comment ref="C135" authorId="4" shapeId="0" xr:uid="{A8BE7C35-F30A-497F-96A5-677B7DA038B9}">
      <text>
        <t>[Threaded comment]
Your version of Excel allows you to read this threaded comment; however, any edits to it will get removed if the file is opened in a newer version of Excel. Learn more: https://go.microsoft.com/fwlink/?linkid=870924
Comment:
    Could not find PR specific values. Chosen a bad example of averaging IL cities. To be changed later</t>
      </text>
    </comment>
    <comment ref="C139" authorId="5" shapeId="0" xr:uid="{6267CA0D-55A6-43AA-883E-E66A4FB94D56}">
      <text>
        <t>[Threaded comment]
Your version of Excel allows you to read this threaded comment; however, any edits to it will get removed if the file is opened in a newer version of Excel. Learn more: https://go.microsoft.com/fwlink/?linkid=870924
Comment:
    Random assumption of a storefront door being 4ft by 8ft, and having two of them</t>
      </text>
    </comment>
    <comment ref="C141" authorId="6" shapeId="0" xr:uid="{83195B40-9AAD-4DF9-A251-90974E2D782E}">
      <text>
        <t>[Threaded comment]
Your version of Excel allows you to read this threaded comment; however, any edits to it will get removed if the file is opened in a newer version of Excel. Learn more: https://go.microsoft.com/fwlink/?linkid=870924
Comment:
    Assumption for PR C&amp;I spaces</t>
      </text>
    </comment>
    <comment ref="C142" authorId="7" shapeId="0" xr:uid="{A8A857BA-C7A9-4FEC-B749-6664990594FD}">
      <text>
        <t>[Threaded comment]
Your version of Excel allows you to read this threaded comment; however, any edits to it will get removed if the file is opened in a newer version of Excel. Learn more: https://go.microsoft.com/fwlink/?linkid=870924
Comment:
    https://www.weather.gov/wrh/Climate?wfo=sju
Average temp of San Juan for 2000-2023</t>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tc={28A0B2FE-98FF-485F-B2ED-0FBF89E68B9E}</author>
  </authors>
  <commentList>
    <comment ref="C118" authorId="0" shapeId="0" xr:uid="{28A0B2FE-98FF-485F-B2ED-0FBF89E68B9E}">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tc={5A0EA77C-888B-42B8-88C7-0866CF18C15D}</author>
    <author>tc={F8A0CF42-A0AC-4660-B29B-38945CA25631}</author>
    <author>tc={BABECC54-2864-4F38-9166-4E96D473EC91}</author>
  </authors>
  <commentList>
    <comment ref="C113" authorId="0" shapeId="0" xr:uid="{5A0EA77C-888B-42B8-88C7-0866CF18C15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8A0CF42-A0AC-4660-B29B-38945CA25631}">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BABECC54-2864-4F38-9166-4E96D473EC91}">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tc={C19CD67E-5CC1-4007-AEEF-475DCC2AFDBC}</author>
    <author>tc={C2F7E902-1FF6-4A15-83AF-86D7DD873B14}</author>
    <author>tc={BDB3856F-1912-426F-AF7E-90105D861554}</author>
  </authors>
  <commentList>
    <comment ref="C112" authorId="0" shapeId="0" xr:uid="{C19CD67E-5CC1-4007-AEEF-475DCC2AFDB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4" authorId="1" shapeId="0" xr:uid="{C2F7E902-1FF6-4A15-83AF-86D7DD873B14}">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5" authorId="2" shapeId="0" xr:uid="{BDB3856F-1912-426F-AF7E-90105D861554}">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tc={9975BCC3-72F6-43FD-9925-77904878F4D4}</author>
  </authors>
  <commentList>
    <comment ref="C112" authorId="0" shapeId="0" xr:uid="{9975BCC3-72F6-43FD-9925-77904878F4D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tc={EDC64C18-9146-4A65-B3E0-1E918D86D629}</author>
  </authors>
  <commentList>
    <comment ref="C113" authorId="0" shapeId="0" xr:uid="{EDC64C18-9146-4A65-B3E0-1E918D86D629}">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tc={0B14A078-0CF7-45D2-A084-3ED909E43DF4}</author>
  </authors>
  <commentList>
    <comment ref="C111" authorId="0" shapeId="0" xr:uid="{0B14A078-0CF7-45D2-A084-3ED909E43DF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tc={9F5EDABB-BCEB-4217-AAF4-62B365A8CBB5}</author>
  </authors>
  <commentList>
    <comment ref="C112" authorId="0" shapeId="0" xr:uid="{9F5EDABB-BCEB-4217-AAF4-62B365A8CBB5}">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tc={859B11B8-4471-4362-895E-087864D308CA}</author>
    <author>tc={48F0316D-F662-41CF-839D-AFE1083D5CD0}</author>
    <author>tc={3361DAF4-53EA-4921-BDEA-BE53CC769FB1}</author>
    <author>tc={FF6E3405-2583-44BD-B384-835A5CD8C74A}</author>
  </authors>
  <commentList>
    <comment ref="C113" authorId="0" shapeId="0" xr:uid="{859B11B8-4471-4362-895E-087864D308CA}">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6" authorId="1" shapeId="0" xr:uid="{48F0316D-F662-41CF-839D-AFE1083D5CD0}">
      <text>
        <t>[Threaded comment]
Your version of Excel allows you to read this threaded comment; however, any edits to it will get removed if the file is opened in a newer version of Excel. Learn more: https://go.microsoft.com/fwlink/?linkid=870924
Comment:
    Random assumption of highest Hours value from IL TRM cities</t>
      </text>
    </comment>
    <comment ref="C120" authorId="2" shapeId="0" xr:uid="{3361DAF4-53EA-4921-BDEA-BE53CC769FB1}">
      <text>
        <t>[Threaded comment]
Your version of Excel allows you to read this threaded comment; however, any edits to it will get removed if the file is opened in a newer version of Excel. Learn more: https://go.microsoft.com/fwlink/?linkid=870924
Comment:
    Characterized for the unitary condition</t>
      </text>
    </comment>
    <comment ref="E127" authorId="3" shapeId="0" xr:uid="{FF6E3405-2583-44BD-B384-835A5CD8C74A}">
      <text>
        <t>[Threaded comment]
Your version of Excel allows you to read this threaded comment; however, any edits to it will get removed if the file is opened in a newer version of Excel. Learn more: https://go.microsoft.com/fwlink/?linkid=870924
Comment:
    Random assumption from IL TRM example</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tc={60777D77-C385-4EE5-83D7-5A1DBC0FAF2C}</author>
  </authors>
  <commentList>
    <comment ref="C124" authorId="0" shapeId="0" xr:uid="{60777D77-C385-4EE5-83D7-5A1DBC0FAF2C}">
      <text>
        <t>[Threaded comment]
Your version of Excel allows you to read this threaded comment; however, any edits to it will get removed if the file is opened in a newer version of Excel. Learn more: https://go.microsoft.com/fwlink/?linkid=870924
Comment:
    IL Centric value, needs to be normalized to PR levels</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tc={935AD4B9-802B-4289-82C5-215AD5E29C63}</author>
    <author>tc={E80C7717-EFF2-4148-A24C-A2C930FE2C51}</author>
    <author>tc={F1DB404C-1605-4930-BD2E-A668A68B906F}</author>
  </authors>
  <commentList>
    <comment ref="C112" authorId="0" shapeId="0" xr:uid="{935AD4B9-802B-4289-82C5-215AD5E29C63}">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E80C7717-EFF2-4148-A24C-A2C930FE2C51}">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B122" authorId="2" shapeId="0" xr:uid="{F1DB404C-1605-4930-BD2E-A668A68B906F}">
      <text>
        <t>[Threaded comment]
Your version of Excel allows you to read this threaded comment; however, any edits to it will get removed if the file is opened in a newer version of Excel. Learn more: https://go.microsoft.com/fwlink/?linkid=870924
Comment:
    Random assumptions. Need PR level verification</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tc={570DD050-55C1-49C1-9B7D-B964DB28E9F5}</author>
  </authors>
  <commentList>
    <comment ref="B114" authorId="0" shapeId="0" xr:uid="{570DD050-55C1-49C1-9B7D-B964DB28E9F5}">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tc={31582A78-12F0-4671-AC9C-7AC1801236E4}</author>
    <author>tc={CBF0E1D6-4E66-4EF9-B301-4FDE970ED097}</author>
    <author>tc={F3489483-8458-4FF2-9DA2-B8AD1545EE40}</author>
    <author>tc={06DDB2B0-08F6-4F0E-BED3-D8B752F9E199}</author>
    <author>tc={6AF73F63-7645-4052-8521-CCC30D4C6BF0}</author>
  </authors>
  <commentList>
    <comment ref="B115" authorId="0" shapeId="0" xr:uid="{31582A78-12F0-4671-AC9C-7AC1801236E4}">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23" authorId="1" shapeId="0" xr:uid="{CBF0E1D6-4E66-4EF9-B301-4FDE970ED097}">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E132" authorId="2" shapeId="0" xr:uid="{F3489483-8458-4FF2-9DA2-B8AD1545EE40}">
      <text>
        <t>[Threaded comment]
Your version of Excel allows you to read this threaded comment; however, any edits to it will get removed if the file is opened in a newer version of Excel. Learn more: https://go.microsoft.com/fwlink/?linkid=870924
Comment:
    Assumed value from the IL TRM. Needs evaluation</t>
      </text>
    </comment>
    <comment ref="C149" authorId="3" shapeId="0" xr:uid="{06DDB2B0-08F6-4F0E-BED3-D8B752F9E199}">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C154" authorId="4" shapeId="0" xr:uid="{6AF73F63-7645-4052-8521-CCC30D4C6BF0}">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tc={369EF062-058C-49D3-8DCA-68FD8F1591F6}</author>
    <author>tc={6D5BBEC8-CBDE-4AA2-A04E-29E1F841298C}</author>
    <author>tc={6D7527DF-D7C3-479E-9749-976E34B74A4E}</author>
  </authors>
  <commentList>
    <comment ref="C113" authorId="0" shapeId="0" xr:uid="{369EF062-058C-49D3-8DCA-68FD8F1591F6}">
      <text>
        <t>[Threaded comment]
Your version of Excel allows you to read this threaded comment; however, any edits to it will get removed if the file is opened in a newer version of Excel. Learn more: https://go.microsoft.com/fwlink/?linkid=870924
Comment:
    Assuming as Unknown from Table in Sec 4.5</t>
      </text>
    </comment>
    <comment ref="B115" authorId="1" shapeId="0" xr:uid="{6D5BBEC8-CBDE-4AA2-A04E-29E1F841298C}">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D119" authorId="2" shapeId="0" xr:uid="{6D7527DF-D7C3-479E-9749-976E34B74A4E}">
      <text>
        <t>[Threaded comment]
Your version of Excel allows you to read this threaded comment; however, any edits to it will get removed if the file is opened in a newer version of Excel. Learn more: https://go.microsoft.com/fwlink/?linkid=870924
Comment:
    Unknown no. of sides is assumed to be 2W as per IL TRM</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tc={79797B9B-66B1-4D7E-9CDD-C439F437EAA1}</author>
    <author>tc={981BA872-0675-4207-979D-A31A9A78FA5D}</author>
    <author>tc={6DB4C295-0CAF-4F95-BAB0-E7A8035F6C83}</author>
  </authors>
  <commentList>
    <comment ref="C112" authorId="0" shapeId="0" xr:uid="{79797B9B-66B1-4D7E-9CDD-C439F437EAA1}">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981BA872-0675-4207-979D-A31A9A78FA5D}">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G120" authorId="2" shapeId="0" xr:uid="{6DB4C295-0CAF-4F95-BAB0-E7A8035F6C83}">
      <text>
        <t>[Threaded comment]
Your version of Excel allows you to read this threaded comment; however, any edits to it will get removed if the file is opened in a newer version of Excel. Learn more: https://go.microsoft.com/fwlink/?linkid=870924
Comment:
    Assuming a 40% improvements with standard LEDs. https://www.usa.lighting.philips.com/consumer/ultra-efficient#:~:text=By%20improving%20the%20energy%20efficiency,saving%20energy%20%E2%80%93%20and%20the%20plant.</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tc={9B19A5A5-6FB6-45DC-824E-E4898D93082E}</author>
    <author>tc={04E1D48E-6A92-43AF-9BF6-CB190F88CD6A}</author>
    <author>tc={7F62ECD6-9694-4D15-923F-8E826ABD0690}</author>
    <author>tc={914F4F1F-C978-4D3A-B5EE-07D510450304}</author>
  </authors>
  <commentList>
    <comment ref="C112" authorId="0" shapeId="0" xr:uid="{9B19A5A5-6FB6-45DC-824E-E4898D93082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04E1D48E-6A92-43AF-9BF6-CB190F88CD6A}">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F121" authorId="2" shapeId="0" xr:uid="{7F62ECD6-9694-4D15-923F-8E826ABD0690}">
      <text>
        <t>[Threaded comment]
Your version of Excel allows you to read this threaded comment; however, any edits to it will get removed if the file is opened in a newer version of Excel. Learn more: https://go.microsoft.com/fwlink/?linkid=870924
Comment:
    IL Utility based values, needs PR level evaluations</t>
      </text>
    </comment>
    <comment ref="C129" authorId="3" shapeId="0" xr:uid="{914F4F1F-C978-4D3A-B5EE-07D510450304}">
      <text>
        <t>[Threaded comment]
Your version of Excel allows you to read this threaded comment; however, any edits to it will get removed if the file is opened in a newer version of Excel. Learn more: https://go.microsoft.com/fwlink/?linkid=870924
Comment:
    Assuming complete delamping of T8 lamp with reflector, etc. Measure considers T12 delamping to have a T8 retrofit</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tc={3BB51B7C-CC20-46F1-B3EB-EBE16A66DD27}</author>
    <author>tc={CA3958F4-089C-403A-A528-BFD25F16CC2B}</author>
    <author>tc={3A205F7E-5FAA-41A1-A187-8F85031EA619}</author>
    <author>tc={CE9A2AB6-3180-4F04-8A6F-5D47094D5E96}</author>
    <author>tc={65C50DBB-3700-4572-B8C3-6B51A114676D}</author>
    <author>tc={C4E11F11-641A-4D7D-B14C-ACE1E24B57CA}</author>
    <author>tc={70511C40-F6BC-45B8-8E1A-31651E1D73E9}</author>
    <author>tc={25123F3B-72D2-42CB-90C5-0C5CC6AB54BA}</author>
    <author>tc={29E1CAEB-587F-447C-ADFC-13A50AB410E1}</author>
    <author>tc={5E5184C9-3436-433D-9C8E-E3E173D5E26F}</author>
    <author>tc={EC678C39-9147-40CE-BE76-D6D3B22AA13A}</author>
    <author>tc={F6FEDBC6-DE97-4434-80A4-A0E9C217708E}</author>
    <author>tc={3AE0E764-CE8C-4C57-8576-DF0EF02F9EF5}</author>
  </authors>
  <commentList>
    <comment ref="C112" authorId="0" shapeId="0" xr:uid="{3BB51B7C-CC20-46F1-B3EB-EBE16A66DD27}">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4" authorId="1" shapeId="0" xr:uid="{CA3958F4-089C-403A-A528-BFD25F16CC2B}">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8" authorId="2" shapeId="0" xr:uid="{3A205F7E-5FAA-41A1-A187-8F85031EA619}">
      <text>
        <t>[Threaded comment]
Your version of Excel allows you to read this threaded comment; however, any edits to it will get removed if the file is opened in a newer version of Excel. Learn more: https://go.microsoft.com/fwlink/?linkid=870924
Comment:
    Assuming no existing Lighting controls</t>
      </text>
    </comment>
    <comment ref="B119" authorId="3" shapeId="0" xr:uid="{CE9A2AB6-3180-4F04-8A6F-5D47094D5E96}">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36" authorId="4" shapeId="0" xr:uid="{65C50DBB-3700-4572-B8C3-6B51A114676D}">
      <text>
        <t>[Threaded comment]
Your version of Excel allows you to read this threaded comment; however, any edits to it will get removed if the file is opened in a newer version of Excel. Learn more: https://go.microsoft.com/fwlink/?linkid=870924
Comment:
    $/Per sqft</t>
      </text>
    </comment>
    <comment ref="E139" authorId="5" shapeId="0" xr:uid="{C4E11F11-641A-4D7D-B14C-ACE1E24B57CA}">
      <text>
        <t>[Threaded comment]
Your version of Excel allows you to read this threaded comment; however, any edits to it will get removed if the file is opened in a newer version of Excel. Learn more: https://go.microsoft.com/fwlink/?linkid=870924
Comment:
    Defaulting to LLLC &gt;10000 lumens</t>
      </text>
    </comment>
    <comment ref="C141" authorId="6" shapeId="0" xr:uid="{70511C40-F6BC-45B8-8E1A-31651E1D73E9}">
      <text>
        <t>[Threaded comment]
Your version of Excel allows you to read this threaded comment; however, any edits to it will get removed if the file is opened in a newer version of Excel. Learn more: https://go.microsoft.com/fwlink/?linkid=870924
Comment:
    Defaulting to Exte Occupancy Sensor</t>
      </text>
    </comment>
    <comment ref="E151" authorId="7" shapeId="0" xr:uid="{25123F3B-72D2-42CB-90C5-0C5CC6AB54BA}">
      <text>
        <t>[Threaded comment]
Your version of Excel allows you to read this threaded comment; however, any edits to it will get removed if the file is opened in a newer version of Excel. Learn more: https://go.microsoft.com/fwlink/?linkid=870924
Comment:
    Assigned Unknown value from Table 4.5</t>
      </text>
    </comment>
    <comment ref="C170" authorId="8" shapeId="0" xr:uid="{29E1CAEB-587F-447C-ADFC-13A50AB410E1}">
      <text>
        <t>[Threaded comment]
Your version of Excel allows you to read this threaded comment; however, any edits to it will get removed if the file is opened in a newer version of Excel. Learn more: https://go.microsoft.com/fwlink/?linkid=870924
Comment:
    Approx values have been assigned from above table</t>
      </text>
    </comment>
    <comment ref="E184" authorId="9" shapeId="0" xr:uid="{5E5184C9-3436-433D-9C8E-E3E173D5E26F}">
      <text>
        <t>[Threaded comment]
Your version of Excel allows you to read this threaded comment; however, any edits to it will get removed if the file is opened in a newer version of Excel. Learn more: https://go.microsoft.com/fwlink/?linkid=870924
Comment:
    Assuming 7500 sqft.</t>
      </text>
    </comment>
    <comment ref="E185" authorId="10" shapeId="0" xr:uid="{EC678C39-9147-40CE-BE76-D6D3B22AA13A}">
      <text>
        <t>[Threaded comment]
Your version of Excel allows you to read this threaded comment; however, any edits to it will get removed if the file is opened in a newer version of Excel. Learn more: https://go.microsoft.com/fwlink/?linkid=870924
Comment:
    Assuming 55000 sqft.</t>
      </text>
    </comment>
    <comment ref="E186" authorId="11" shapeId="0" xr:uid="{F6FEDBC6-DE97-4434-80A4-A0E9C217708E}">
      <text>
        <t>[Threaded comment]
Your version of Excel allows you to read this threaded comment; however, any edits to it will get removed if the file is opened in a newer version of Excel. Learn more: https://go.microsoft.com/fwlink/?linkid=870924
Comment:
    Assuming 125000 sqft.</t>
      </text>
    </comment>
    <comment ref="E189" authorId="12" shapeId="0" xr:uid="{3AE0E764-CE8C-4C57-8576-DF0EF02F9EF5}">
      <text>
        <t>[Threaded comment]
Your version of Excel allows you to read this threaded comment; however, any edits to it will get removed if the file is opened in a newer version of Excel. Learn more: https://go.microsoft.com/fwlink/?linkid=870924
Comment:
    Defaulting to Ext occupancy sensor</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tc={9884986B-76F1-4FA2-9457-061457303A8E}</author>
    <author>tc={756D341D-EC53-4E06-8935-9E004E2AB1C2}</author>
  </authors>
  <commentList>
    <comment ref="C112" authorId="0" shapeId="0" xr:uid="{9884986B-76F1-4FA2-9457-061457303A8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756D341D-EC53-4E06-8935-9E004E2AB1C2}">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sharedStrings.xml><?xml version="1.0" encoding="utf-8"?>
<sst xmlns="http://schemas.openxmlformats.org/spreadsheetml/2006/main" count="28483" uniqueCount="2440">
  <si>
    <t>WEIGHTED AVERAGE</t>
  </si>
  <si>
    <t>Electric Heat Pump, Compact (120V) (&lt; 4.4 ft3 )</t>
  </si>
  <si>
    <t>Electric Heat Pump, Standard (≥ 4.4 ft3</t>
  </si>
  <si>
    <t>Ventless Electric, Compact (240V) (</t>
  </si>
  <si>
    <t>Vented Electric, Compact (240V) (</t>
  </si>
  <si>
    <t>Vented  or Ventless Electric, Compact (120V) (&lt; 4.4 ft3 )</t>
  </si>
  <si>
    <t>Vented or Ventless Electric, Standard (≥ 4.4 ft3</t>
  </si>
  <si>
    <t>Weighting</t>
  </si>
  <si>
    <t>Incremental Cost/kWh</t>
  </si>
  <si>
    <t>Incremental Cost</t>
  </si>
  <si>
    <t>Peak kW</t>
  </si>
  <si>
    <t>DeltakWh</t>
  </si>
  <si>
    <t>Cycles</t>
  </si>
  <si>
    <t>CEFee</t>
  </si>
  <si>
    <t>CEFbase</t>
  </si>
  <si>
    <t>Load</t>
  </si>
  <si>
    <t>Clothes Washer Configuration</t>
  </si>
  <si>
    <t>SUBMEASURE AGGREGATION - ENERGY STAR Most Efficient</t>
  </si>
  <si>
    <t>SUBMEASURE AGGREGATION - ENERGY STAR</t>
  </si>
  <si>
    <t>Vented Gas</t>
  </si>
  <si>
    <t>ENERGY STAR Most Efficient</t>
  </si>
  <si>
    <t>ENERGY STAR</t>
  </si>
  <si>
    <t>Product Class</t>
  </si>
  <si>
    <t>Vented Electric, Compact (120V) (&lt; 4.4 ft3 )</t>
  </si>
  <si>
    <t>Vented Electric, Standard (≥ 4.4 ft3</t>
  </si>
  <si>
    <t>CEF (lbs/kWh) under Appendix D2</t>
  </si>
  <si>
    <t>Compact</t>
  </si>
  <si>
    <t>Standard</t>
  </si>
  <si>
    <t>Load (lbs)</t>
  </si>
  <si>
    <t>Dryer Size</t>
  </si>
  <si>
    <t>REFERENCE TABLES</t>
  </si>
  <si>
    <t>Measure life of Clothes Washer</t>
  </si>
  <si>
    <t xml:space="preserve">Lifetime </t>
  </si>
  <si>
    <t>Coincidence Factor</t>
  </si>
  <si>
    <t>CF</t>
  </si>
  <si>
    <t>Table</t>
  </si>
  <si>
    <t>% of dryers that are electric</t>
  </si>
  <si>
    <t>%Electric</t>
  </si>
  <si>
    <t>Number of clothes washer cycles per year</t>
  </si>
  <si>
    <t>CEF (lbs/kWh) of the ENERGY STAR unit based on ENERGY STAR or ENERGY STAR Most Efficient requirements.155 If product class unknown, assume electric, standard</t>
  </si>
  <si>
    <t>Combined energy factor (CEF) (lbs/kWh) of the baseline unit is based on existing federal standards energy factor and adjusted to CEF-D2 (equivalent to as if tested under Appendix D2) as performed in the ENERGY STAR analysis. 152 If product class unknown, assume electric, standard.</t>
  </si>
  <si>
    <t>Capacity of baseline clothes washer; Use defaults when actuals are unknown</t>
  </si>
  <si>
    <t>IL TRM V12, pg. 53-59</t>
  </si>
  <si>
    <t>DESCRIPTION</t>
  </si>
  <si>
    <t>SOURCE</t>
  </si>
  <si>
    <t>VALUE</t>
  </si>
  <si>
    <t>INPUTS/VARIABLES</t>
  </si>
  <si>
    <t>Electric Water Heater and Electric Drying</t>
  </si>
  <si>
    <t>Delta kW peak = (deltakWh/(Hours)) * CF</t>
  </si>
  <si>
    <t>Delta kWh = ((Load/CEFbase) – Load/CEFee) * Cycles * %Electric</t>
  </si>
  <si>
    <t>CALCULATIONS</t>
  </si>
  <si>
    <t>Water
[gal/yr per kWh | MMBtu saved]</t>
  </si>
  <si>
    <t>Water 
(gal/yr)</t>
  </si>
  <si>
    <t>Water INPUTS</t>
  </si>
  <si>
    <t>O&amp;M Annual Levelized Cost ($/kWh | $/MMBtu)</t>
  </si>
  <si>
    <t>Baseline Component 2 Replacement Cost per kWh | MMBtu saved</t>
  </si>
  <si>
    <t>Baseline Component 2 Replacement Cost</t>
  </si>
  <si>
    <t>Baseline Component 2 Life
(years)</t>
  </si>
  <si>
    <t>Baseline Component 2 (description)</t>
  </si>
  <si>
    <t>Baseline Component 1 Replacement Cost per kWh | MMBtu saved</t>
  </si>
  <si>
    <t>Baseline Component 1 Replacement Cost</t>
  </si>
  <si>
    <t>Baseline Component 1 Life
(years)</t>
  </si>
  <si>
    <t>Baseline Component 1 (description)</t>
  </si>
  <si>
    <t>Eff Component 2 Replacement Cost per kWh | MMBtu saved</t>
  </si>
  <si>
    <t>Eff Component 2 Replacement Cost</t>
  </si>
  <si>
    <t>Eff Component 2 Life
(years)</t>
  </si>
  <si>
    <t>Efficient Component 2 (description)</t>
  </si>
  <si>
    <t>Eff Component 1 Replacement Cost per kWh | MMBtu saved</t>
  </si>
  <si>
    <t>Eff Component 1 Replacement Cost</t>
  </si>
  <si>
    <t>Eff Component 1 Life
(years)</t>
  </si>
  <si>
    <t>Efficient Component 1 (description)</t>
  </si>
  <si>
    <t>O&amp;M INPUTS</t>
  </si>
  <si>
    <t>Baseline shift savings factor (for RET)</t>
  </si>
  <si>
    <t>Baseline Cost per kWh | MMBtu saved</t>
  </si>
  <si>
    <t>Baseline Cost</t>
  </si>
  <si>
    <t>Baseline Equip. Age</t>
  </si>
  <si>
    <t>Baseline Equip. Life</t>
  </si>
  <si>
    <t>EARLY-RETIREMENT RETROFIT MEASURE INPUTS</t>
  </si>
  <si>
    <t>Annual Fossil Fuel (or Elec) Savings per Elec (or FF) Savings - increased is negative (MMBtu/kWh | kWh/MMBtu saved)</t>
  </si>
  <si>
    <t>Fossil Fuel (or Elec) Savings - increased use is negative (MMBtu/yr | kWh/yr)</t>
  </si>
  <si>
    <t>SECONDARY END-USE FUEL IMPACTS (MMBtu/kWh), OR Elec Impacts (kWh/MMBtu)</t>
  </si>
  <si>
    <t>Incremental Cost per kWh | MMBtu Saved</t>
  </si>
  <si>
    <t>Baseline Equip Cost</t>
  </si>
  <si>
    <t>Efficient Equip Cost</t>
  </si>
  <si>
    <t>2,5</t>
  </si>
  <si>
    <t>% Savings (primary fuel)</t>
  </si>
  <si>
    <t>kWh | MMBtu Annual Savings</t>
  </si>
  <si>
    <t>Full Load Hours</t>
  </si>
  <si>
    <t>Baseline kW | MMBtu</t>
  </si>
  <si>
    <t>Efficient kW | MMBtu</t>
  </si>
  <si>
    <t>per washer</t>
  </si>
  <si>
    <t>Units for Costs &amp; Savings Values</t>
  </si>
  <si>
    <t>Single Family</t>
  </si>
  <si>
    <t>Building type assumed for characterization</t>
  </si>
  <si>
    <t>End Year</t>
  </si>
  <si>
    <t>Start Year</t>
  </si>
  <si>
    <t>ENERGY STAR Clothes Washer with electric water heating and gas drying</t>
  </si>
  <si>
    <t>ENERGY STAR Clothes Washer with electric water heating and electric drying</t>
  </si>
  <si>
    <t>Efficient Description</t>
  </si>
  <si>
    <t>Existing or new Non-ENERGY STAR Clothes Washer with electric water heating and gas drying</t>
  </si>
  <si>
    <t>Existing or new Non-ENERGY STAR Clothes Washer with electric water heating and electric drying</t>
  </si>
  <si>
    <t>Baseline Description</t>
  </si>
  <si>
    <t>NC, RENO, REPL</t>
  </si>
  <si>
    <t>Target Markets (NC, RENO, REPL, RET)</t>
  </si>
  <si>
    <t>Mkt (MD or RET)</t>
  </si>
  <si>
    <t>GENERAL ('MeasChars' Sheet) INPUTS</t>
  </si>
  <si>
    <t>Mutual Exclusivity</t>
  </si>
  <si>
    <t>Links With</t>
  </si>
  <si>
    <t>Depends On</t>
  </si>
  <si>
    <t>Waste Heat Adjust. (Y/N)</t>
  </si>
  <si>
    <t>Fuel Switch (Y/N)</t>
  </si>
  <si>
    <t>Elec Load Shape</t>
  </si>
  <si>
    <t>Appliances</t>
  </si>
  <si>
    <t>Water Heating</t>
  </si>
  <si>
    <t>Secondary Fuel End Use</t>
  </si>
  <si>
    <t>Primary Fuel End Use</t>
  </si>
  <si>
    <t>Secondary Fuel</t>
  </si>
  <si>
    <t>Primary Fuel</t>
  </si>
  <si>
    <t>Exist. Life</t>
  </si>
  <si>
    <t>Life</t>
  </si>
  <si>
    <t>This measure includes replacement of failed or working clothes washer in existing homes with ENERGY STAR clothes washers, or installation of an ENERGY STAR clothes washer in a new home. This measure applies to clothes washers that use electric water heating and gas drying.</t>
  </si>
  <si>
    <t>This measure includes replacement of failed or working clothes washer in existing homes with ENERGY STAR clothes washers, or installation of an ENERGY STAR clothes washer in a new home. This measure applies to clothes washers that use electric water heating and electric drying.</t>
  </si>
  <si>
    <t>Description</t>
  </si>
  <si>
    <t>Sector</t>
  </si>
  <si>
    <t>Parent Measure Long Name</t>
  </si>
  <si>
    <t>ES Clothes Washer_Res, E/G - [Elec DHW/Gas Dry, SF] (MD)</t>
  </si>
  <si>
    <t>ES Clothes Washer_Res, E - [Elec DHW/Elec Dry, SF] (MD)</t>
  </si>
  <si>
    <t>Parent Measure Name</t>
  </si>
  <si>
    <t>Measure Long Name</t>
  </si>
  <si>
    <t>Measure Name</t>
  </si>
  <si>
    <t>GENERAL ('Measures' Sheet) INPUTS</t>
  </si>
  <si>
    <t>SOURCES</t>
  </si>
  <si>
    <t>MEASURE DATA</t>
  </si>
  <si>
    <t>ENTER MANUALLY OR FORMULAICALLY FROM CALCULATIONS SECTION</t>
  </si>
  <si>
    <t>CALCULATED FIELD</t>
  </si>
  <si>
    <t>KEY FOR MEASURE DATA ROWS</t>
  </si>
  <si>
    <t>TotG</t>
  </si>
  <si>
    <t>TotE</t>
  </si>
  <si>
    <t>PrH</t>
  </si>
  <si>
    <t>PrC</t>
  </si>
  <si>
    <t>CAS</t>
  </si>
  <si>
    <t>Motr</t>
  </si>
  <si>
    <t>Driv</t>
  </si>
  <si>
    <t xml:space="preserve">HWat </t>
  </si>
  <si>
    <t>Vent</t>
  </si>
  <si>
    <t>Heat</t>
  </si>
  <si>
    <t>Refr</t>
  </si>
  <si>
    <t>Plug</t>
  </si>
  <si>
    <t>Oth</t>
  </si>
  <si>
    <t>IntL</t>
  </si>
  <si>
    <t>ExtL</t>
  </si>
  <si>
    <t>Cool</t>
  </si>
  <si>
    <t>Cook</t>
  </si>
  <si>
    <t>Appl</t>
  </si>
  <si>
    <t>Abbreviation</t>
  </si>
  <si>
    <t>Total Gas</t>
  </si>
  <si>
    <t>Total Electric</t>
  </si>
  <si>
    <t>Process Heating</t>
  </si>
  <si>
    <t>Process Cooling and Refrigeration</t>
  </si>
  <si>
    <t>Compressed Air Systems</t>
  </si>
  <si>
    <t>Motors and VFDs</t>
  </si>
  <si>
    <t>Drives</t>
  </si>
  <si>
    <t>Ventilation</t>
  </si>
  <si>
    <t>Space Heating</t>
  </si>
  <si>
    <t>Refrigeration</t>
  </si>
  <si>
    <t>Plug Loads</t>
  </si>
  <si>
    <t>Other</t>
  </si>
  <si>
    <t>Interior Lighting</t>
  </si>
  <si>
    <t>Exterior Lighting</t>
  </si>
  <si>
    <t>Cooling</t>
  </si>
  <si>
    <t>Cooking</t>
  </si>
  <si>
    <t>End Use</t>
  </si>
  <si>
    <t>Large Warehouse</t>
  </si>
  <si>
    <t>Large Retail</t>
  </si>
  <si>
    <t>Large Restaurant</t>
  </si>
  <si>
    <t>Large Office</t>
  </si>
  <si>
    <t>Large Miscellaneous/Other</t>
  </si>
  <si>
    <t>Large Lodging</t>
  </si>
  <si>
    <t>Large Institutional/Public Service</t>
  </si>
  <si>
    <t>Large Industrial Manufacturing</t>
  </si>
  <si>
    <t>Large Health - Other</t>
  </si>
  <si>
    <t>Large Health - Hospital</t>
  </si>
  <si>
    <t>Large Grocery</t>
  </si>
  <si>
    <t>Large Education - Other</t>
  </si>
  <si>
    <t>Large Education - College/University</t>
  </si>
  <si>
    <t>Small Warehouse</t>
  </si>
  <si>
    <t>Small Retail</t>
  </si>
  <si>
    <t>Small Restaurant</t>
  </si>
  <si>
    <t>Small Office</t>
  </si>
  <si>
    <t>Small Miscellaneous/Other</t>
  </si>
  <si>
    <t>Small Lodging</t>
  </si>
  <si>
    <t>Small Institutional/Public Service</t>
  </si>
  <si>
    <t>Small Industrial Manufacturing</t>
  </si>
  <si>
    <t>Small Health - Other</t>
  </si>
  <si>
    <t>Small Health - Hospital</t>
  </si>
  <si>
    <t>Small Grocery</t>
  </si>
  <si>
    <t>Small Education - Other</t>
  </si>
  <si>
    <t>Small Education - College/University</t>
  </si>
  <si>
    <t>LI Multifamily</t>
  </si>
  <si>
    <t>LI Single Family</t>
  </si>
  <si>
    <t>Multifamily</t>
  </si>
  <si>
    <t>Building Types</t>
  </si>
  <si>
    <t>MD</t>
  </si>
  <si>
    <t>Gas</t>
  </si>
  <si>
    <t>RET</t>
  </si>
  <si>
    <t>Electric</t>
  </si>
  <si>
    <t>Market-Driven</t>
  </si>
  <si>
    <t>Retrofit</t>
  </si>
  <si>
    <t>Market</t>
  </si>
  <si>
    <t>CI</t>
  </si>
  <si>
    <t>Res</t>
  </si>
  <si>
    <t>C&amp;I</t>
  </si>
  <si>
    <t>Residential</t>
  </si>
  <si>
    <t>Long Name</t>
  </si>
  <si>
    <t>UNIQUE MEASURE NAME</t>
  </si>
  <si>
    <t>End Use Abbr.</t>
  </si>
  <si>
    <t>Fuel Abbreviations</t>
  </si>
  <si>
    <t>Custom Field (blank OK)</t>
  </si>
  <si>
    <t>Market (RET or MD)</t>
  </si>
  <si>
    <t>Secondary Fuel (blank OK)</t>
  </si>
  <si>
    <t>#</t>
  </si>
  <si>
    <t>[PULL FORMULA DOWN]</t>
  </si>
  <si>
    <t>TAB BREAKOUT</t>
  </si>
  <si>
    <t>P</t>
  </si>
  <si>
    <t>O</t>
  </si>
  <si>
    <t>G</t>
  </si>
  <si>
    <t>E</t>
  </si>
  <si>
    <t>Propane</t>
  </si>
  <si>
    <t>Oil</t>
  </si>
  <si>
    <t>Fuel</t>
  </si>
  <si>
    <t>Fuel Type</t>
  </si>
  <si>
    <t>Life Source</t>
  </si>
  <si>
    <t>Sector (full name)</t>
  </si>
  <si>
    <t>Short Name (Same as Tab Name!)</t>
  </si>
  <si>
    <t>TAB NAMING LOOKUPS (DEFINED BY OVERALL PROJECT, NOT SPECIFIC MEASURE)</t>
  </si>
  <si>
    <t>MEASURE NAME</t>
  </si>
  <si>
    <t>CALCULATED CELLS</t>
  </si>
  <si>
    <t>INPUT CELLS</t>
  </si>
  <si>
    <t>REGION</t>
  </si>
  <si>
    <t>MEASURE GROUP DEFINITION</t>
  </si>
  <si>
    <t>CEE Advanced Tier</t>
  </si>
  <si>
    <t>ENERGY STAR Most Efficient/CEE Tier 2</t>
  </si>
  <si>
    <t>Incremental Cost per kWh Savings</t>
  </si>
  <si>
    <t>kWh/kW</t>
  </si>
  <si>
    <t>% Savings</t>
  </si>
  <si>
    <t>Unit kW Savings</t>
  </si>
  <si>
    <t>Unit Peak kW Savings</t>
  </si>
  <si>
    <t>kWh Savings</t>
  </si>
  <si>
    <t>Ewatertotal</t>
  </si>
  <si>
    <t>delWater</t>
  </si>
  <si>
    <t>Equipment Type</t>
  </si>
  <si>
    <t>SUBMEASURE AGGREGATION</t>
  </si>
  <si>
    <t>Water Pumping Electric Savings</t>
  </si>
  <si>
    <t>Dryeree</t>
  </si>
  <si>
    <t>DHWee</t>
  </si>
  <si>
    <t>Cwee</t>
  </si>
  <si>
    <t>IMEFee</t>
  </si>
  <si>
    <t>%ElecDryer</t>
  </si>
  <si>
    <t>Dryerbase</t>
  </si>
  <si>
    <t>%elecDHW</t>
  </si>
  <si>
    <t>DHWbase</t>
  </si>
  <si>
    <t>Cwbase</t>
  </si>
  <si>
    <t>IMEFbase</t>
  </si>
  <si>
    <t>Capacity</t>
  </si>
  <si>
    <t>IMEFsavings</t>
  </si>
  <si>
    <t>IMEFeff</t>
  </si>
  <si>
    <t>Baseline</t>
  </si>
  <si>
    <t>%Dryer</t>
  </si>
  <si>
    <t>%DHW</t>
  </si>
  <si>
    <t>%CW</t>
  </si>
  <si>
    <t>Percentage of Total Energy Consumption</t>
  </si>
  <si>
    <t>Federal Standard</t>
  </si>
  <si>
    <t>IMEF Savings (kWh)</t>
  </si>
  <si>
    <t>% of homes with a dryer that uses the dryer every time clothes are washed</t>
  </si>
  <si>
    <t>%dry/wash</t>
  </si>
  <si>
    <t>% of total energy consumption for ENERGY STAR clothes washer dryer operation</t>
  </si>
  <si>
    <t>% of total energy consumption attributed to ENERGY STAR clothes washer water heating</t>
  </si>
  <si>
    <t>% of total energy consumption for ENERGY STAR clothes washer mechanical operation</t>
  </si>
  <si>
    <t>% of total energy consumption for baseline clothes washer dryer operation</t>
  </si>
  <si>
    <t>% of water heaters that are electric</t>
  </si>
  <si>
    <t>% of total energy consumption attributed to baseline clothes washer water heating</t>
  </si>
  <si>
    <t>% of total energy consumption for baseline clothes washer mechanical operation</t>
  </si>
  <si>
    <t>Integrated Modified Energy Factor of ENERGY STAR clothes washer; Use defaults when actuals are unknown</t>
  </si>
  <si>
    <t>Integrated Modified Energy Factor of baseline clothes washer; Use defaults when actuals are unknown</t>
  </si>
  <si>
    <t>Delta kWh = [Capacity * 1/IMEFbase * Ncycles * (%CWbase + (%DHWbase * %ElecDHW) + (%Dryerbase * %ElecDryer))] - [Capacity * 1/IMEFeff * Ncycles * (%CWeff + (%DHWeff * %ElecDHW) + (%Dryereff * %ElecDryer))]</t>
  </si>
  <si>
    <t>IMEFSavings =Capacity*((1/IMEFbase)-(1/IMEFeff))*Cycles</t>
  </si>
  <si>
    <t>delta kWh</t>
  </si>
  <si>
    <t>EE kWh</t>
  </si>
  <si>
    <t>Base kWh</t>
  </si>
  <si>
    <t>Unit kWh Savings per Year</t>
  </si>
  <si>
    <t>L/kWheff</t>
  </si>
  <si>
    <t>L/kWhb</t>
  </si>
  <si>
    <t>CAP</t>
  </si>
  <si>
    <t xml:space="preserve">SUBMEASURE AGGREGATION ENERGY STAR </t>
  </si>
  <si>
    <t>SUBMEASURE AGGREGATION ENERGY STAR MOST EFFICIENT</t>
  </si>
  <si>
    <t>COST</t>
  </si>
  <si>
    <t>Min ENERGY STAR Most Efficient</t>
  </si>
  <si>
    <t>Min ENERGY STAR</t>
  </si>
  <si>
    <t>Min Fed Standard</t>
  </si>
  <si>
    <t>Max</t>
  </si>
  <si>
    <t>Min</t>
  </si>
  <si>
    <t>Bin</t>
  </si>
  <si>
    <t>Performance Characteristics</t>
  </si>
  <si>
    <t>IL TRM V12, pg. 20-23</t>
  </si>
  <si>
    <t>Measure life of the dehumidifier</t>
  </si>
  <si>
    <t>Measure Life</t>
  </si>
  <si>
    <t>Liters of water per kWh removed by new ENERGY STAR unit</t>
  </si>
  <si>
    <t>Liters of water per kWh removed by baseline standard efficiency unit</t>
  </si>
  <si>
    <t>Run hours per year</t>
  </si>
  <si>
    <t>Hours</t>
  </si>
  <si>
    <t>Constant to convert pints to liters</t>
  </si>
  <si>
    <t>Conversion Factor (liters/pint)</t>
  </si>
  <si>
    <t>Capacity of the unit in pints/day</t>
  </si>
  <si>
    <t>CAP (pints/day)</t>
  </si>
  <si>
    <t>Unit kW Savings = UnitkWh Savings per Year * CF/Hours</t>
  </si>
  <si>
    <t>Unit kWh Savings per Year = (((Cap*0.473)/24)*Hours)*(1/(L/kWhb)-(1/(L/kWheff))</t>
  </si>
  <si>
    <t>ALGORITHMS</t>
  </si>
  <si>
    <t>New ENERGY STAR dehumidifier</t>
  </si>
  <si>
    <t>Existing or dehumidifier or new standard dehumidifier meeting the federal minimum standard</t>
  </si>
  <si>
    <t>This measure includes installation of a new ENERGY STAR Dehumidifier or replacement of an old dehumidifier with an ENERGY STAR unit.</t>
  </si>
  <si>
    <t>ENERGY STAR Dehumidifier</t>
  </si>
  <si>
    <t>Standard with Connected Functionality</t>
  </si>
  <si>
    <t>Unit kWh Savings</t>
  </si>
  <si>
    <t>kWh_EE</t>
  </si>
  <si>
    <t>kWh_Base</t>
  </si>
  <si>
    <t>Appliance Electric Savings</t>
  </si>
  <si>
    <t>delWater Factors</t>
  </si>
  <si>
    <t>Gas Water Heating</t>
  </si>
  <si>
    <t>Electric Water Heating</t>
  </si>
  <si>
    <t>ENERGY STAR Cost</t>
  </si>
  <si>
    <t>Dishwasher Type</t>
  </si>
  <si>
    <t>-</t>
  </si>
  <si>
    <t>WF_Base</t>
  </si>
  <si>
    <t>WF_EE</t>
  </si>
  <si>
    <t>WF Factors</t>
  </si>
  <si>
    <t>kWh_ESTAR</t>
  </si>
  <si>
    <t>kWh Factors</t>
  </si>
  <si>
    <t>ENERGY STAR Requirements (Version 7.0, Effective July 19, 2023)</t>
  </si>
  <si>
    <t>IL Total Water Energy Factor (kWh/Million Gallons); This factor include 2571 kWh/MG for water supply based on Illinois energy intensity data from a 2012 ISAWWA study and 2439
kWh/MG for wastewater treatment based on national energy intensity use estimates. For more information please review Elevate
Energy’s ‘IL TRM: Energy per Gallon Factor, May 2018 paper’.</t>
  </si>
  <si>
    <t>IL TRM V12, pg. 24-29</t>
  </si>
  <si>
    <t>Measure life of the Dishwasher</t>
  </si>
  <si>
    <t>electric peak coincidence factor</t>
  </si>
  <si>
    <t xml:space="preserve">Run hours per year; Assuming 2.1 hours per cycle and 168 cycles per year therefore 353 operating hours per year. 168 cycles per year is based on
a weighted average of dishwasher usage in Illinois derived from the 2009 RECs data. </t>
  </si>
  <si>
    <t>Percentage of DHW savings assumed to be electric</t>
  </si>
  <si>
    <t>%Electric_DHW</t>
  </si>
  <si>
    <t>Percentage of dishwasher energy consumption used for water heating; 5 ENERGY STAR Qualified Appliance Savings Calculator, last updated October 2016.</t>
  </si>
  <si>
    <t>%kWh_heat</t>
  </si>
  <si>
    <t>Percentage of dishwasher energy consumption used for unit operation; 5 ENERGY STAR Qualified Appliance Savings Calculator, last updated October 2016.</t>
  </si>
  <si>
    <t>%kWh_op</t>
  </si>
  <si>
    <t>Baseline kWh consumption per year</t>
  </si>
  <si>
    <t>kWh_base</t>
  </si>
  <si>
    <t>ENERGY STAR kWh annual consumption</t>
  </si>
  <si>
    <t>Water Pumping kWh Savings per Year = delWater*Ewatertotal/1,000,000</t>
  </si>
  <si>
    <t>Appliance kWh Savings per Year = ((kWh_base - kWh_ESTAR)*(%kWh_op + (%kWh_heat * %Electric_DHW)))</t>
  </si>
  <si>
    <t>2,8</t>
  </si>
  <si>
    <t>ENERGY STAR Dishwasher</t>
  </si>
  <si>
    <t>Baseline or Existing Non-ENERGY STAR Dishwasher</t>
  </si>
  <si>
    <t>This measure includes installation of a new ENERGY STAR Dishwasher or replacement of an old dishwasher with an ENERGY STAR unit. This measure applies to dishwashers with electric water heating.</t>
  </si>
  <si>
    <t>ENERGY STAR Dishwasher_Res, E - [Elec Water Heating] (MD)</t>
  </si>
  <si>
    <t>ES Dishwasher_Res, E - [Elec Water Heating] (MD)</t>
  </si>
  <si>
    <t>Elec Water Heating</t>
  </si>
  <si>
    <t>IAECee</t>
  </si>
  <si>
    <t>AECbase</t>
  </si>
  <si>
    <t>Incremental cost of Oven with Induction cooktops compared to baseline oven with electric resistance or gas cooktop</t>
  </si>
  <si>
    <t>IL TRM V12, pg. 72-78</t>
  </si>
  <si>
    <t>Measure life of Appliance</t>
  </si>
  <si>
    <t>Waste heat factor for demand to account for cooling savings from efficient appliance</t>
  </si>
  <si>
    <t>WHFd</t>
  </si>
  <si>
    <t>Assumed coincidence factor</t>
  </si>
  <si>
    <t>Annual operating hours</t>
  </si>
  <si>
    <t>Use Default if Actual is Unknown; Integrated Annual Energy consumption of an induction cooktop in kWh/yr</t>
  </si>
  <si>
    <t>Use Default if Actual is Unknown; Annual Energy Consumption of a baseline electric cooktop in kWh/yr</t>
  </si>
  <si>
    <t>Unit kWh Savings per Year = kWhbase - kWhestar</t>
  </si>
  <si>
    <t>This measure includes replacement of failed or working air purifier in existing homes with ENERGY STAR air purifier, or installation of an ENERGY STAR air purifier in a new home.</t>
  </si>
  <si>
    <t>Residential Induction Cooking Appliances</t>
  </si>
  <si>
    <t>Peak kW Savings</t>
  </si>
  <si>
    <t>SUBMEASURE AGGREGATION - Appliance (Electric Washer and Electric Dryer)</t>
  </si>
  <si>
    <t>IL TRM V12 pg. 199-202</t>
  </si>
  <si>
    <t>Unit Participant Incremental Cost ($)</t>
  </si>
  <si>
    <t>Measure Lifetime (years)</t>
  </si>
  <si>
    <t>Summer Peak coincidence factor for ventilation savings</t>
  </si>
  <si>
    <t>Fan wattage at High speed of ENERGY STAR</t>
  </si>
  <si>
    <t>Wattshighee</t>
  </si>
  <si>
    <t>Percent of time spent at High speed of ENERGY STAR</t>
  </si>
  <si>
    <t>Highee</t>
  </si>
  <si>
    <t>Fan wattage at Medium speed of ENERGY STAR</t>
  </si>
  <si>
    <t>Wattsmedee</t>
  </si>
  <si>
    <t>Percent of time spent at Medium speed of ENERGY STAR</t>
  </si>
  <si>
    <t>Medee</t>
  </si>
  <si>
    <t>Fan wattage at Low speed of ENERGY STAR</t>
  </si>
  <si>
    <t>Wattslowee</t>
  </si>
  <si>
    <t>Percent of time spent at Low speed of ENERGY STAR</t>
  </si>
  <si>
    <t>Lowee</t>
  </si>
  <si>
    <t>Fan wattage at High speed of baseline</t>
  </si>
  <si>
    <t>Wattshighbase</t>
  </si>
  <si>
    <t>Percent of time spent at High speed of baseline</t>
  </si>
  <si>
    <t>Highbase</t>
  </si>
  <si>
    <t>Fan wattage at Medium speed of baseline</t>
  </si>
  <si>
    <t>Wattsmedbase</t>
  </si>
  <si>
    <t>Percent of time spent at Medium speed of baseline</t>
  </si>
  <si>
    <t>Medbase</t>
  </si>
  <si>
    <t>Fan wattage at Low speed of baseline</t>
  </si>
  <si>
    <t>Wattslowbase</t>
  </si>
  <si>
    <t>Percent of time spent at Low speed of baseline</t>
  </si>
  <si>
    <t>Lowbase</t>
  </si>
  <si>
    <t>Daily fan 'On hours'; used default is actuals are unknown</t>
  </si>
  <si>
    <t>Fanhours</t>
  </si>
  <si>
    <t>Days used per year; use default if actuals are unknown</t>
  </si>
  <si>
    <t>Days</t>
  </si>
  <si>
    <t>Source</t>
  </si>
  <si>
    <t>Value</t>
  </si>
  <si>
    <t>Factors</t>
  </si>
  <si>
    <t>MEASURE PARAMETERS</t>
  </si>
  <si>
    <t>delkWH  = [Days* FanHours * ((%Lowbase * WattsLowbase) + (%Medbase * WattsMedbase) + (%Highbase
* WattsHighbase))/1000 ] - [Days * FanHours * ((%LowES * WattsLowES) + (%MedES *
WattsMedES) + (%HighES * WattsHighES))/1000]</t>
  </si>
  <si>
    <t>7,2,3,8</t>
  </si>
  <si>
    <t>Ceiling Fan</t>
  </si>
  <si>
    <t>ENERGY STAR Ceiling Fan</t>
  </si>
  <si>
    <t>Existing Non-ENERGY STAR Ceiling Fan</t>
  </si>
  <si>
    <t>ENERGY STAR qualified ceiling fan with no light units are over 50% more efficient than conventional fans. They also use improved motors and blade designs. Includes fan-only options</t>
  </si>
  <si>
    <t>Networked charger</t>
  </si>
  <si>
    <t>Non-networked charger</t>
  </si>
  <si>
    <t>SPEEu</t>
  </si>
  <si>
    <t>SPEEp</t>
  </si>
  <si>
    <t>SPbase</t>
  </si>
  <si>
    <t>Measure</t>
  </si>
  <si>
    <t>Summer peak coincidence factor</t>
  </si>
  <si>
    <t>IL TRM V12 pg. 487-489</t>
  </si>
  <si>
    <t>Total Annual Hours Plugged In</t>
  </si>
  <si>
    <t>HoursP</t>
  </si>
  <si>
    <t>Annual Active Charging Hours</t>
  </si>
  <si>
    <t>HoursC</t>
  </si>
  <si>
    <t>Efficient Average Standby Power (W) in no vehicle mode</t>
  </si>
  <si>
    <t>Efficient Average Standby Power (W) with vehicle plugged in</t>
  </si>
  <si>
    <t>Baseline Average Standby Power (W)</t>
  </si>
  <si>
    <t>Annual Standby Hours Unplugged</t>
  </si>
  <si>
    <t>HoursUS</t>
  </si>
  <si>
    <t>Annual Standby Hours Plugged In</t>
  </si>
  <si>
    <t>HoursPS</t>
  </si>
  <si>
    <t>Incremental cost</t>
  </si>
  <si>
    <t>delkW = (((SPbase - SPEEp)*HoursPS)+((SPbase - SPEEu)*HoursUS))*CF/((8760-HoursC)*1000)</t>
  </si>
  <si>
    <t>delkWh = (((Hours_PS + Hours_US) * SP_base) - (Hours_PS * SP_EEp + Hours_US * SP_EEu))/ 1000)</t>
  </si>
  <si>
    <t>Level 2 Electric Vehicle Charger</t>
  </si>
  <si>
    <t>Infrared and Occupancy Sensor</t>
  </si>
  <si>
    <t>Infrared Only</t>
  </si>
  <si>
    <t>Delta kWh</t>
  </si>
  <si>
    <t>Product Type</t>
  </si>
  <si>
    <t>Actuals</t>
  </si>
  <si>
    <t>ISR</t>
  </si>
  <si>
    <t>ERP</t>
  </si>
  <si>
    <t>IL TRM V12, pg. 92-95</t>
  </si>
  <si>
    <t>Measure life of power strip</t>
  </si>
  <si>
    <t>Lifetime</t>
  </si>
  <si>
    <t>Annual number of hours during which the APS provides savings</t>
  </si>
  <si>
    <t>In-Service Rate</t>
  </si>
  <si>
    <t>Energy Reduction Percentage of qualifying Tier2 AV APS product range as provided below. Savings are based upon independent field trials of two product manufacturers and the savings differences are assumed to relate to the product classifications provided below. Additional evaluation will be reviewed in future cycles to confirm if additional classification categories are appropriate</t>
  </si>
  <si>
    <t>BaselineEnergy AV</t>
  </si>
  <si>
    <t>BaselineEnergyAV</t>
  </si>
  <si>
    <t>Delta kW Peak = delkWh / Hours * CF</t>
  </si>
  <si>
    <t>Delta kWh = ERP * BaselineEnergyAV * ISR</t>
  </si>
  <si>
    <t>Audio-visual home entertainment systems connected to advanced teir 2 power strip.</t>
  </si>
  <si>
    <t>Audio-visual home entertainment systems connected to wall outlet or standard power strip.</t>
  </si>
  <si>
    <t>Advanced power strips are power strips that contain a number of controlled sockets and at least one uncontrolled socket. When the appliance that is plugged into the uncontrolled socket is turned off, the power strips shuts off the appliances that are plugged into the controlled sockets. These have recently been renamed Tier 1 power strips. Tier 2 power strips expand on this functionality by using algorithms to monitor the power of all controlled devices, whereas Tier 1 power strips only monitor the master device and turns off peripheral devices accordingly. Tier 2 power strips use infrared (IR) sensing and Root Mean Squared (RMS) power sensing to detect energy consumption from connected devices; tier 1 power strips only use current sensing. After 1 hour of inactivity, energy savings are delivered by turning off power to inactive devices.</t>
  </si>
  <si>
    <t>Advanced Tier 2 Power Strips</t>
  </si>
  <si>
    <t>Fan</t>
  </si>
  <si>
    <t>Light</t>
  </si>
  <si>
    <t>Scanner, Flatbed</t>
  </si>
  <si>
    <t>Multifunction Device, Laser</t>
  </si>
  <si>
    <t>Multifunction Device, Inkjet</t>
  </si>
  <si>
    <t>Computer Notebook</t>
  </si>
  <si>
    <t>Computer, Desktop</t>
  </si>
  <si>
    <t>VCR</t>
  </si>
  <si>
    <t>Television/VCR</t>
  </si>
  <si>
    <t>Set-top Box, Satellite</t>
  </si>
  <si>
    <t>Set-top Box, Digital Cable</t>
  </si>
  <si>
    <t>Set-top Box, DVR</t>
  </si>
  <si>
    <t>Television, LCD</t>
  </si>
  <si>
    <t>Television, Rear Projection</t>
  </si>
  <si>
    <t>Television, CRT</t>
  </si>
  <si>
    <t>Coffee Maker</t>
  </si>
  <si>
    <t>On</t>
  </si>
  <si>
    <t>Standby</t>
  </si>
  <si>
    <t>OnAdj</t>
  </si>
  <si>
    <t>Wbase</t>
  </si>
  <si>
    <t>Power Type</t>
  </si>
  <si>
    <t>Coincidence factor</t>
  </si>
  <si>
    <t>IL TRM V12, pg. 98-101</t>
  </si>
  <si>
    <t>Standby power consumption of smart socket. Use defaults if actuals are unknown</t>
  </si>
  <si>
    <t>Weff</t>
  </si>
  <si>
    <t>Adjustment for wattages of appliances that are powered on during unoccupied hours</t>
  </si>
  <si>
    <t>Standby power or On power consumption of connected appliance. Use actual if known, or refer to tables below</t>
  </si>
  <si>
    <t>Delta kWh = ((WBase * OnAdj) – WEff) * Hours) / 1000</t>
  </si>
  <si>
    <t>Standard Size (hhp
≥ 0.13)</t>
  </si>
  <si>
    <t>Non-Self Priming (Aboveground)</t>
  </si>
  <si>
    <t>Extra Small (hhp ≤
0.13)</t>
  </si>
  <si>
    <t>Standard Size (hhp
≥ 0.711)</t>
  </si>
  <si>
    <t>Self-Priming (Inground)</t>
  </si>
  <si>
    <t>Small (hhp &gt; 0.13
and &lt; 0.711)</t>
  </si>
  <si>
    <t>Weightage</t>
  </si>
  <si>
    <t>Incremental cost/kWh</t>
  </si>
  <si>
    <t>delkW</t>
  </si>
  <si>
    <t>delkWh</t>
  </si>
  <si>
    <t>Hrs/day Exist</t>
  </si>
  <si>
    <t>Hrs/day ESTAR</t>
  </si>
  <si>
    <t>Hrs/day Base</t>
  </si>
  <si>
    <t>delkWh/day Exist</t>
  </si>
  <si>
    <t>delkWh/day ESTAR</t>
  </si>
  <si>
    <t>delkWh/day Base</t>
  </si>
  <si>
    <t>Gallons</t>
  </si>
  <si>
    <t>WEFestar</t>
  </si>
  <si>
    <t>WEFbase</t>
  </si>
  <si>
    <t>hhp</t>
  </si>
  <si>
    <t>Size Class</t>
  </si>
  <si>
    <t>Pump Sub-Type</t>
  </si>
  <si>
    <t>Early Replacement</t>
  </si>
  <si>
    <t>TOS and NC</t>
  </si>
  <si>
    <t>IL TRM V12 pg. 479-483</t>
  </si>
  <si>
    <t>Efexist</t>
  </si>
  <si>
    <t>Turnover</t>
  </si>
  <si>
    <t>Measure life</t>
  </si>
  <si>
    <t>Values</t>
  </si>
  <si>
    <t>Inputs</t>
  </si>
  <si>
    <t>For Early Replacement: ΔkW = ((kWh/dayExist)/(Hrs/dayExist) – (kWh/dayESTAR)/(Hr/dayESTAR)) * CF</t>
  </si>
  <si>
    <t>For Early Replacement: ΔkWh = (Gallons * Turnovers * (1/EFExist - 1/WEFESTAR) * Days) / 1000</t>
  </si>
  <si>
    <t>For TOS and NC: ΔkW = ((kWh/daybase)/(Hrs/daybase) – (kWh/dayESTAR)/(Hr/dayESTAR)) * CF</t>
  </si>
  <si>
    <t>For TOS and NC: ΔkWh = (Gallons * Turnovers * (1/WEFbase - 1/WEFESTAR) * Days) / 1000</t>
  </si>
  <si>
    <t>Variable speed pool pump</t>
  </si>
  <si>
    <t>Working Single speed pool pump</t>
  </si>
  <si>
    <t>Failed or baseline Single speed pool pump</t>
  </si>
  <si>
    <t>NC, REPL</t>
  </si>
  <si>
    <t>This measure involves installation of variable speed pool pumps to replace existing single speed units.</t>
  </si>
  <si>
    <t>This measure involves installation of variable speed pool pumps to replace failed single speed units or new installations in place of single speed units.</t>
  </si>
  <si>
    <t>Connected</t>
  </si>
  <si>
    <t>System type</t>
  </si>
  <si>
    <t>Submeasure aggregation</t>
  </si>
  <si>
    <t>20,000 to 27,999</t>
  </si>
  <si>
    <t>14,000 to 19,999</t>
  </si>
  <si>
    <t>8,000 to 13,999</t>
  </si>
  <si>
    <t>&lt; 8,000</t>
  </si>
  <si>
    <t>EERMin</t>
  </si>
  <si>
    <t>CEERMin</t>
  </si>
  <si>
    <t>EERBase</t>
  </si>
  <si>
    <t>CEERBase</t>
  </si>
  <si>
    <t>EERbase</t>
  </si>
  <si>
    <t>CEERbase</t>
  </si>
  <si>
    <t>Capacity Bin (Btu/h)</t>
  </si>
  <si>
    <t>Connected systems</t>
  </si>
  <si>
    <t>Standard systems</t>
  </si>
  <si>
    <t>Persistence factor</t>
  </si>
  <si>
    <t>Hawai’i TRM PY2023 V1.0</t>
  </si>
  <si>
    <t>PF</t>
  </si>
  <si>
    <t>Equivalent full load cooling hours</t>
  </si>
  <si>
    <t>EFLH determined as average of residential EnergyPlus prototype simulations with room AC cooling system by dividing total cooling kWh by maximum kW (proxy for capacity, adjusted for oversizing).</t>
  </si>
  <si>
    <t>EFLH</t>
  </si>
  <si>
    <t>Combined energy efficiency ratio of installed high efficiency unit</t>
  </si>
  <si>
    <t>Must meet ENERGY STAR Version 4.1 minimum. For PY19, CEEREE ≥ CEERMin for all systems. For PY20 and later, CEEREE ≥ CEERMin for connected systems and CEEREE ≥ CEERBase for standard systems.3 See Table 1.</t>
  </si>
  <si>
    <t>Actual</t>
  </si>
  <si>
    <t>CEERee</t>
  </si>
  <si>
    <t>Combined energy efficiency ratio of baseline unit for early replacement</t>
  </si>
  <si>
    <t>Assumed to be EERBL,1 / 1.01 per ENERGY STAR data.2</t>
  </si>
  <si>
    <t>Energy efficiency ratio of installed high efficiency unit</t>
  </si>
  <si>
    <t xml:space="preserve">EEREE is assumed to be CEEREE * 1.01 per ENERGY STAR data.2 </t>
  </si>
  <si>
    <t>EERee</t>
  </si>
  <si>
    <t>Energy efficiency ratio of baseline unit for early replacement</t>
  </si>
  <si>
    <t>Federal minimum requirement for units manufactured as of June 1, 2014.</t>
  </si>
  <si>
    <t>Rated cooling capacity of installed window AC unit</t>
  </si>
  <si>
    <t>Assumes rated capacity of &lt; 28,000 Btu/h.1</t>
  </si>
  <si>
    <t>Based on installed unit</t>
  </si>
  <si>
    <t>1,2</t>
  </si>
  <si>
    <t>This measure includes the replacement of failed or working room air conditioners in residential homes, as well as installation of high efficiency room air conditioners in new homes.</t>
  </si>
  <si>
    <t>kWh/kW Ratio</t>
  </si>
  <si>
    <t>Building Type</t>
  </si>
  <si>
    <t>kWh/kW Ratios for MasterCom</t>
  </si>
  <si>
    <t>BUILDING LEVEL CHARACTERISTICS</t>
  </si>
  <si>
    <t>MF</t>
  </si>
  <si>
    <t>SF</t>
  </si>
  <si>
    <t>H</t>
  </si>
  <si>
    <t>F</t>
  </si>
  <si>
    <t>B</t>
  </si>
  <si>
    <t>A</t>
  </si>
  <si>
    <t>Application</t>
  </si>
  <si>
    <t>Size</t>
  </si>
  <si>
    <t>3,000+ sq. ft.</t>
  </si>
  <si>
    <t>Outdoor</t>
  </si>
  <si>
    <t>2,000-2,999 sq. ft</t>
  </si>
  <si>
    <t>1000-1,999 sq. ft.</t>
  </si>
  <si>
    <t>Indoor</t>
  </si>
  <si>
    <t>delta kW</t>
  </si>
  <si>
    <t>Cover size</t>
  </si>
  <si>
    <t>Location</t>
  </si>
  <si>
    <t>MARKET DRIVEN CALCULATIONS</t>
  </si>
  <si>
    <t>Average</t>
  </si>
  <si>
    <t>Weighted (Outdoor)</t>
  </si>
  <si>
    <t>Hemmed (Indoor)</t>
  </si>
  <si>
    <t>Edge Style</t>
  </si>
  <si>
    <t>PA Incremental Cost Database</t>
  </si>
  <si>
    <t>PA 2021 TRM, Vol 2 pg. 202</t>
  </si>
  <si>
    <t>kWh/million gallons</t>
  </si>
  <si>
    <t>IL TRM V12, pg. 236-239</t>
  </si>
  <si>
    <t>Ewatersupply</t>
  </si>
  <si>
    <t>sq ft</t>
  </si>
  <si>
    <t>Custom</t>
  </si>
  <si>
    <t>Sizeofpool</t>
  </si>
  <si>
    <t>Wter savings factor (gal./sq ft/year</t>
  </si>
  <si>
    <t>Watersavingfactor</t>
  </si>
  <si>
    <t>ΔkWhwater = ΔWater / 1,000,000 * Ewater supply</t>
  </si>
  <si>
    <t>ΔWater = WaterSavingFactor x Size of Pool</t>
  </si>
  <si>
    <t>Commercial Pool Covers</t>
  </si>
  <si>
    <t xml:space="preserve">"Average" Freezer </t>
  </si>
  <si>
    <t>Chest Freezers with Auto Defrost</t>
  </si>
  <si>
    <t>Chest Freezers and All Other Freezers, except Compact Freezers</t>
  </si>
  <si>
    <t>Built-in Freezers, Auto Defrost, w/ Auto Icemaker</t>
  </si>
  <si>
    <t>Built-in Freezers, Auto Defrost, w/o Auto Icemaker</t>
  </si>
  <si>
    <t>Upright Freezers, Auto Defrost, w/ Auto Icemaker</t>
  </si>
  <si>
    <t>Upright Freezers, Auto Defrost, w/o Auto Icemaker</t>
  </si>
  <si>
    <t>Upright Freezers, Manual Defrost</t>
  </si>
  <si>
    <t>Freezer</t>
  </si>
  <si>
    <t>"Average" Refrigerator</t>
  </si>
  <si>
    <t>Auto Defrost w/ TDD, Side by Side</t>
  </si>
  <si>
    <t>Auto Defrost w/ TDD, Top Freezer</t>
  </si>
  <si>
    <t>Auto Defrost w/ TDD, Bottom Freezer</t>
  </si>
  <si>
    <t>Auto Defrost w/o TDD, Bottom Freezer</t>
  </si>
  <si>
    <t>Auto Defrost w/o TDD, Side by Side</t>
  </si>
  <si>
    <t>Auto Defrost w/o TDD, Top Freezer and Single Door Refrigerators</t>
  </si>
  <si>
    <t>Manual Defrost w/ and w/o TDD, All Configurations</t>
  </si>
  <si>
    <t>Wattsee</t>
  </si>
  <si>
    <t>b</t>
  </si>
  <si>
    <t>a</t>
  </si>
  <si>
    <t>Wattsbase</t>
  </si>
  <si>
    <t>Equation Term:</t>
  </si>
  <si>
    <t>Refrigerator</t>
  </si>
  <si>
    <t>ENERGY STAR, Maximum kWh/yr</t>
  </si>
  <si>
    <t>Federal Standard, Maximum kWh/yr</t>
  </si>
  <si>
    <t>Product Category</t>
  </si>
  <si>
    <t>E = a*AV + b.</t>
  </si>
  <si>
    <t>See Footnote 5</t>
  </si>
  <si>
    <t>Annual energy usage of new efficient unit</t>
  </si>
  <si>
    <t xml:space="preserve">Hawai’i TRM PY2023 V1.0 </t>
  </si>
  <si>
    <t>Annual energy usage of baseline unit</t>
  </si>
  <si>
    <t>Freezer volume of new refrigerator or freezer</t>
  </si>
  <si>
    <t>Based on actual unit</t>
  </si>
  <si>
    <t>Freezer volume</t>
  </si>
  <si>
    <t>Fresh volume of new refrigerator</t>
  </si>
  <si>
    <t>Fresh volume</t>
  </si>
  <si>
    <t>Adjusted volume of freezer</t>
  </si>
  <si>
    <t>AVF</t>
  </si>
  <si>
    <t>Adjusted volume of refrigerator</t>
  </si>
  <si>
    <t>AVR</t>
  </si>
  <si>
    <t>Source/Notes</t>
  </si>
  <si>
    <t>Variable</t>
  </si>
  <si>
    <t>2,8,12</t>
  </si>
  <si>
    <t>ENERGY STAR Refrigerator or Freezer</t>
  </si>
  <si>
    <t>Existing non-ENERGY STAR refrigerators or freezers</t>
  </si>
  <si>
    <t>Baseline or Failed non-ENERGY STAR refrigerators or freezers</t>
  </si>
  <si>
    <t>This measure includes the replacement of existing refrigerators or freezers in residential homes.</t>
  </si>
  <si>
    <t>This measure includes the replacement of failed refrigerators or freezers in residential homes, as well as installation of high efficiency refrigerators and freezers in new homes.</t>
  </si>
  <si>
    <t>Energy Star Refrigerators and Freezers</t>
  </si>
  <si>
    <t>Parts use factor</t>
  </si>
  <si>
    <t>HDD</t>
  </si>
  <si>
    <t>CDD</t>
  </si>
  <si>
    <t>Chest config</t>
  </si>
  <si>
    <t>Pre-1990 factor</t>
  </si>
  <si>
    <t>Age</t>
  </si>
  <si>
    <t>Intercept</t>
  </si>
  <si>
    <t>Program level Assumptions</t>
  </si>
  <si>
    <t>Estimate coefficient</t>
  </si>
  <si>
    <t>Independent variable description</t>
  </si>
  <si>
    <t>Primary usage type</t>
  </si>
  <si>
    <t>Side by side</t>
  </si>
  <si>
    <t>IL TRM V12 pg. 45-49</t>
  </si>
  <si>
    <t>Coincidence factors</t>
  </si>
  <si>
    <t>1,2,5</t>
  </si>
  <si>
    <t>Remove and recycle secondary refrigerator or freezer</t>
  </si>
  <si>
    <t>Existing functional secondary refrigerators or freezers</t>
  </si>
  <si>
    <t>This measure reflects recycling of refrigerators or freezers without replacement</t>
  </si>
  <si>
    <t>Refrigerator and Freezer Recycling</t>
  </si>
  <si>
    <t>Efbase</t>
  </si>
  <si>
    <t>Rated storage volume in gallons</t>
  </si>
  <si>
    <t>Coincident factor</t>
  </si>
  <si>
    <t>Equivalent full load hours</t>
  </si>
  <si>
    <t>Pump hours of operation</t>
  </si>
  <si>
    <t>Houpump</t>
  </si>
  <si>
    <t>Circulation pump demand</t>
  </si>
  <si>
    <t>kWpump</t>
  </si>
  <si>
    <t>Energy factor of solar water heater when using back-up electric resistance heating</t>
  </si>
  <si>
    <t>Efswh</t>
  </si>
  <si>
    <t>Solar fraction</t>
  </si>
  <si>
    <t>Incoming water temperature from the water main</t>
  </si>
  <si>
    <t>Tin</t>
  </si>
  <si>
    <t>Outlet temperature of the water heater</t>
  </si>
  <si>
    <t>Tout</t>
  </si>
  <si>
    <t>Specific heat capacity of water</t>
  </si>
  <si>
    <t>cp</t>
  </si>
  <si>
    <t>Density of water</t>
  </si>
  <si>
    <t>psi</t>
  </si>
  <si>
    <t>Average number of occupants per home</t>
  </si>
  <si>
    <t>Occ</t>
  </si>
  <si>
    <t>Daily hot water use per occupant</t>
  </si>
  <si>
    <t>GPDocc</t>
  </si>
  <si>
    <t>Default EF assumes 50-gallon Electric Storage Water Heater</t>
  </si>
  <si>
    <t>Luma 2024 Workpaper</t>
  </si>
  <si>
    <t>per water heater</t>
  </si>
  <si>
    <t>Solar thermal DHW with Gas Water Heater</t>
  </si>
  <si>
    <t>Gas Water Heater</t>
  </si>
  <si>
    <t>Solar Water Heater</t>
  </si>
  <si>
    <t>High usage</t>
  </si>
  <si>
    <t>Medium usage</t>
  </si>
  <si>
    <t>Low usage</t>
  </si>
  <si>
    <t>Very small usage</t>
  </si>
  <si>
    <t>&lt;2 gal</t>
  </si>
  <si>
    <t>&gt;55 gal and &lt;=120 gal</t>
  </si>
  <si>
    <t>&gt;=20 gal and &lt;=55 gal</t>
  </si>
  <si>
    <t>Electric Storage Water Heaters</t>
  </si>
  <si>
    <t>UEFpre</t>
  </si>
  <si>
    <t>Draw Patterns</t>
  </si>
  <si>
    <t>Vr</t>
  </si>
  <si>
    <t>Rated Storage Volume</t>
  </si>
  <si>
    <t>DHW Type</t>
  </si>
  <si>
    <t>Seasonal supply water temperature for Summer</t>
  </si>
  <si>
    <t>Tsupplyseasonal</t>
  </si>
  <si>
    <t>CFsw</t>
  </si>
  <si>
    <t>Efficieny uniform energy factor</t>
  </si>
  <si>
    <t>UEFpost</t>
  </si>
  <si>
    <t>Baseline uniform energy factor</t>
  </si>
  <si>
    <t>This baseline is specified according to the current federal energy efficiency standards. for residential water heaters with tank sizes from 20 to 120 gallons</t>
  </si>
  <si>
    <t>Avg annual supply water temperature</t>
  </si>
  <si>
    <t>Based on definition of supply water temperature in NY TRM. (Puerto Rico supply water temperature source: https://statesummaries.ncics.org/chapter/pr/)</t>
  </si>
  <si>
    <t>Tsupplyavg</t>
  </si>
  <si>
    <t>Water heater setpoint temp</t>
  </si>
  <si>
    <t>Tsetpoint</t>
  </si>
  <si>
    <t xml:space="preserve">Estimated annual hot water use in gallons/day, specified by </t>
  </si>
  <si>
    <t>GPD</t>
  </si>
  <si>
    <t>Efficient instantaneous gas water heater</t>
  </si>
  <si>
    <t>Working water heater with federal minimum efficiency standard</t>
  </si>
  <si>
    <t>Failed water heater with federal minimum efficiency standard</t>
  </si>
  <si>
    <t>This measure includes replacement of failed tankless water heaters in residential and multifamily buildings, as well as installation of tankless water heaters in new construction.</t>
  </si>
  <si>
    <t>Household type unknown</t>
  </si>
  <si>
    <t>Multi-Family - Deemed</t>
  </si>
  <si>
    <t>Single-Family - Deemed</t>
  </si>
  <si>
    <t>Household</t>
  </si>
  <si>
    <t>Household type</t>
  </si>
  <si>
    <t>IL TRM V12 pg. 300-303</t>
  </si>
  <si>
    <t>SPCD</t>
  </si>
  <si>
    <t>Nunits</t>
  </si>
  <si>
    <t>Tshowerlength</t>
  </si>
  <si>
    <t>GPM</t>
  </si>
  <si>
    <t>Supplytemp</t>
  </si>
  <si>
    <t>Showertemp</t>
  </si>
  <si>
    <t>Residential or multi-family building with drainpipe heat exchanger installed</t>
  </si>
  <si>
    <t>Residential or multi-family building with no drainpipe heat exchanger</t>
  </si>
  <si>
    <t>This measure includes installing a drainpipe heat exchanger to a residential or multi-family building to recover heat from heated water going down the building's drain. The savings for this measure is “per living unit affected.”</t>
  </si>
  <si>
    <t>Drainwater Heat Recovery</t>
  </si>
  <si>
    <t>Abase</t>
  </si>
  <si>
    <t>Rinsul</t>
  </si>
  <si>
    <t>Rbase</t>
  </si>
  <si>
    <t xml:space="preserve"> Recovery efficiency of electric hot water heater</t>
  </si>
  <si>
    <t>IL TRM V12 pg. 281-283</t>
  </si>
  <si>
    <t>nDHW</t>
  </si>
  <si>
    <t>Average temperature difference between tank water and outside air temperature (°F)</t>
  </si>
  <si>
    <t>delT</t>
  </si>
  <si>
    <t>Surface area of storage tank prior to adding tank wrap (square feet)</t>
  </si>
  <si>
    <t>Overall thermal resistance coefficient after addition of tank wrap</t>
  </si>
  <si>
    <t>Overall thermal resistance coefficient prior to adding tank wrap</t>
  </si>
  <si>
    <t>ΔkWh = ((1/ Rbase – 1 / Rinsul) * Abase * ΔT * Hours) / (3412 * ηDHW)</t>
  </si>
  <si>
    <t>Electric water heater with insulation jacket</t>
  </si>
  <si>
    <t>Electric water heater with no insulation jacket</t>
  </si>
  <si>
    <t>This measure includes installing a water heater blanket on an electric water storage water heater.</t>
  </si>
  <si>
    <t>Water Heater Wrap</t>
  </si>
  <si>
    <t>Recovery efficiency of electric hot water heater</t>
  </si>
  <si>
    <t>IL TRM V12 pg. 277-280</t>
  </si>
  <si>
    <t>RE_Elec</t>
  </si>
  <si>
    <t>Number of hours in a year</t>
  </si>
  <si>
    <t>Actual new hot water setpoint</t>
  </si>
  <si>
    <t>Tpost</t>
  </si>
  <si>
    <t>Actual hot water setpoint prior to adjustment</t>
  </si>
  <si>
    <t>Tpre</t>
  </si>
  <si>
    <t>Surface area of storage tank (square feet)</t>
  </si>
  <si>
    <t>Overall heat transfer coefficient of tank; Actual default value if unknown</t>
  </si>
  <si>
    <t>U</t>
  </si>
  <si>
    <t>ΔkWh = (U * A * (Tpre – Tpost) * Hours * ISR) / (3412 * RE_electric)</t>
  </si>
  <si>
    <t>Water heater with set point temperature of 119°F</t>
  </si>
  <si>
    <t>Water heater with set point temperature of 130°F</t>
  </si>
  <si>
    <t xml:space="preserve">This measure involves turning the water heater set point to 120°F on residential electric storage and heat pump water heaters. Savings do not occur in applications such as a shower or faucet where the user adjusts the hot water flow to make up for the lower temperature. Clothes washer hot water use and water heater tank losses are included in the savings calculation, but shower, faucet, and dishwasher use are  not included due to expected behavioral and automatic (dishwasher) adjustments in response to lower water temperature. It is expected that the net energy use for the dish washer hot water will remain the same after a temperature reduction because dishwashers will adjust hot water temperature to necessary levels using internal heating elements. The existing temperature set point is assumed to be 130°F. </t>
  </si>
  <si>
    <t>Water Heater Temperature Setback</t>
  </si>
  <si>
    <t>Unknown and Unknown Building type</t>
  </si>
  <si>
    <t>Unknown Multifamily</t>
  </si>
  <si>
    <t>Unknown Single-Family except mobile homes</t>
  </si>
  <si>
    <t>Bathroom MF and Mobile homes</t>
  </si>
  <si>
    <t>Bathroom SF Except Mobile homes</t>
  </si>
  <si>
    <t>Kitchen</t>
  </si>
  <si>
    <t>Location and building type</t>
  </si>
  <si>
    <t>EPG_electric</t>
  </si>
  <si>
    <t>FPH</t>
  </si>
  <si>
    <t>DF</t>
  </si>
  <si>
    <t>L_low</t>
  </si>
  <si>
    <t>L_base</t>
  </si>
  <si>
    <t>GPM_base</t>
  </si>
  <si>
    <t>IL TRM V12 pg. 259-268</t>
  </si>
  <si>
    <t>Average flow rate, in gallons per minute, of the low-flow faucet aerator “as-used”</t>
  </si>
  <si>
    <t>GPM_low</t>
  </si>
  <si>
    <t>Average baseline daily length faucet use per capita for faucet of interest in minutes</t>
  </si>
  <si>
    <t>Average flow rate, in gallons per minute, of the baseline faucet “as-used.”</t>
  </si>
  <si>
    <t>%ElectricDHW</t>
  </si>
  <si>
    <t>ΔkWh = %ElectricDHW * ((GPM_base * L_base - GPM_low * L_low) * Household * 365.25 *DF / FPH) * EPG_electric * ISR</t>
  </si>
  <si>
    <t>Low-flow 1.5 GPM faucet aerator</t>
  </si>
  <si>
    <t>Existing 2.2 GPM faucet aerator</t>
  </si>
  <si>
    <t>This measure includes replacing an existing faucet aerator with low-flow aerator.</t>
  </si>
  <si>
    <t>Low Flow Faucet Aerator</t>
  </si>
  <si>
    <t>Multifamily and mobile homes</t>
  </si>
  <si>
    <t>Single-family except mobile homes</t>
  </si>
  <si>
    <t>SPH</t>
  </si>
  <si>
    <t>Building type</t>
  </si>
  <si>
    <t>GPH</t>
  </si>
  <si>
    <t>IL TRM V12 pg. 269-276</t>
  </si>
  <si>
    <t>GPM_Base</t>
  </si>
  <si>
    <t>ElecDHW</t>
  </si>
  <si>
    <t>ΔkWh = %ElectricDHW * ((GPM_base * L_base - GPM_low * L_low) * Household * SPCD * 365.25 / SPH) * EPG_electric * ISR</t>
  </si>
  <si>
    <t>Low-flow 1.5 GPM showerhead</t>
  </si>
  <si>
    <t>Existing 2.5 GPM showerhead</t>
  </si>
  <si>
    <t>This measure involves replacing a standard showerhead with a low flow showerhead.</t>
  </si>
  <si>
    <t>Low Flow Showerhead</t>
  </si>
  <si>
    <t>¾” PEX</t>
  </si>
  <si>
    <t>½” PEX</t>
  </si>
  <si>
    <t>¾” Copper Pipe</t>
  </si>
  <si>
    <t>½” Copper Pipe</t>
  </si>
  <si>
    <t>Rnew</t>
  </si>
  <si>
    <t>L Effective</t>
  </si>
  <si>
    <t>Horizontal</t>
  </si>
  <si>
    <t>Vertical</t>
  </si>
  <si>
    <t>alpha</t>
  </si>
  <si>
    <t>Rexist</t>
  </si>
  <si>
    <t>Cinside</t>
  </si>
  <si>
    <t>Type and Size</t>
  </si>
  <si>
    <t>IL TRM V12 pg. 237-243</t>
  </si>
  <si>
    <t>Leffective</t>
  </si>
  <si>
    <t>Elec_DHW</t>
  </si>
  <si>
    <t>ΔkWh = %Electric_DHW * ((1 / Rexist – 1 / Rnew) * Cinside * Leffective * ΔT * 8,766 * ISR)/ ηDHW / 3412</t>
  </si>
  <si>
    <t>linear ft. pipe insulation</t>
  </si>
  <si>
    <t>insulated piping of an electric water heating system</t>
  </si>
  <si>
    <t>Un-insulated piping of an electric water heating system</t>
  </si>
  <si>
    <t xml:space="preserve">This measure includes installing 3/4" foam insulation on exposed pipe in unconditioned space. </t>
  </si>
  <si>
    <t>Pipe Insulation</t>
  </si>
  <si>
    <t>Unknown</t>
  </si>
  <si>
    <t>Household occupancy</t>
  </si>
  <si>
    <t>IL Total Water Energy Factor (kWh/Million Gallons)</t>
  </si>
  <si>
    <t>IL TRM V12 pg. 284-289</t>
  </si>
  <si>
    <t>E Water Total</t>
  </si>
  <si>
    <t>Energy per gallon of hot water supplied by electric</t>
  </si>
  <si>
    <t>EPG_Electric</t>
  </si>
  <si>
    <t>Showerheads Per Household so that per-showerhead savings fractions can be determined</t>
  </si>
  <si>
    <t>Showers Per Capita Per Day</t>
  </si>
  <si>
    <t>Average number of people per household</t>
  </si>
  <si>
    <t>Hot water waste time avoided due to thermostatic restrictor valve</t>
  </si>
  <si>
    <t>L_Showerdevice</t>
  </si>
  <si>
    <t>Flow rate of the basecase showerhead</t>
  </si>
  <si>
    <t>ΔkWh = %ElectricDHW * ((GPM_base_S * L_showerdevice) * Household * SPCD * 365.25 / SPH) * EPG_electric * ISR</t>
  </si>
  <si>
    <t>Shower with thermostatic restriction valve</t>
  </si>
  <si>
    <t>Shower with no thermostatic restriction valve</t>
  </si>
  <si>
    <t>This measure involves installing a thermostatically restricting shower valve that reduces the amount of excess hot shower water during warm-up periods.</t>
  </si>
  <si>
    <t>Thermostatic Restriction Valve</t>
  </si>
  <si>
    <t>&gt;=30</t>
  </si>
  <si>
    <t>&gt;=15</t>
  </si>
  <si>
    <t>&lt;15</t>
  </si>
  <si>
    <t>∆PreHeatElec</t>
  </si>
  <si>
    <t>∆IdleEnergySteamElec</t>
  </si>
  <si>
    <t>∆IdleEnergyConvElec</t>
  </si>
  <si>
    <t>∆CookingEnergySteamElec</t>
  </si>
  <si>
    <t>delCookingENergyConvELec</t>
  </si>
  <si>
    <t>∆PreHeatEEElec</t>
  </si>
  <si>
    <t>∆IdleEnergySteamElec EE</t>
  </si>
  <si>
    <t>∆IdleEnergyConvElec EE</t>
  </si>
  <si>
    <t>∆CookingEnergySteamElec EE</t>
  </si>
  <si>
    <t>∆CookingEnergyConvElec EE</t>
  </si>
  <si>
    <t>∆PreHeatBaseElec</t>
  </si>
  <si>
    <t>∆IdleEnergySteamElec Base</t>
  </si>
  <si>
    <t>∆IdleEnergyConvElec Base</t>
  </si>
  <si>
    <t>∆CookingEnergySteamElec Base</t>
  </si>
  <si>
    <t>∆CookingEnergyConvElec Base</t>
  </si>
  <si>
    <t>Lbelec</t>
  </si>
  <si>
    <t>Pans</t>
  </si>
  <si>
    <t>Cafeteria</t>
  </si>
  <si>
    <t>Full Service Expanded Menu</t>
  </si>
  <si>
    <t>Full Service Limited Menu</t>
  </si>
  <si>
    <t>Pizza</t>
  </si>
  <si>
    <t>Fast Food Expanded Menu</t>
  </si>
  <si>
    <t>Fast Food Limited Menu</t>
  </si>
  <si>
    <t>Preheateeelec</t>
  </si>
  <si>
    <t>Preheatbaseelec</t>
  </si>
  <si>
    <t>(0.60*Pans)*1000</t>
  </si>
  <si>
    <t>3 to 4</t>
  </si>
  <si>
    <t>(0.133*Pans+0.64)*1000</t>
  </si>
  <si>
    <t>5 to 40</t>
  </si>
  <si>
    <t>Elecidlesteamee</t>
  </si>
  <si>
    <t>Elecpcsteamee</t>
  </si>
  <si>
    <t>Elecpcconvee</t>
  </si>
  <si>
    <t>(0.05*Pans+0.55)*1000</t>
  </si>
  <si>
    <t>(0.083*Pans+0.35)*1000</t>
  </si>
  <si>
    <t>Elecidleconvee</t>
  </si>
  <si>
    <t>Elecpcsteambase</t>
  </si>
  <si>
    <t>Elecpcconvbase</t>
  </si>
  <si>
    <t>Elecidlesteambase</t>
  </si>
  <si>
    <t>Elecidleconvbase</t>
  </si>
  <si>
    <t>Steam</t>
  </si>
  <si>
    <t>Conventional</t>
  </si>
  <si>
    <t>Eleceff</t>
  </si>
  <si>
    <t>IL TRM V12 pg. 87-97</t>
  </si>
  <si>
    <t>Preheatbaselec</t>
  </si>
  <si>
    <t>Elecpcee</t>
  </si>
  <si>
    <t>Elecpcbase</t>
  </si>
  <si>
    <t>Elecidlebase</t>
  </si>
  <si>
    <t>%Steam</t>
  </si>
  <si>
    <t>EFOODsteamelec</t>
  </si>
  <si>
    <t>%Conv</t>
  </si>
  <si>
    <t>EFOODconvelec</t>
  </si>
  <si>
    <t>∆PreHeatEnergyElec = PreheatBaseElec - PreheatEEElec</t>
  </si>
  <si>
    <t>∆IdleEnergySteamElec = [(ElecIDLESteamBase * ((HOURS – LBElec/ElecPCSteamBase) * %Steam)) - (ElecIDLESteamEE * ((HOURS - LBElec/ElecPCSteamEE) * %Steam))]</t>
  </si>
  <si>
    <t>∆IdleEnergyConvElec = [(ElecIDLEConvBase * ((HOURS – LBElec/ElecPCConvBase) * %Conv)) - (ElecIDLEConvEE * ((HOURS - LBElec/ElecPCConvEE) * %Conv))]</t>
  </si>
  <si>
    <t>∆CookingEnergySteamElec = LBElec * (EFOODSteamElec / ElecEFFSteamBase – EFOODSteamElec / ElecEFFSteamEE) * %Steam</t>
  </si>
  <si>
    <t>∆CookingEnergyConvElec = LBElec * (EFOODConvElec / ElecEFFConvBase - EFOODConvElec / ElecEFFConvEE) * %Conv</t>
  </si>
  <si>
    <t>∆kWh = (∆CookingEnergyConvElec + ∆CookingEnergySteamElec + ∆IdleEnergyConvElec + ∆IdleEnergySteamElec + ∆PreHeatEnergyElec) * Days / 1,000</t>
  </si>
  <si>
    <t>ENERGY STAR Ovens</t>
  </si>
  <si>
    <t>Baseline Oven</t>
  </si>
  <si>
    <t>Replacement of failed or working electric ovens and ranges with new high efficiency ovens and ranges.</t>
  </si>
  <si>
    <t>Electric Full-Size &lt;5 pans</t>
  </si>
  <si>
    <t>Electric Full-Size &gt;=5 pans</t>
  </si>
  <si>
    <t>Electric Half Size</t>
  </si>
  <si>
    <t>Delta EE</t>
  </si>
  <si>
    <t>Delta Base</t>
  </si>
  <si>
    <t>ΔDailyCookingEnergy EE</t>
  </si>
  <si>
    <t>ΔDailyPreheatEnergy EE</t>
  </si>
  <si>
    <t>ΔDailyIdleEnergy EE</t>
  </si>
  <si>
    <t>ΔDailyCookingEnergy Base</t>
  </si>
  <si>
    <t>ΔDailyPreheatEnergy Base</t>
  </si>
  <si>
    <t>ΔDailyIdleEnergy Base</t>
  </si>
  <si>
    <t>Oven Type</t>
  </si>
  <si>
    <t>PreheattimeES</t>
  </si>
  <si>
    <t>PreheatrateES</t>
  </si>
  <si>
    <t>PreheatrateBase</t>
  </si>
  <si>
    <t>EffBase</t>
  </si>
  <si>
    <t>EffES</t>
  </si>
  <si>
    <t>PreheattimeBase</t>
  </si>
  <si>
    <t>LB</t>
  </si>
  <si>
    <t>IdlebaseTime</t>
  </si>
  <si>
    <t>IdleESTime</t>
  </si>
  <si>
    <t>Idlebase</t>
  </si>
  <si>
    <t>IdleES</t>
  </si>
  <si>
    <t>IL TRM V12 pg. 116-124</t>
  </si>
  <si>
    <t>PreheatNumber</t>
  </si>
  <si>
    <t>Efood</t>
  </si>
  <si>
    <t>Days/year</t>
  </si>
  <si>
    <t>ΔDailyCookingEnergy = (LB * EFOOD/ EffBase) - (LB * EFOOD/ EffENERGYSTAR)</t>
  </si>
  <si>
    <t>ΔDailyPreheatEnergy =(PreheatNumber*PreheatTimeBase/60*PreheatRateBase)-(PreheatNumber * PreheatTimeENERGYSTAR/60 * PreheatRateENERGYSTAR)</t>
  </si>
  <si>
    <t>ΔDailyIdleEnergy = (IdleBase* IdleBaseTime)- (IdleENERGYSTAR * IdleENERGYSTARTime)</t>
  </si>
  <si>
    <t>ΔkWh = (ΔDailyIdle Energy + ΔDailyPreheat Energy + ΔDailyCooking Energy) * Days</t>
  </si>
  <si>
    <t>Electric Large Vat</t>
  </si>
  <si>
    <t>Electric Standard</t>
  </si>
  <si>
    <t>Delta ES</t>
  </si>
  <si>
    <t>ΔDailyCookingEnergy ES</t>
  </si>
  <si>
    <t>ΔDailyPreheatEnergy ES</t>
  </si>
  <si>
    <t>ΔDailyIdleEnergy ES</t>
  </si>
  <si>
    <t>Fryer Type</t>
  </si>
  <si>
    <t>Effbase</t>
  </si>
  <si>
    <t>Pcestar</t>
  </si>
  <si>
    <t>Pcbase</t>
  </si>
  <si>
    <t>Annual days of operation</t>
  </si>
  <si>
    <t>IL TRM V12 pg. 137-144</t>
  </si>
  <si>
    <t>Cooking efficiency of ES fryer</t>
  </si>
  <si>
    <t>Cooking efficiency of baseline fryer</t>
  </si>
  <si>
    <t>ASTM energy to food</t>
  </si>
  <si>
    <t>Total energy used during preheat of ES fryer (kWh)</t>
  </si>
  <si>
    <t>PreheatenergyES</t>
  </si>
  <si>
    <t>Total energy used during preheat of baseline fryer (kWh)</t>
  </si>
  <si>
    <t>Production capacity of ES fryer (lb/h)</t>
  </si>
  <si>
    <t>Production capacity of baseline fryer (lb/h)</t>
  </si>
  <si>
    <t>Food cooked per day (lbs)</t>
  </si>
  <si>
    <t>Time required to preheat the fryer (mins/day)</t>
  </si>
  <si>
    <t>Preheattime</t>
  </si>
  <si>
    <t>Average daily hours of operation</t>
  </si>
  <si>
    <t>Idle energy rate of ENERGY STAR electric fryer (lb/h)</t>
  </si>
  <si>
    <t>Idle energy rate of baseline fryer (lb/h)</t>
  </si>
  <si>
    <t>Measure life of ES Fryer</t>
  </si>
  <si>
    <t>ΔkW = ((ΔDailyIdleEnergy + ΔDailyPreheatEnergy + ΔDailyCookingEnergy)/(1,000 * HOURS) * CF</t>
  </si>
  <si>
    <t>ΔDailyCookingEnergy = (LB * EFOOD/ EffBase) – (LB * EFOOD/EffESTAR)</t>
  </si>
  <si>
    <t>ΔDailyPreheatEnergy = (PreheatEnergyBase – PreheatEnergyESTAR) * 1,000</t>
  </si>
  <si>
    <t>ΔDailyIdleEnergy = (IdleBase* ((HOURS – (PreheatTime/60)) – LB/PCBase)) – (IdleESTAR * ((HOURS – (PreheatTime/60)) – LB/PCESTAR))</t>
  </si>
  <si>
    <t>ΔkWh = (ΔDailyIdleEnergy + ΔDailyPreheatEnergy + ΔDailyCookingEnergy) * Days /1,000</t>
  </si>
  <si>
    <t>ENERGY STAR Fryers</t>
  </si>
  <si>
    <t>Baseline Fryers</t>
  </si>
  <si>
    <t>Replacement of failed or working gas fryers with new high efficiency fryers.</t>
  </si>
  <si>
    <t>Replacement of failed or working electric fryers with new high efficiency fryers.</t>
  </si>
  <si>
    <t>Electric Griddle</t>
  </si>
  <si>
    <t>IL TRM V12 pg. 145-151</t>
  </si>
  <si>
    <t>Average Daily Operation</t>
  </si>
  <si>
    <t>ASTM energy to food w/pound</t>
  </si>
  <si>
    <t>Preheat energy rate ES</t>
  </si>
  <si>
    <t>Preheat energy rate baseline</t>
  </si>
  <si>
    <t>Preheat length ES</t>
  </si>
  <si>
    <t>Preheat length base</t>
  </si>
  <si>
    <t>Preheattimebase</t>
  </si>
  <si>
    <t>Griddle depth</t>
  </si>
  <si>
    <t>Depth</t>
  </si>
  <si>
    <t>Griddle width</t>
  </si>
  <si>
    <t>Width</t>
  </si>
  <si>
    <t>Idle energy rate of ENERGY STAR electric fryer (W/h/sq)</t>
  </si>
  <si>
    <t>Idle energy rate of baseline fryer (W/h/sq)</t>
  </si>
  <si>
    <t>ΔkW = ΔkWh/Hours * CF</t>
  </si>
  <si>
    <t>ΔDailyPreheatEnergy = (PreHeatNumberBase * PreheatTimeBase / 60 * PreheatRateBase * Width * Depth) – (PreheatNumberENERGYSTAR * PreheatTimeENERGYSTAR/60 * PreheatRateENERGYSTAR * Width * Depth)</t>
  </si>
  <si>
    <t>ΔDailyIdleEnergy =[(IdleBase * Width * Depth * (HOURSday – (LB/(PCBase * Width * Depth) – (PreheatNumberBase* PreheatTimeBase/60))]- [(IdleENERGYSTAR * Width * Depth * (HOURSday – (LB/(PCENERGYSTAR * Width * Depth) – (PreheatNumberENERGYSTAR* PreheatTimeENERGYSTAR/60))]</t>
  </si>
  <si>
    <t>ΔkWh = (IdleEnergyRateBase – IdleEnergyRateES) * HOURSday * Days/1000</t>
  </si>
  <si>
    <t>ENERGY STAR Griddle</t>
  </si>
  <si>
    <t>Baseline Griddle</t>
  </si>
  <si>
    <t>Replacement of failed or working gas griddles with new high efficiency griddles.</t>
  </si>
  <si>
    <t>Replacement of failed or working electric griddles with new high efficiency griddles.</t>
  </si>
  <si>
    <t>ENERGY STAR Griddles</t>
  </si>
  <si>
    <t>28 &lt;= V</t>
  </si>
  <si>
    <t>13 &lt;= V &lt;=28</t>
  </si>
  <si>
    <t>V &lt; 13</t>
  </si>
  <si>
    <t>IdleenergyrateES</t>
  </si>
  <si>
    <t>Idleenergyratebase</t>
  </si>
  <si>
    <t>Cabinet Volume Bin</t>
  </si>
  <si>
    <t>V</t>
  </si>
  <si>
    <t>3.8*V+203.5</t>
  </si>
  <si>
    <t>2*V+254</t>
  </si>
  <si>
    <t>21.5*V</t>
  </si>
  <si>
    <t>Power (W)</t>
  </si>
  <si>
    <t>Cabinet Volume (cu. Ft.)</t>
  </si>
  <si>
    <t>Incremental cost of ES Holding Cabinets</t>
  </si>
  <si>
    <t>IL TRM V12 pg. 152-154</t>
  </si>
  <si>
    <t>Idle energy rate of Energy Star equipment</t>
  </si>
  <si>
    <t>Hoursday</t>
  </si>
  <si>
    <t>Volume of HFHC (cu. Ft.)</t>
  </si>
  <si>
    <t>Idle energy rate of basleine equipment</t>
  </si>
  <si>
    <t>30*V</t>
  </si>
  <si>
    <t>Measure life of ES Holding Cabinets</t>
  </si>
  <si>
    <t>ENERGY STAR Hot Food Holding Cabinet</t>
  </si>
  <si>
    <t>Baseline Hot Food Holding Cabinet</t>
  </si>
  <si>
    <t>Replacement of failed or working electric hot food holding cabinets with new high efficiency hot food holding cabinets.</t>
  </si>
  <si>
    <t>Hot Food Holding Cabinet</t>
  </si>
  <si>
    <t>ΔCooking Energy = ((1/ EFFBASE) - (1/ EFFENERGY STAR)) * F * EFOOD</t>
  </si>
  <si>
    <t>ΔPreheat Energy = (PREnumber *(PREheatEnergyBase - PREheatEnergyEE)</t>
  </si>
  <si>
    <t>ΔIdle Energy = ((((1- CSM%Baseline)* IDLEBASE + CSM%Baseline * PCBASE * EFOOD / EFFBASE) * (HOURSday - (F /
PCBase) - ( PREnumber *PRETimeBase))) - (((1- CSM%ENERGYSTAR) * IDLEENERGYSTAR + CSM%ENERGYSTAR *
PCENERGYSTAR * EFOOD / EFFENERGYSTAR) * (HOURSDay - (F l/ PCENERGYSTAR ) - (PREnumber * PRETimeEE
))))</t>
  </si>
  <si>
    <t>ENERGY STAR Steamer</t>
  </si>
  <si>
    <t>Baseline Steamer</t>
  </si>
  <si>
    <t>Replacement of failed or working gas steamers with new high efficiency steamers.</t>
  </si>
  <si>
    <t>Replacement of failed or working electric steamers with new high efficiency steamers.</t>
  </si>
  <si>
    <t>ENERGY STAR Steamers</t>
  </si>
  <si>
    <t>Always on</t>
  </si>
  <si>
    <t>% Savings (17 years)</t>
  </si>
  <si>
    <t>delkW (17 years)</t>
  </si>
  <si>
    <t>delkWh (17 years)</t>
  </si>
  <si>
    <t>% Savings (3 years)</t>
  </si>
  <si>
    <t>delkW (3 years)</t>
  </si>
  <si>
    <t>delkWh (3 years)</t>
  </si>
  <si>
    <t>LED Watts</t>
  </si>
  <si>
    <t>Base Watts</t>
  </si>
  <si>
    <t>Existing Watts</t>
  </si>
  <si>
    <t>Operation Type</t>
  </si>
  <si>
    <t>ER</t>
  </si>
  <si>
    <t>TOS</t>
  </si>
  <si>
    <t>HPS System Watts</t>
  </si>
  <si>
    <t>HPS Lamp Watts</t>
  </si>
  <si>
    <t>MV System Watts</t>
  </si>
  <si>
    <t>MV Lamp Watts</t>
  </si>
  <si>
    <t>IL TRM V12. pg 782-785</t>
  </si>
  <si>
    <t>HOURS</t>
  </si>
  <si>
    <t>the connected load of the efficient equipment</t>
  </si>
  <si>
    <t>the connected load of the baseline equipment</t>
  </si>
  <si>
    <t>the connected load of the existing equipment</t>
  </si>
  <si>
    <t>Wexist</t>
  </si>
  <si>
    <t/>
  </si>
  <si>
    <t>Remaining Life of Measure: 17 years for standard operation; 8.5 years for 8760 operation</t>
  </si>
  <si>
    <t>ΔkWh = (Wbase - Weff) * HOURS / 1000</t>
  </si>
  <si>
    <t>RUL: 3 years for standard operation; 1.5 years for 8760 operation</t>
  </si>
  <si>
    <t>ΔkWh = (Wexist - Weff) * HOURS / 1000</t>
  </si>
  <si>
    <t>3,64</t>
  </si>
  <si>
    <t>Outdoor pole/arm- or wall-mounted luminaire with an LED light-source</t>
  </si>
  <si>
    <t>Outdoor pole/arm- or wall-mounted luminaire with a high intensity discharge light-source</t>
  </si>
  <si>
    <t>Installation of an LED outdoor pole/arm- or wallmounted luminaire or retrofit kit for parking lot or street illumination in place of a high-intensity discharge light source</t>
  </si>
  <si>
    <t>Street Lighting</t>
  </si>
  <si>
    <t>CFL (Single sided)</t>
  </si>
  <si>
    <t>CFL (Dual sided)</t>
  </si>
  <si>
    <t>Incandescent</t>
  </si>
  <si>
    <t>Baseline Type</t>
  </si>
  <si>
    <t>IL TRM V12. pg 722-725</t>
  </si>
  <si>
    <t>Waste heat factor for demand to account for cooling savings</t>
  </si>
  <si>
    <t>IL TRM V12. pg 682-684</t>
  </si>
  <si>
    <t>Waste heat factor for energy to account for cooling energy</t>
  </si>
  <si>
    <t>WHFe</t>
  </si>
  <si>
    <t>ΔkWh = ((WattsBase - WattsEE) / 1000) * HOURS * WHFe</t>
  </si>
  <si>
    <t>Baseline Lamp</t>
  </si>
  <si>
    <t>3,6,7,23</t>
  </si>
  <si>
    <t>LED Exit Sign</t>
  </si>
  <si>
    <t>Non-LED Exit Sign</t>
  </si>
  <si>
    <t>Replace a non-LED exit sign with an LED sign (or replace the lights therein)</t>
  </si>
  <si>
    <t>Electric Heat</t>
  </si>
  <si>
    <t>No Heat</t>
  </si>
  <si>
    <t>Commercial LED Exit Signs</t>
  </si>
  <si>
    <t>Watts</t>
  </si>
  <si>
    <t>Fixture Annual Operating Hours with Photocell repaired / replaced</t>
  </si>
  <si>
    <t>Houpost</t>
  </si>
  <si>
    <t>Fixture Annual Operating Hours before Photocell repair/replacement</t>
  </si>
  <si>
    <t>Houpre</t>
  </si>
  <si>
    <t>Input wattage of exterior lighting fixture(s) controlled by photocell</t>
  </si>
  <si>
    <t>Wattsfixture</t>
  </si>
  <si>
    <t>∆kWh = (Wattsfixture/1000) * (HOUPRE – HOUPOST)</t>
  </si>
  <si>
    <t>Exterior Photocell Repair</t>
  </si>
  <si>
    <t>IL TRM V12. pg 747-750</t>
  </si>
  <si>
    <t>Fixture Annual Operating Hours</t>
  </si>
  <si>
    <t>Waste heat factor for energy to account for cooling demand savings from efficient lighting</t>
  </si>
  <si>
    <t>Waste heat factor for energy to account for cooling energy savings from efficient lighting</t>
  </si>
  <si>
    <t>New Input wattage of EE fixture which depends on new fixture configuration</t>
  </si>
  <si>
    <t>Input wattage of the existing system which depends on the baseline fixture</t>
  </si>
  <si>
    <t>ΔkWh = ((Wattsbase-WattsEE)/1000) * Hours * WHFe * ISR</t>
  </si>
  <si>
    <t>Miscellaneous Commercial/Industrial Lighting</t>
  </si>
  <si>
    <t>Exterior NLC</t>
  </si>
  <si>
    <t>Exterior Occupancy Sensor</t>
  </si>
  <si>
    <t>High End Trim or Institutional Tuning</t>
  </si>
  <si>
    <t>Interior Networked Lighting Controls &gt;100,000 sqft building</t>
  </si>
  <si>
    <t>Interior Networked Lighting Controls 10,000-100,000 sqft building</t>
  </si>
  <si>
    <t>Interior Networked Lighting Controls &lt;10,000 sqft building</t>
  </si>
  <si>
    <t>Luminaire-Level Lighting Controls &gt;10,000 Lumens</t>
  </si>
  <si>
    <t>Luminaire-Level Lighting Controls &lt;10,000 Lumens</t>
  </si>
  <si>
    <t>Interior Fixture-Mounted Dual Occupancy &amp; Daylight Sensor for LED Interior Fixtures &gt;= 10,000 Lumens</t>
  </si>
  <si>
    <t>Interior Fixture-Mounted Dual Occupancy &amp; Daylight Sensor for LED Interior Fixtures &lt; 10,000 Lumens</t>
  </si>
  <si>
    <t>Interior Integrated Dual Occupancy &amp; Daylight Sensor for LED Interior Fixtures &gt;= 10,000 Lumens</t>
  </si>
  <si>
    <t>Interior Integrated Dual Occupancy &amp; Daylight Sensor for LED Interior Fixtures &lt; 10,000 Lumens</t>
  </si>
  <si>
    <t>Interior Integrated Occupancy for LED Interior Fixtures &gt;= 10,000 Lumens</t>
  </si>
  <si>
    <t>Interior Integrated Occupancy for LED Interior Fixtures &lt; 10,000 Lumens</t>
  </si>
  <si>
    <t>Interior Remote or Wall-Mounted Daylight Sensor</t>
  </si>
  <si>
    <t>Interior Fixture-Mounted Daylight Sensor</t>
  </si>
  <si>
    <t>Interior Remote or Wall-Mounted Occupancy Sensor</t>
  </si>
  <si>
    <t>Interior Fixture-Mounted Occupancy Sensor</t>
  </si>
  <si>
    <t>Interior Wall Switch Occupancy Sensor</t>
  </si>
  <si>
    <t>kWcontrolled</t>
  </si>
  <si>
    <t>ESFee</t>
  </si>
  <si>
    <t>Lighting control type</t>
  </si>
  <si>
    <t>N/A</t>
  </si>
  <si>
    <t>No Lighting Control</t>
  </si>
  <si>
    <t>Refrigerated Case Occupancy Sensor – Freezer
and Cooler</t>
  </si>
  <si>
    <t>Interior Networked Lighting Controls (unknown
or mixed LLLCs)</t>
  </si>
  <si>
    <t>Interior Networked Lighting Controls Only with
No LLLCs</t>
  </si>
  <si>
    <t>Interior Networked Luminaire-Level Lighting
Controls</t>
  </si>
  <si>
    <t>Interior Dual Occupancy &amp; Daylight Sensor
(Integrated of Fixture Mounted)</t>
  </si>
  <si>
    <t>Interior Daylight Sensor (Wall, Fixture or Remote
Mounted)</t>
  </si>
  <si>
    <t>Interior Occupancy Sensor configured as
“Vacancy Sensor” (Switch, Wall, Fixture or
Remote Mounted or Integrated in Fixture)</t>
  </si>
  <si>
    <t>Interior Occupancy Sensor (Switch, Wall, Fixture
or Remote Mounted or Integrated in Fixture)</t>
  </si>
  <si>
    <t>Fixture Measurement of Control savings through Networked Trending (Interior or Exterior)</t>
  </si>
  <si>
    <t>ESF High end</t>
  </si>
  <si>
    <t>ESF</t>
  </si>
  <si>
    <t>All</t>
  </si>
  <si>
    <t>All other</t>
  </si>
  <si>
    <t>All other building/space types in the Reference Table in Section 4.5</t>
  </si>
  <si>
    <t>All Other</t>
  </si>
  <si>
    <t>Warehouse</t>
  </si>
  <si>
    <t>Convenience Store, Drug Store, Grocery, Retail - Department Store, Retail - Strip Mall</t>
  </si>
  <si>
    <t>Retail</t>
  </si>
  <si>
    <t>Office - High Rise - CAV no econ, Office - High Rise- CAV econ, OfficeHigh Rise- VAV econ, Office- High Rise - FCU, Office- Low Rise, Office - Mid Rise</t>
  </si>
  <si>
    <t>Office</t>
  </si>
  <si>
    <t>Manufacturing Facility</t>
  </si>
  <si>
    <t>Manufacturing</t>
  </si>
  <si>
    <t>Childcare/Pre-School, College, Elementary School, High School</t>
  </si>
  <si>
    <t>Education</t>
  </si>
  <si>
    <t>Networked Lighting Controls and LuminaireLevel Lighting Controls</t>
  </si>
  <si>
    <t>Reference Table Sec 4.5</t>
  </si>
  <si>
    <t>General Building Type</t>
  </si>
  <si>
    <t>Control Type</t>
  </si>
  <si>
    <t>kW/controlled sqft</t>
  </si>
  <si>
    <t>per fixture</t>
  </si>
  <si>
    <t>per control</t>
  </si>
  <si>
    <t>Default kW controlled</t>
  </si>
  <si>
    <t>Wattage unit</t>
  </si>
  <si>
    <t>IL TRM V12. pg 754-760</t>
  </si>
  <si>
    <t>Baseadj</t>
  </si>
  <si>
    <t>CFlc</t>
  </si>
  <si>
    <t>CFbaseline</t>
  </si>
  <si>
    <t xml:space="preserve"> Waste heat factor for energy to account for cooling demand savings from efficient lighting</t>
  </si>
  <si>
    <t xml:space="preserve"> Waste heat factor for energy to account for cooling energy savings from efficient lighting</t>
  </si>
  <si>
    <t>Energy Savings Factor of the lighting controls that existed before the new lighting
controls were installed</t>
  </si>
  <si>
    <t>ESFbase</t>
  </si>
  <si>
    <t>Energy Savings Factor from the new lighting controls installed</t>
  </si>
  <si>
    <t>Total lighting load connected to the control in kilowatts</t>
  </si>
  <si>
    <t>ΔkWh = KWControlled* Hours * (ESFEE – ESFBase) * WHF</t>
  </si>
  <si>
    <t>Lighting Controls</t>
  </si>
  <si>
    <t>2ft T8</t>
  </si>
  <si>
    <t>3ft T8</t>
  </si>
  <si>
    <t>4ft T8</t>
  </si>
  <si>
    <t>8ft T8</t>
  </si>
  <si>
    <t>Lamp type</t>
  </si>
  <si>
    <t>40% T12, 60% T8</t>
  </si>
  <si>
    <t>T12</t>
  </si>
  <si>
    <t>T8</t>
  </si>
  <si>
    <t>Weighted average</t>
  </si>
  <si>
    <t>Wattage of lamp removed</t>
  </si>
  <si>
    <t>IL TRM V12. pg 688-691</t>
  </si>
  <si>
    <t>ΔkWh =((WattsBase-WattsEE)/1000) * ISR * Hours * WHFe</t>
  </si>
  <si>
    <t>T12/T8 lamp</t>
  </si>
  <si>
    <t>4,10</t>
  </si>
  <si>
    <t>3,6,7,23,47</t>
  </si>
  <si>
    <t>3,6,7,23,9</t>
  </si>
  <si>
    <t>3,6,7,23,8</t>
  </si>
  <si>
    <t>Delamped fixture</t>
  </si>
  <si>
    <t>Existing fluorescent fixture in overlit space</t>
  </si>
  <si>
    <t>Remove fluorescent lamps from multi-lamp fixtures in overlit areas</t>
  </si>
  <si>
    <t>Fluorescent Delamping</t>
  </si>
  <si>
    <t>Dimmable Twist, Globe (less than 5" in diameter and &gt; 749 lumens), candle (shapes B, BA, CA &gt; 749 lumens), Candelabra Base Lamps (&gt;1049 lumens), Intermediate Base Lamps (&gt;749 lumens</t>
  </si>
  <si>
    <t>Additional EISA non-exempt bulb types</t>
  </si>
  <si>
    <t>MR16</t>
  </si>
  <si>
    <t>R20</t>
  </si>
  <si>
    <t>BR30, BR40, or ER40</t>
  </si>
  <si>
    <t>Reflector lamp types with medium screw bases (PAR16, R14, R16, etc.) w/ diameter &lt;2.25"</t>
  </si>
  <si>
    <t>Reflector lamp types with medium screw bases (PAR20, PAR30(S,L), PAR38, R40, etc.) w/ diameter &gt;2.25"</t>
  </si>
  <si>
    <t>Directional Lamps</t>
  </si>
  <si>
    <t>Decorative (Shape S)</t>
  </si>
  <si>
    <t>Decorative (Shape ST)</t>
  </si>
  <si>
    <t>Decorative (Shapes B, BA, C, CA, DC, F, G, T candelabra bases less than 1050 lumens)</t>
  </si>
  <si>
    <t>Decorative (Shapes B, BA, C, CA, DC, F, G, medium and intermediate bases less than 750 lumens)</t>
  </si>
  <si>
    <t>Globe (candelabra bases less than 1050 lumens)</t>
  </si>
  <si>
    <t>Globe (medium and intermediate bases less than 750 lumens)</t>
  </si>
  <si>
    <t>Omni-Directional 3-Way</t>
  </si>
  <si>
    <t>Decorative Lamps</t>
  </si>
  <si>
    <t>Omnidirectional Lamps</t>
  </si>
  <si>
    <t>Maximum Lumens</t>
  </si>
  <si>
    <t>Minimum Lumens</t>
  </si>
  <si>
    <t>Bulb Type</t>
  </si>
  <si>
    <t>Type of Lamp</t>
  </si>
  <si>
    <t>Interior Delamping</t>
  </si>
  <si>
    <t>4-Lamp F32T8</t>
  </si>
  <si>
    <t>3-Lamp F32T8</t>
  </si>
  <si>
    <t>2-Lamp F32T8</t>
  </si>
  <si>
    <t>1-Lamp F32T8</t>
  </si>
  <si>
    <t>4-Lamp F40T12 w/ Mag Ballast</t>
  </si>
  <si>
    <t>3-Lamp F40T12 w/ Mag Ballast</t>
  </si>
  <si>
    <t>2-Lamp F40T12 w/ Mag Ballast</t>
  </si>
  <si>
    <t>1-Lamp F40T12 w/ Mag Ballast</t>
  </si>
  <si>
    <t>4-Lamp F40T12 w/ EEMag Ballast</t>
  </si>
  <si>
    <t>3-Lamp F40T12 w/ EEMag Ballast</t>
  </si>
  <si>
    <t>2-Lamp T5 Indirect</t>
  </si>
  <si>
    <t>2-Lamp F40T12 w/ EEMag Ballast</t>
  </si>
  <si>
    <t>1-Lamp T5 Indirect</t>
  </si>
  <si>
    <t>1-Lamp F40T12 w/ EEMag Ballast</t>
  </si>
  <si>
    <t>4-Lamp T5 Industrial/Strip</t>
  </si>
  <si>
    <t>4-Lamp F34T12 w/ EEMag Ballast</t>
  </si>
  <si>
    <t>3-Lamp T5 Industrial/Strip</t>
  </si>
  <si>
    <t>3-Lamp F34T12 w/ EEMag Ballast</t>
  </si>
  <si>
    <t>2-Lamp T5 Industrial/Strip</t>
  </si>
  <si>
    <t>2-Lamp F34T12 w/ EEMag Ballast</t>
  </si>
  <si>
    <t>1-Lamp T5 Industrial/Strip</t>
  </si>
  <si>
    <t>1-Lamp F34T12 w/ EEMag Ballast</t>
  </si>
  <si>
    <t>2-Lamp T5 Troffer/Wrap</t>
  </si>
  <si>
    <t>400 Watt Pulse Start Metal-Halide</t>
  </si>
  <si>
    <t>1-Lamp T5 Troffer/Wrap</t>
  </si>
  <si>
    <t>400 Watt Metal-Halide</t>
  </si>
  <si>
    <t>320 Watt Pulse Start Metal-Halide</t>
  </si>
  <si>
    <t>6-Lamp T5 High-Bay</t>
  </si>
  <si>
    <t>250 Watt Metal-Halide</t>
  </si>
  <si>
    <t>4-Lamp T5 High-Bay</t>
  </si>
  <si>
    <t>200 Watt Pulse Start Metal-Halide</t>
  </si>
  <si>
    <t>3-Lamp T5 High-Bay</t>
  </si>
  <si>
    <t>Measure Cost</t>
  </si>
  <si>
    <t>Base Cost</t>
  </si>
  <si>
    <t>EE Cost</t>
  </si>
  <si>
    <t>EE Measure Description</t>
  </si>
  <si>
    <t>A-2 TOS</t>
  </si>
  <si>
    <t>3-Lamp F32T8 Equivalent w/ Elec. Ballast</t>
  </si>
  <si>
    <t>Proportionally adjusted according to 2-Lamp T5 Equivalent to 3-Lamp T8</t>
  </si>
  <si>
    <t>Proportionally Adjusted according to 6-Lamp HPT8 Equivalent to 320 PSMH</t>
  </si>
  <si>
    <t>2-Lamp T5 High-Bay</t>
  </si>
  <si>
    <t>A-1 DI and ERP</t>
  </si>
  <si>
    <t>High Temperature</t>
  </si>
  <si>
    <t>Pot, Pan, and Utensil</t>
  </si>
  <si>
    <t>Multi Tank Conveyor</t>
  </si>
  <si>
    <t>Single Tank Conveyor</t>
  </si>
  <si>
    <t>Stationary Single Tank Door</t>
  </si>
  <si>
    <t>Under Counter</t>
  </si>
  <si>
    <t>Low Temperature</t>
  </si>
  <si>
    <t>TOTAL_IncrCost_$/kWh</t>
  </si>
  <si>
    <t>TOTAL_%SAVE_kWh</t>
  </si>
  <si>
    <t>Weighted kWh/kW</t>
  </si>
  <si>
    <t>TOTAL_SAVE_kW</t>
  </si>
  <si>
    <t>TOTAL_SAVE_kWh</t>
  </si>
  <si>
    <t>TOTAL_EFF_kWh</t>
  </si>
  <si>
    <t>TOTAL_BASE_kWh</t>
  </si>
  <si>
    <t>DHW_IncrCost_$/kWh</t>
  </si>
  <si>
    <t>DHW_%SAVE_kWh</t>
  </si>
  <si>
    <t>DHW_SAVE_kW</t>
  </si>
  <si>
    <t>DHW_SAVE_kWh</t>
  </si>
  <si>
    <t>DHW_EFF_kWh</t>
  </si>
  <si>
    <t>DHW_BASE_kWh</t>
  </si>
  <si>
    <t>APPL_IncrCost_$/kWh</t>
  </si>
  <si>
    <t>APPL_%SAVE_kWh</t>
  </si>
  <si>
    <t>APPL_SAVE_kW</t>
  </si>
  <si>
    <t>APPL_SAVE_kWh</t>
  </si>
  <si>
    <t>APPL_EFF_kWh</t>
  </si>
  <si>
    <t>APPL_BASE_kWh</t>
  </si>
  <si>
    <t>∆IdleEnergy Base</t>
  </si>
  <si>
    <t>∆BoosterEnergy Base</t>
  </si>
  <si>
    <t>∆BuildingEnergy Base</t>
  </si>
  <si>
    <t>∆IdleEnergy EE</t>
  </si>
  <si>
    <t>∆BoosterEnergy EE</t>
  </si>
  <si>
    <t>∆BuildingEnergy EE</t>
  </si>
  <si>
    <t>DHW Fuel</t>
  </si>
  <si>
    <t>Temperature Application</t>
  </si>
  <si>
    <t>SAVINGS &amp; COSTS - TOTAL</t>
  </si>
  <si>
    <t>SAVINGS &amp; COSTS - DHW END USE</t>
  </si>
  <si>
    <t>SAVINGS &amp; COSTS - APPLIANCE END USE</t>
  </si>
  <si>
    <t>BASE ASSUMPTIONS</t>
  </si>
  <si>
    <t>Incremental Cost ($)</t>
  </si>
  <si>
    <t>Idledrawestar</t>
  </si>
  <si>
    <t>Wateruseestar</t>
  </si>
  <si>
    <t>Washtime</t>
  </si>
  <si>
    <t>Rackswashed</t>
  </si>
  <si>
    <t>INDEX</t>
  </si>
  <si>
    <t>ENERGY STAR Dishwasher Characteristics</t>
  </si>
  <si>
    <t>PA TRM 2021_Volume 3_CI, pg 239-242</t>
  </si>
  <si>
    <t>Idledrawbase</t>
  </si>
  <si>
    <t>Waterusebase</t>
  </si>
  <si>
    <t>Conventional Dishwasher Characteristics</t>
  </si>
  <si>
    <t>Other/Miscellaneous</t>
  </si>
  <si>
    <t>Industrial</t>
  </si>
  <si>
    <t>Agriculture</t>
  </si>
  <si>
    <t>Retail - Large Department Store</t>
  </si>
  <si>
    <t>Public Assembly</t>
  </si>
  <si>
    <t>Restaurant</t>
  </si>
  <si>
    <t>Average daily hours of dishwasher operation</t>
  </si>
  <si>
    <t>IL TRM V12 pg. 125-136</t>
  </si>
  <si>
    <t>Data Center</t>
  </si>
  <si>
    <t>Office - High Rise</t>
  </si>
  <si>
    <t>Idle power draw (kW) of ENERGY STAR dishwasher</t>
  </si>
  <si>
    <t>Food Service</t>
  </si>
  <si>
    <t>Office - Mid Rise</t>
  </si>
  <si>
    <t>Typical wash time (min)</t>
  </si>
  <si>
    <t>Food Sales</t>
  </si>
  <si>
    <t>Office - Low Rise</t>
  </si>
  <si>
    <t>Idle power draw (kW) of baseline dishwasher</t>
  </si>
  <si>
    <t>Lodging</t>
  </si>
  <si>
    <t>Water use per rack (gal) of ENERGY STAR dishwasher</t>
  </si>
  <si>
    <t>Healthcare</t>
  </si>
  <si>
    <t>Efficiency of water heater</t>
  </si>
  <si>
    <t>Inlet water temperature increase (°F)</t>
  </si>
  <si>
    <t>delTinBooster</t>
  </si>
  <si>
    <t>Health/Medical - Hospital</t>
  </si>
  <si>
    <t>delTinWH</t>
  </si>
  <si>
    <t>Health/Medical - Clinic</t>
  </si>
  <si>
    <t>Annual days of dishwasher operation</t>
  </si>
  <si>
    <t>Education - Secondary</t>
  </si>
  <si>
    <t>Number of racks washed per day</t>
  </si>
  <si>
    <t>Education - Primary</t>
  </si>
  <si>
    <t>Water use per rack (gal) of baseline dishwasher</t>
  </si>
  <si>
    <t>Education - Community College/University</t>
  </si>
  <si>
    <t>Unit/description</t>
  </si>
  <si>
    <t>INPUTS</t>
  </si>
  <si>
    <t>Convenience Store</t>
  </si>
  <si>
    <t>ΔIdleEnergy = [IdleDrawBase* (Hours *Days – Days * RacksWashed * WashTime ÷ 60)] – [IdleDrawESTAR* (Hours *Days – Days * RacksWashed * WashTime ÷ 60)]</t>
  </si>
  <si>
    <t>MN Analysis Building Types</t>
  </si>
  <si>
    <t>ΔBoosterEnergy = [(WaterUseBase * RacksWashed * Days) * (∆Tin *1.0 * 8.2 ÷ EffHeater ÷ 3,412)] - [(WaterUseESTAR * RacksWashed * Days) * (∆Tin *1.0 * 8.2 ÷ EffHeater ÷ 3,412)]</t>
  </si>
  <si>
    <t xml:space="preserve">ΔBuildingEnergy = [(WaterUseBase * RacksWashed * Days) * (∆Tin *1.0 * 8.2 ÷ EffHeater ÷ 3,412)] - [(WaterUseESTAR * RacksWashed * Days) * (∆Tin *1.0 * 8.2 ÷ EffHeater ÷ 3,412)] </t>
  </si>
  <si>
    <t>∆kWh = ∆BuildingEnergy + ∆BoosterEnergy + ∆IdleEnergy</t>
  </si>
  <si>
    <t>ENERGY STAR commercial dishwasher</t>
  </si>
  <si>
    <t>Standard efficiency commercial dishwasher</t>
  </si>
  <si>
    <t>NC,RENO,REPL</t>
  </si>
  <si>
    <t>Installation of an ENERGY STAR commercial dishwasher.</t>
  </si>
  <si>
    <t>Building w gas WH</t>
  </si>
  <si>
    <t>Building w elec WH</t>
  </si>
  <si>
    <t>Commercial ENERGY STAR Dishwasher</t>
  </si>
  <si>
    <t>Combination B</t>
  </si>
  <si>
    <t>Combination A</t>
  </si>
  <si>
    <t>delkWhrefbmc</t>
  </si>
  <si>
    <t>delkWhlighting</t>
  </si>
  <si>
    <t>Class</t>
  </si>
  <si>
    <t>TLEDs</t>
  </si>
  <si>
    <t>Fluorescent T8</t>
  </si>
  <si>
    <t>Wbulb</t>
  </si>
  <si>
    <t>Bulb type</t>
  </si>
  <si>
    <t>MDEC</t>
  </si>
  <si>
    <t>IL TRM V12 pg. 796-799</t>
  </si>
  <si>
    <t>Operating Days/yr</t>
  </si>
  <si>
    <t>Maximum hours of sleep mode per day</t>
  </si>
  <si>
    <t>Sleephours</t>
  </si>
  <si>
    <t>Maximum Daily Energy Consumption per Federal regulations</t>
  </si>
  <si>
    <t>Wattage of bulb in Refrigerated Beverage Vending Machine</t>
  </si>
  <si>
    <t>Average Annual Hours facility is occupied</t>
  </si>
  <si>
    <t>Occhours</t>
  </si>
  <si>
    <t>ΔkWhRef BMC = MDEC ∗ (SleepHours / 24) ∗ Days</t>
  </si>
  <si>
    <t>ΔkWhLighting = ((8760 – OccHours) ∗ Wbulb)/1000</t>
  </si>
  <si>
    <t>∆kWh = ΔkWhLighting + ΔkWhRef BMC</t>
  </si>
  <si>
    <t>No Controls on the vending machines</t>
  </si>
  <si>
    <t>Refrigerated</t>
  </si>
  <si>
    <t>Non-Refrigerated</t>
  </si>
  <si>
    <t>Beverage and Snack Machine Controls</t>
  </si>
  <si>
    <t>Monitors</t>
  </si>
  <si>
    <t>Uecmoneff</t>
  </si>
  <si>
    <t>Uecmonbase</t>
  </si>
  <si>
    <t>Laptop computer</t>
  </si>
  <si>
    <t>Ueccomeff</t>
  </si>
  <si>
    <t>Ueccompbase</t>
  </si>
  <si>
    <t>Desktop computer</t>
  </si>
  <si>
    <t>Active</t>
  </si>
  <si>
    <t>Idle</t>
  </si>
  <si>
    <t>Sleep</t>
  </si>
  <si>
    <t>Off</t>
  </si>
  <si>
    <t>Unplugged</t>
  </si>
  <si>
    <t>Monitor</t>
  </si>
  <si>
    <t>Laptop Computer</t>
  </si>
  <si>
    <t>Desktop Computer</t>
  </si>
  <si>
    <t>Computer</t>
  </si>
  <si>
    <t>Power Draw</t>
  </si>
  <si>
    <t>Efficient Duty Cycle</t>
  </si>
  <si>
    <t>Base Duty Cycle</t>
  </si>
  <si>
    <t>Computer Power State</t>
  </si>
  <si>
    <t>Power (W) consumption in each power state</t>
  </si>
  <si>
    <t>IL TRM V12 pg. 893-896</t>
  </si>
  <si>
    <t>Powerstate</t>
  </si>
  <si>
    <t>Annual hours in each power state</t>
  </si>
  <si>
    <t>Hourseff</t>
  </si>
  <si>
    <t>Hoursbase</t>
  </si>
  <si>
    <t>Energy consumption of monitor after adjusting power settings</t>
  </si>
  <si>
    <t>Energy consumption of monitor before adjusting power settings</t>
  </si>
  <si>
    <t>Energy consumption of computer after adjusting power settings</t>
  </si>
  <si>
    <t>Energy consumption of computer before adjusting power settings</t>
  </si>
  <si>
    <t>Ueccombase</t>
  </si>
  <si>
    <t xml:space="preserve">ΔkWh = ((UECCompBase - UECCompEff )+(UECMonBase - UECMonEff)) </t>
  </si>
  <si>
    <t>Power Management controls set by IT on a top down bases</t>
  </si>
  <si>
    <t>Computer power management controls set by user</t>
  </si>
  <si>
    <t>This measure characterizes average savings from adjustment of computer power management settings by a direct install technician. Computer power management settings, when properly enabled, automatically put the computer and monitor in a low power state when no activity is detected for a certain period of time.</t>
  </si>
  <si>
    <t>Computer Power Management Software</t>
  </si>
  <si>
    <t>Power Strip</t>
  </si>
  <si>
    <t>IL TRM V12 pg. 907-909</t>
  </si>
  <si>
    <t>In Service Rate</t>
  </si>
  <si>
    <t>number of weeks per year</t>
  </si>
  <si>
    <t>weeksperyear</t>
  </si>
  <si>
    <t>hours the office is open during the weekend</t>
  </si>
  <si>
    <t>hrswkendopen</t>
  </si>
  <si>
    <t>hours the office is open during the work week</t>
  </si>
  <si>
    <t>hrswkdayopen</t>
  </si>
  <si>
    <t>total hours during the weekend (Friday 5:30 PM to Monday 7:30 AM)</t>
  </si>
  <si>
    <t>hrswkend</t>
  </si>
  <si>
    <t>total hours during the work week (Monday 7:30 AM to Friday 5:30 PM)</t>
  </si>
  <si>
    <t>hrswkday</t>
  </si>
  <si>
    <t>Standby power consumption of connected electronics on weekend off-hours</t>
  </si>
  <si>
    <t>kWwkend</t>
  </si>
  <si>
    <t>Standby power consumption of connected electronics on weekday off-hours</t>
  </si>
  <si>
    <t>kWwkday</t>
  </si>
  <si>
    <t>ΔkWh = ((kWwkday * (hrswkday - hrswkday-open)) + (kWwkend * (hrswkend - hrswkend-open))) * weeks/year * ISR</t>
  </si>
  <si>
    <t>Tier 1 Power Strip</t>
  </si>
  <si>
    <t>Standard Power Strip with no controls</t>
  </si>
  <si>
    <t>Tier 1 Advanced Power Strips are multi-plug power strips with the ability to automatically disconnect specific connected loads depending upon the power draw of a control load, also plugged into the strip. Power is disconnected from the switched (controlled) outlets when the control load power draw is reduced below a certain adjustable threshold, thus turning off the appliances plugged into the switched outlets. By disconnecting, the standby load of the controlled devices, the overall load of a centralized group of equipment (e.g. a desk workstation) can be reduced.</t>
  </si>
  <si>
    <t>Tier 1</t>
  </si>
  <si>
    <t>Advanced Power Strip – Tier 1 Commercial</t>
  </si>
  <si>
    <t>Vertical Open, Self-Contained Medium Temperature</t>
  </si>
  <si>
    <t>Vertical Open, Remote Condensing, Low Temperature</t>
  </si>
  <si>
    <t>Vertical Open, Remote Condensing, Medium Temperature</t>
  </si>
  <si>
    <t>Vertical Open, no Night Covers</t>
  </si>
  <si>
    <t>Use case</t>
  </si>
  <si>
    <t>35°F to 55°F</t>
  </si>
  <si>
    <t>0°F to 30°F</t>
  </si>
  <si>
    <t>delHG</t>
  </si>
  <si>
    <t>kWhnightcovers/ft reduction</t>
  </si>
  <si>
    <t>Case Temperature Range</t>
  </si>
  <si>
    <t>Display Case Description</t>
  </si>
  <si>
    <t>Marion</t>
  </si>
  <si>
    <t>Belleville</t>
  </si>
  <si>
    <t>Springfield</t>
  </si>
  <si>
    <t>Chicago</t>
  </si>
  <si>
    <t>Rockford</t>
  </si>
  <si>
    <t>Hourscool</t>
  </si>
  <si>
    <t>Mmbtuhorizontal</t>
  </si>
  <si>
    <t>Mmbtuvertical</t>
  </si>
  <si>
    <t>Zone</t>
  </si>
  <si>
    <t>Case Type</t>
  </si>
  <si>
    <t>Doors without LED lighting; with lighting is $419</t>
  </si>
  <si>
    <t>IL TRM V12 pg. 835-839</t>
  </si>
  <si>
    <t>Summer peak coincidence factor for the HVAC cooling system. This is the summer system peak coincidence factor for commercial dooling (during system peak hours)</t>
  </si>
  <si>
    <t>Cfcool</t>
  </si>
  <si>
    <t>Summer peak coincidence factor for the refrigerated display case</t>
  </si>
  <si>
    <t>Cfrefrigeration</t>
  </si>
  <si>
    <t>Reduction in demand savings if new lighting is added to the case (kW/linear-ft)</t>
  </si>
  <si>
    <t>kWaddedlights</t>
  </si>
  <si>
    <t>Reduction in energy savings if new lighting is added to the case (kWh/linear-ft)</t>
  </si>
  <si>
    <t>kWhaddedlights</t>
  </si>
  <si>
    <t>Reduction in energy savings if existing display case utilizes night covers (kWh/linear-ft)</t>
  </si>
  <si>
    <t>kWhnightcovers</t>
  </si>
  <si>
    <t>Seasonal Energy Efficiency Ratio; HVAC equipment operating efficiency (Btu/hr-watt)</t>
  </si>
  <si>
    <t>SEER</t>
  </si>
  <si>
    <t>Total cooling load increase on the HVAC equipment per linear foot of display case</t>
  </si>
  <si>
    <t>Energy Efficiency Ratio; display case compressor efficiency (Btu/hr-watt)</t>
  </si>
  <si>
    <t>EER</t>
  </si>
  <si>
    <t>Case Length, refrigerated case length in feet</t>
  </si>
  <si>
    <t>Cl</t>
  </si>
  <si>
    <t>Heat Gain, the decreased load or the reduced heat gain on the open refrigerated display case with the installation of a door (Btu/hr-linear foot)</t>
  </si>
  <si>
    <t>Input</t>
  </si>
  <si>
    <t>Measure Description</t>
  </si>
  <si>
    <t>∆kWh = ((ΔHG ∗ CL)/ (EER ∗ 1000) ∗ 8760) + (MMBtuHVAC Cool ∗ CL ∗ (1 / SEER) ∗ 1000) − kWhNight Covers − kWhAdded Lights</t>
  </si>
  <si>
    <t>Doored  Refrigerated  Vertical Display Case with zero energy doors</t>
  </si>
  <si>
    <t>Open Refrigerated  Vertical Display Case</t>
  </si>
  <si>
    <t>Install Strip Curtains on walk-in coolers and freezers</t>
  </si>
  <si>
    <t>Add Doors to Open Refrigerator Display Cases</t>
  </si>
  <si>
    <t>Horizontal Open, Self-Contained Low Temperature</t>
  </si>
  <si>
    <t>Horizontal Open, Self-Contained Medium Temperature</t>
  </si>
  <si>
    <t>Horizontal Open, Remote Condensing, Low Temperature</t>
  </si>
  <si>
    <t>Horizontal Open, Remote Condensing, Medium Temperature</t>
  </si>
  <si>
    <t>Annual Electricity Use kWh/ft</t>
  </si>
  <si>
    <t>IL TRM V12 pg. 818-820</t>
  </si>
  <si>
    <t>L</t>
  </si>
  <si>
    <t>ES</t>
  </si>
  <si>
    <t>∆kWh = ES * L</t>
  </si>
  <si>
    <t>8,12</t>
  </si>
  <si>
    <t>Open refrigerated case with night covers</t>
  </si>
  <si>
    <t>Open refrigerated case without night covers</t>
  </si>
  <si>
    <t>Refrigeration thermal blinds, or night covers, are utilized to create a protective thermal barrier between ambient air and the cooled, conditioned air in open refrigerated cases. Deployed when grocery centers close, night covers insulate cold refrigeration cases while maintaining the desired displayed food temperature. Night covers are typically constructed of a flexible, woven fabric.</t>
  </si>
  <si>
    <t>Case Night Covers</t>
  </si>
  <si>
    <t>Class B</t>
  </si>
  <si>
    <t>Class A</t>
  </si>
  <si>
    <t>0.09768*V+1.7952</t>
  </si>
  <si>
    <t>0.111*V+2.04</t>
  </si>
  <si>
    <t>0.07998*V+2.4738</t>
  </si>
  <si>
    <t>0.086*V+2.66</t>
  </si>
  <si>
    <t>9.7-16</t>
  </si>
  <si>
    <t>0.04576*V+1.936</t>
  </si>
  <si>
    <t>0.052*V+2.2</t>
  </si>
  <si>
    <t>21.8-30.5</t>
  </si>
  <si>
    <t>0.04836*V+2.2599</t>
  </si>
  <si>
    <t>0.052*V+2.43</t>
  </si>
  <si>
    <t>11.5-38.5</t>
  </si>
  <si>
    <t>Mdecee</t>
  </si>
  <si>
    <t>Mdecbase</t>
  </si>
  <si>
    <t>Mdecee equation</t>
  </si>
  <si>
    <t>Mdecbase equation</t>
  </si>
  <si>
    <t>Assumed V</t>
  </si>
  <si>
    <t>Volume (cu. Ft.)</t>
  </si>
  <si>
    <t>IL TRM V12 pg. 806-808</t>
  </si>
  <si>
    <t>Maximum Daily Energy Consumption calculated using the equation from the table below, specific for the ENERGY STAR Specification 4.0 equipment class and the volume range</t>
  </si>
  <si>
    <t>Maximum Daily Energy Consumption calculated using the equation from the table below, specific for the baseline equipment class and the volume range</t>
  </si>
  <si>
    <t>∆kWh = (MDECBaseline – MDEC Efficient) * Days</t>
  </si>
  <si>
    <t>Refrigerated vending machine can be new or rebuilt but must meet the ENERGY STAR specifications which include low power mode.</t>
  </si>
  <si>
    <t>Standard unit vending machine</t>
  </si>
  <si>
    <t xml:space="preserve">ENERGY STAR qualified new and rebuilt vending machines incorporate more efficient compressors, fan motors, and lighting systems as well as low power mode option that allows the machine to be placed in low-energy lighting and/or low-energy refrigeration states during times of inactivity. </t>
  </si>
  <si>
    <t>ENERGY STAR Refrigerated Vending Machine</t>
  </si>
  <si>
    <t>3/4HP</t>
  </si>
  <si>
    <t>1/2HP</t>
  </si>
  <si>
    <t>1/3HP</t>
  </si>
  <si>
    <t>1/5HP</t>
  </si>
  <si>
    <t>1/15-1/20HP</t>
  </si>
  <si>
    <t>16W</t>
  </si>
  <si>
    <t>Motor Rating</t>
  </si>
  <si>
    <t>Peaksavingspermotor</t>
  </si>
  <si>
    <t>Savingspermotor</t>
  </si>
  <si>
    <t>Evaporator Fan Motor Rating</t>
  </si>
  <si>
    <t>Assumption of unitary motor being evaluated</t>
  </si>
  <si>
    <t>IL TRM V12 pg. 809-811</t>
  </si>
  <si>
    <t>No of. Motors</t>
  </si>
  <si>
    <t>Peak kW savings per motor (as listed in the table below)</t>
  </si>
  <si>
    <t>based on the motor rating of the ECM motor</t>
  </si>
  <si>
    <t>ΔkWh = Savings per motor * motors</t>
  </si>
  <si>
    <t>3,8</t>
  </si>
  <si>
    <t>Uncontrolled ECM evaporator fan motors in walk-in coolers and freezers</t>
  </si>
  <si>
    <t>NC, RENO</t>
  </si>
  <si>
    <t>Evaporator Fan Speed Controls</t>
  </si>
  <si>
    <t>Unknown Temp</t>
  </si>
  <si>
    <t>Remote Condensing Unit</t>
  </si>
  <si>
    <t>Self-Contained Unit</t>
  </si>
  <si>
    <t>Med Temp</t>
  </si>
  <si>
    <t>Low Temp</t>
  </si>
  <si>
    <t>delkWH</t>
  </si>
  <si>
    <t>Unit Type</t>
  </si>
  <si>
    <t>Freezer Type</t>
  </si>
  <si>
    <t>Med Temp (Freezer)</t>
  </si>
  <si>
    <t>Low Temp (Freezer)</t>
  </si>
  <si>
    <t>Savings factor, kWh per horsepower of compressor rating. Per the tables below based
on weather zone, condensing unit type, and temperature range</t>
  </si>
  <si>
    <t>IL TRM V12 pg. 840-843</t>
  </si>
  <si>
    <t>kWhHP</t>
  </si>
  <si>
    <t>Horsepower of Compressor</t>
  </si>
  <si>
    <t>HP</t>
  </si>
  <si>
    <t>ΔkWh = HP * kWhHP</t>
  </si>
  <si>
    <t>3,12</t>
  </si>
  <si>
    <t>Install floating head pressure control</t>
  </si>
  <si>
    <t>No floating head pressure control</t>
  </si>
  <si>
    <t xml:space="preserve">By installing a floating head pressure control  (FHPCs) condenser system, the refrigeration system can change condensing temperatures in response to different outdoor temperatures. </t>
  </si>
  <si>
    <t>Floating Head Pressure Control</t>
  </si>
  <si>
    <t>Relative Humidity</t>
  </si>
  <si>
    <t>hic</t>
  </si>
  <si>
    <t>W</t>
  </si>
  <si>
    <t>S</t>
  </si>
  <si>
    <t>N</t>
  </si>
  <si>
    <t>cwc</t>
  </si>
  <si>
    <t>vwc</t>
  </si>
  <si>
    <t>hoc</t>
  </si>
  <si>
    <t>CD (Balance Point Temperature)</t>
  </si>
  <si>
    <t>The discharge coefficient during the cooling season</t>
  </si>
  <si>
    <t>IL TRM V12 pg. 990-999</t>
  </si>
  <si>
    <t>Cdc</t>
  </si>
  <si>
    <t>Average outdoor air temp</t>
  </si>
  <si>
    <t>Toc</t>
  </si>
  <si>
    <t>Average indoor air temp</t>
  </si>
  <si>
    <t>Tic</t>
  </si>
  <si>
    <t>Accelaration due to gravity</t>
  </si>
  <si>
    <t>g</t>
  </si>
  <si>
    <t>Area of the doorway</t>
  </si>
  <si>
    <t>Ad</t>
  </si>
  <si>
    <t>CFMt</t>
  </si>
  <si>
    <t>Effectiveness of openings</t>
  </si>
  <si>
    <t>Cv</t>
  </si>
  <si>
    <t>Wind speed correction factor due to wind direction in cooling season (%)</t>
  </si>
  <si>
    <t>average wind speed during the cooling season based on entryway orientation (mph)</t>
  </si>
  <si>
    <t>CFMw</t>
  </si>
  <si>
    <t>Average enthalpy of indoor air, cooling season (Btu/lb)</t>
  </si>
  <si>
    <t>Average enthalpy of outside air during the cooling season (Btu/lb)</t>
  </si>
  <si>
    <t>Total air flow through entryway (cfm), see calculation below</t>
  </si>
  <si>
    <t>CFMtot</t>
  </si>
  <si>
    <t>Speedclosefast</t>
  </si>
  <si>
    <t>Speedopenfast</t>
  </si>
  <si>
    <t>Speedclosestandard</t>
  </si>
  <si>
    <t>Speedopenstandard</t>
  </si>
  <si>
    <t>Height of doorway (ft)</t>
  </si>
  <si>
    <t>Hd</t>
  </si>
  <si>
    <t>The number of door opening and closing cycles per day</t>
  </si>
  <si>
    <t>Cyclesperday</t>
  </si>
  <si>
    <t>cooling days per year, total days in year above balance point temperature (day)</t>
  </si>
  <si>
    <t>CD</t>
  </si>
  <si>
    <t>average hours per day the high speed door is open (hr/day)</t>
  </si>
  <si>
    <t>tfast</t>
  </si>
  <si>
    <t>average hours per day the standard speed door is open (hr/day)</t>
  </si>
  <si>
    <t>tstandard</t>
  </si>
  <si>
    <t>Rate of total heat transfer through the open entryway (kBtu/hr)</t>
  </si>
  <si>
    <t>Q</t>
  </si>
  <si>
    <t>Q = 4.5 * CFMtot *(hoc – hic) / (1,000 Btu/kBtu)</t>
  </si>
  <si>
    <t>CFMt = Ad * Cdc * (60 sec/min) * sqrt[2 * g * Hd/2 * (Toc - Tic) / (459.7 + Toc)]</t>
  </si>
  <si>
    <t>tfast = CyclesPerDay * [Hd * 12 *(1 / Speedopen_fast + 1 / Speedclose_fast)] / 3600</t>
  </si>
  <si>
    <t>CFMw = (vwc * Cwc)* Cv * Ad * (88 fpm/mph)</t>
  </si>
  <si>
    <t>tstandard = CyclesPerDay * [Hd * 12 *(1 / Speedopen_standard + 1 / Speedclose_standard)] / 3600</t>
  </si>
  <si>
    <t>CFMtot = sqrt[ (CFMw) 2 + (CFMt 2 ) ]</t>
  </si>
  <si>
    <t>∆kWhcooling = (Q / EER) * (tstandard - tfast) * CD</t>
  </si>
  <si>
    <t>High Speed Overhead Doors</t>
  </si>
  <si>
    <t>Cooler</t>
  </si>
  <si>
    <t>q</t>
  </si>
  <si>
    <t>n</t>
  </si>
  <si>
    <t>Df</t>
  </si>
  <si>
    <t>Rs</t>
  </si>
  <si>
    <t>Qs</t>
  </si>
  <si>
    <t>Equipment</t>
  </si>
  <si>
    <t xml:space="preserve"> hours per year when primary doors to the cooled space are open</t>
  </si>
  <si>
    <t>t</t>
  </si>
  <si>
    <t>operating input power of the high speed door motor, in kW</t>
  </si>
  <si>
    <t>M</t>
  </si>
  <si>
    <t>effectiveness of efficient open-doorway protective device. Equal to 0, unless an additional
protective device exists to limit infiltration during times when the high-speed door is open</t>
  </si>
  <si>
    <t>Ee</t>
  </si>
  <si>
    <t xml:space="preserve"> effectiveness of baseline open-doorway protective device (strip curtains). Equal to 0.85</t>
  </si>
  <si>
    <t>Eb</t>
  </si>
  <si>
    <t>decimal portion of time high speed door motor is operational</t>
  </si>
  <si>
    <t>Dtm</t>
  </si>
  <si>
    <t>Period of time considered in hours, 1 hr</t>
  </si>
  <si>
    <t>Td</t>
  </si>
  <si>
    <t>Time door remains open in minutes. Custom input; assume 3 minutes if unknown</t>
  </si>
  <si>
    <t>Toe</t>
  </si>
  <si>
    <t>Door open to close time in seconds. Custom input; assume 7.5 seconds if
unknown</t>
  </si>
  <si>
    <t>Tpe</t>
  </si>
  <si>
    <t>Number of passages through doorway per hour. Custom input; assume 5.9 if unknown</t>
  </si>
  <si>
    <t>Dte</t>
  </si>
  <si>
    <t>Decimal portion of time doorway is open in the baseline condition. Assumed to have strip curtains installed</t>
  </si>
  <si>
    <t>Dtb</t>
  </si>
  <si>
    <t>Sensible heat ratio of the infiltration air heat gain. Outside temp at 80F and rh of 80%</t>
  </si>
  <si>
    <t>Sensible heat load of infiltration air per square foot of door way opening; Outside air temp at 80F</t>
  </si>
  <si>
    <t>Height of doorway</t>
  </si>
  <si>
    <t>Width of doorway</t>
  </si>
  <si>
    <t>sensible and latent refrigeration load for fully established flow, Btu/h</t>
  </si>
  <si>
    <t>Coolers for items such as floral,
produce and meat preparation rooms</t>
  </si>
  <si>
    <t>20 to minus 45</t>
  </si>
  <si>
    <t>High</t>
  </si>
  <si>
    <t>Coolers for items such as meat, milk,
dairy, etc</t>
  </si>
  <si>
    <t>0 to minus 20</t>
  </si>
  <si>
    <t>Medium</t>
  </si>
  <si>
    <t>Freezers for times such as frozen pizza, ice cream, etc</t>
  </si>
  <si>
    <t>minus 35 to 0</t>
  </si>
  <si>
    <t>Low</t>
  </si>
  <si>
    <t>kWbase</t>
  </si>
  <si>
    <t>BF</t>
  </si>
  <si>
    <t>Typical Uses</t>
  </si>
  <si>
    <t>Representative
Evaporator Temperature
Range, °F</t>
  </si>
  <si>
    <t>Definition</t>
  </si>
  <si>
    <t>Bonus Factor; represents the increased savings due to reduction in cooling load inside
the cases, and the increase in cooling load in the building space to cool the additional heat
generated by the door heaters</t>
  </si>
  <si>
    <t>IL TRM V12 pg. 800-802</t>
  </si>
  <si>
    <t>Energy Savings Factor; represents the percentage of hours annually that the door heater
is powered off due to the controls</t>
  </si>
  <si>
    <t>Number of reach-in refrigerator or freezer doors controlled by sensor</t>
  </si>
  <si>
    <t>NUMdoors</t>
  </si>
  <si>
    <t>Connected load kW for typical reach-in refrigerator or freezer door and frame with a
heater</t>
  </si>
  <si>
    <t>ΔkWH = kWbase * NUMdoors * ESF * BF * 8766</t>
  </si>
  <si>
    <t>3/4 HP</t>
  </si>
  <si>
    <t>1/2 HP</t>
  </si>
  <si>
    <t>1/3 HP</t>
  </si>
  <si>
    <t>1/5 HP</t>
  </si>
  <si>
    <t>1/15 - 1/20 HP</t>
  </si>
  <si>
    <t>Peak kW Savings/motor</t>
  </si>
  <si>
    <t>Annual Savings/motor</t>
  </si>
  <si>
    <t>Motors</t>
  </si>
  <si>
    <t>Savings/motor</t>
  </si>
  <si>
    <t>&lt;= 4.44</t>
  </si>
  <si>
    <t>700 &lt;= H &lt;=4000</t>
  </si>
  <si>
    <t>≤ 8.24 – 0.005429H</t>
  </si>
  <si>
    <t>9.47-0.00624H</t>
  </si>
  <si>
    <t>200 &lt;= H &lt;700</t>
  </si>
  <si>
    <t>≤ 12.37 – 0.0261H</t>
  </si>
  <si>
    <t>14.22-0.03H</t>
  </si>
  <si>
    <t>H &lt; 200</t>
  </si>
  <si>
    <t>SCU</t>
  </si>
  <si>
    <t>&lt;= 4.05</t>
  </si>
  <si>
    <t>800 &lt;= H &lt;=4000</t>
  </si>
  <si>
    <t>≤ 7.76 – 0.00464H</t>
  </si>
  <si>
    <t>9.7-0.0058H</t>
  </si>
  <si>
    <t>H &lt; 800</t>
  </si>
  <si>
    <t>RCU</t>
  </si>
  <si>
    <t>&lt;= 4.82</t>
  </si>
  <si>
    <t>820 &lt;= H &lt;=4000</t>
  </si>
  <si>
    <t>≤ 7.08 – 0.002752H</t>
  </si>
  <si>
    <t>8.23-0.0032H</t>
  </si>
  <si>
    <t>310 &lt;= H &lt;820</t>
  </si>
  <si>
    <t>≤ 7.90 – 0.005409H</t>
  </si>
  <si>
    <t>9.19-0.00629H</t>
  </si>
  <si>
    <t>H &lt; 310</t>
  </si>
  <si>
    <t>IMH</t>
  </si>
  <si>
    <t>Energy Consumption of Air-Cooled Continuous-Type Ice Makers</t>
  </si>
  <si>
    <t>&lt;= 6.25</t>
  </si>
  <si>
    <t>200 &lt;= H &lt;=4000</t>
  </si>
  <si>
    <t>≤ 10.56 - 0.0215H</t>
  </si>
  <si>
    <t>12.42-0.02533H</t>
  </si>
  <si>
    <t>110 &lt;= H &lt;200</t>
  </si>
  <si>
    <t>≤ 12.57 - 0.0399H</t>
  </si>
  <si>
    <t>14.79-0.0469H</t>
  </si>
  <si>
    <t>H &lt; 110</t>
  </si>
  <si>
    <t>&lt;= 4.13</t>
  </si>
  <si>
    <t>988 &lt;= H &lt;=4000</t>
  </si>
  <si>
    <t>≤ 7.17 – 0.00308H</t>
  </si>
  <si>
    <t>7.97-0.00342H</t>
  </si>
  <si>
    <t>H &lt; 988</t>
  </si>
  <si>
    <t>&lt;= 4.24</t>
  </si>
  <si>
    <t>1500 &lt;= H &lt;=4000</t>
  </si>
  <si>
    <t>≤ 5.11 - 0.00058H</t>
  </si>
  <si>
    <t>5.55-0.00063H</t>
  </si>
  <si>
    <t>800 &lt;= H &lt;1500</t>
  </si>
  <si>
    <t>≤ 6.49 - 0.0023H</t>
  </si>
  <si>
    <t>7.05-0.0025H</t>
  </si>
  <si>
    <t>300 &lt;= H &lt; 800</t>
  </si>
  <si>
    <t>≤ 9.20 - 0.01134H</t>
  </si>
  <si>
    <t>10-0.01233H</t>
  </si>
  <si>
    <t>H &lt; 300</t>
  </si>
  <si>
    <t>kWhESTAR</t>
  </si>
  <si>
    <t>kWhbase</t>
  </si>
  <si>
    <t>Applicable Ice Harvest Rate Range</t>
  </si>
  <si>
    <t>Ice Maker Type</t>
  </si>
  <si>
    <t>Energy Consumption of Air-Cooled Batch-Type Ice Makers</t>
  </si>
  <si>
    <t>IL TRM V12 pg. 155-158</t>
  </si>
  <si>
    <t xml:space="preserve"> Harvest Rate (pounds of ice made per day)</t>
  </si>
  <si>
    <t>Duty Cycle of the ice machine</t>
  </si>
  <si>
    <t>DC</t>
  </si>
  <si>
    <t>Maximum kWh consumption per 100 pounds of ice for the efficient equipment</t>
  </si>
  <si>
    <t>kWhee</t>
  </si>
  <si>
    <t>Maximum kWh consumption per 100 pounds of ice for the baseline equipment</t>
  </si>
  <si>
    <t>ΔkWH = [(kWhbase – kWhee) / 100] * (DC * H) * 365.25</t>
  </si>
  <si>
    <t>ENERGY STAR ice machine</t>
  </si>
  <si>
    <t>Federal standard (manufactured on or after January 28, 2018) compliant commercial ice machine</t>
  </si>
  <si>
    <t>Commercial ice machines are used in restaurants, hospitals, hotels, schools, offices and grocery stores. ENERGY STAR rates air-cooled ice machines. ENERGY STAR ice machines are designed with higher efficiency compressors and use less water than standard ice machines.</t>
  </si>
  <si>
    <t>Ice Maker</t>
  </si>
  <si>
    <t>&lt;=0.232*V+2.36</t>
  </si>
  <si>
    <t>0.29*V+2.95</t>
  </si>
  <si>
    <t>V &gt;= 50</t>
  </si>
  <si>
    <t>Glass Door</t>
  </si>
  <si>
    <t>30 &lt;= V &lt; 50</t>
  </si>
  <si>
    <t>15 &lt;= V &lt; 30</t>
  </si>
  <si>
    <t>0 &lt; V &lt; 15</t>
  </si>
  <si>
    <t>&lt;=0.14*V+4</t>
  </si>
  <si>
    <t>0.22*V+1.38</t>
  </si>
  <si>
    <t>Solid Door</t>
  </si>
  <si>
    <t>&lt;=0.2578*V-1.8864</t>
  </si>
  <si>
    <t>&lt;=0.12*V+2.248</t>
  </si>
  <si>
    <t>&lt;=0.21*V+0.9</t>
  </si>
  <si>
    <t>&lt;=0.105*V-1.111</t>
  </si>
  <si>
    <t>0.1*V+0.86</t>
  </si>
  <si>
    <t>&lt;=0.076*V+0.34</t>
  </si>
  <si>
    <t>&lt;=0.05*V+1.12</t>
  </si>
  <si>
    <t>&lt;=0.095*V+0.445</t>
  </si>
  <si>
    <t>&lt;=0.025*V+1.6991</t>
  </si>
  <si>
    <t>0.05*V+1.36</t>
  </si>
  <si>
    <t>&lt;=0.05*V+0.45</t>
  </si>
  <si>
    <t>&lt;=0.0267*V+0.8</t>
  </si>
  <si>
    <t>Volume Bin</t>
  </si>
  <si>
    <t>Type</t>
  </si>
  <si>
    <t>System</t>
  </si>
  <si>
    <t>IL TRM V12 pg. 98-101</t>
  </si>
  <si>
    <t>The chilled or frozen compartment volume (ft3) (as defined in the Association of Home Appliance Manufacturers Standard HRF1–1979)</t>
  </si>
  <si>
    <t>ΔkWh = (kWhbase – kWhee) * 365.25</t>
  </si>
  <si>
    <t>3,9</t>
  </si>
  <si>
    <t>ENERGY STAR vertical closed and horizontal closed commercial refrigerators with transparent or solid doors and self-contained condensing units</t>
  </si>
  <si>
    <t>Federal standard efficiency vertical closed and horizontal closed commercial refrigerators with transparent or solid doors and self-contained condensing units</t>
  </si>
  <si>
    <t>This measure includes the replacement of failed refrigerators or freezers in commercial buildings, as well as installation of high efficiency refrigerators and freezers in new buildings. New units will include at least no-sweat door controls, evaporator fan motor controls, ECM motors, etc</t>
  </si>
  <si>
    <t>Commercial Solid and Glass Refrigerators and Freezers</t>
  </si>
  <si>
    <t>Beverage Vending Machines</t>
  </si>
  <si>
    <t>38-50-watt Q-Sync motor
(including replacement fan kit)</t>
  </si>
  <si>
    <t>Restaurants and Bars</t>
  </si>
  <si>
    <t>Other Retail Categories</t>
  </si>
  <si>
    <t>Other Food Retail Formats</t>
  </si>
  <si>
    <t>Supermarkets</t>
  </si>
  <si>
    <t>9-12-watt Q-Sync motor
(including replacement fan kit)</t>
  </si>
  <si>
    <t>Secm-low/Spsc-low</t>
  </si>
  <si>
    <t>Sspm-low</t>
  </si>
  <si>
    <t>Secm-med/Spsc-med</t>
  </si>
  <si>
    <t>Sspm-med</t>
  </si>
  <si>
    <t>Wlow-temp</t>
  </si>
  <si>
    <t>Wmed-temp</t>
  </si>
  <si>
    <t>WECM/WPSC</t>
  </si>
  <si>
    <t>WSPM</t>
  </si>
  <si>
    <t>Baseline 4</t>
  </si>
  <si>
    <t>PSC motor, low-temp</t>
  </si>
  <si>
    <t>PSC motor, med-temp</t>
  </si>
  <si>
    <t>shaded-pole motor, low-temp</t>
  </si>
  <si>
    <t>shaded-pole motor, med-temp</t>
  </si>
  <si>
    <t>EC motor, low-temp</t>
  </si>
  <si>
    <t>EC motor, med-temp</t>
  </si>
  <si>
    <t>Motor Type</t>
  </si>
  <si>
    <t>Baseline 1, 2, and 3</t>
  </si>
  <si>
    <t>IL TRM V12 pg. 826-832</t>
  </si>
  <si>
    <t>ΔkWh = [Wmed-temp (WSPM x SSPM-med + WECM x SECM-med) + Wlow-temp (WSPM x SSPM-low + WECM x SECM-low)] * Motors</t>
  </si>
  <si>
    <t>Baseline 1: existing shaded-pole motor(s) with no fan control operating 8760 hours continuously in a refrigerated reach-in display case, walk-in cooler, or walk-in freezer.
Baseline 2: EC motor with no fan control operating 8760 hours continuously in a refrigerated reach-in display case.
Baseline 3: existing PSC motor(s) with no fan control operating 8760 hours continuously in a walk-in cooler or freezer.
Baseline 4: blended baseline, consisting of a mix of shaded-pole motors and EC motors that are assumed to be present in retrofit project where accurate counts are unknown or difficult to determine. It is assumed that existing motors have no fan control and operate 8760 hours continuously in refrigerated reach-in display cases.</t>
  </si>
  <si>
    <t>High efficiency built-up refrigeration systems</t>
  </si>
  <si>
    <t>Standard efficiency built-up refrigeration systems</t>
  </si>
  <si>
    <t>High-efficiency built-up refrigeration systems for grocery and refrigerated warehouses. This potentially includes HE compressors, better design and controls, HE motors and VFDs.</t>
  </si>
  <si>
    <t>Q-Sync Motors for Walk-in and Reach-in Coolers/Freezers</t>
  </si>
  <si>
    <t>Walk-In Freezer</t>
  </si>
  <si>
    <t>Walk-In Cooler</t>
  </si>
  <si>
    <t>Annual Savings</t>
  </si>
  <si>
    <t>Deemed peak savings</t>
  </si>
  <si>
    <t>IL TRM V12 pg. 794-795</t>
  </si>
  <si>
    <t>Deemed energy savings</t>
  </si>
  <si>
    <t>Walk-in coolers and freezers with auto door closures</t>
  </si>
  <si>
    <t>No auto door closures</t>
  </si>
  <si>
    <t xml:space="preserve">Auto-closers on freezers and coolers can reduce the amount of time that doors are open, thereby reducing infiltration and refrigeration loads. </t>
  </si>
  <si>
    <t>Automatic Door Closer for Walk-In Coolers and Freezers</t>
  </si>
  <si>
    <t>No</t>
  </si>
  <si>
    <t>Refrigerated Warehouse</t>
  </si>
  <si>
    <t>Yes</t>
  </si>
  <si>
    <t>Restaurant - Freezer</t>
  </si>
  <si>
    <t>Restaurant - Cooler</t>
  </si>
  <si>
    <t>Convenience Store - Freezer</t>
  </si>
  <si>
    <t>Convenience Store - Cooler</t>
  </si>
  <si>
    <t>Supermarket - Freezer</t>
  </si>
  <si>
    <t>Supermarket - Cooler</t>
  </si>
  <si>
    <t>Doorway Area</t>
  </si>
  <si>
    <t>kWh</t>
  </si>
  <si>
    <t>Pre-Existing Curtains</t>
  </si>
  <si>
    <t>Doorway area in sqft.</t>
  </si>
  <si>
    <t>IL TRM V12 pg. 812-814</t>
  </si>
  <si>
    <t>Average annual kWh savings per square foot of infiltration barrier</t>
  </si>
  <si>
    <t>per sqft.</t>
  </si>
  <si>
    <t>ΔkWh = ∆kWh/sq ft * A</t>
  </si>
  <si>
    <t>Installed Strip Curtains</t>
  </si>
  <si>
    <t>No strip curtains</t>
  </si>
  <si>
    <t>Strip curtains  used to reduce the refrigeration load associated with the infiltration of non-refrigerated air into the refrigerated spaces of walk-in coolers or freezers</t>
  </si>
  <si>
    <t>Strip Curtains for Walk-In Coolers and Freezers</t>
  </si>
  <si>
    <t>Discus</t>
  </si>
  <si>
    <t>Without fan control</t>
  </si>
  <si>
    <t>Scroll</t>
  </si>
  <si>
    <t>Hemetic/Semi-Hermetic</t>
  </si>
  <si>
    <t>With fan control</t>
  </si>
  <si>
    <t>kWhCond</t>
  </si>
  <si>
    <t>Condensing unit type</t>
  </si>
  <si>
    <t>Fan control type</t>
  </si>
  <si>
    <t>Connected load kW of the economizer fan</t>
  </si>
  <si>
    <t>IL TRM V12 pg. 815-817</t>
  </si>
  <si>
    <t>kWEcon</t>
  </si>
  <si>
    <t>Bonus factor for reduced cooling load from reduction of waste heat generation as a
result of running the evaporator fan less</t>
  </si>
  <si>
    <t xml:space="preserve"> Duty cycle of the economizer fan on days that are cool enough for the economizer to
be working </t>
  </si>
  <si>
    <t>DCEcon</t>
  </si>
  <si>
    <t>Number of evaporator fans</t>
  </si>
  <si>
    <t>nFans</t>
  </si>
  <si>
    <t>Connected load kW of the circulating fan</t>
  </si>
  <si>
    <t>kWCirc</t>
  </si>
  <si>
    <t xml:space="preserve">Connected load kW of each evaporator fan </t>
  </si>
  <si>
    <t>kWEvap</t>
  </si>
  <si>
    <t xml:space="preserve">Duty cycle of the compressor </t>
  </si>
  <si>
    <t>DCComp</t>
  </si>
  <si>
    <t>Number of annual hours that economizer operates</t>
  </si>
  <si>
    <t>kWhcond</t>
  </si>
  <si>
    <t xml:space="preserve">ΔkWh = [HP * kWhCond] – [kWEcon * DCEcon * Hours] </t>
  </si>
  <si>
    <t>Without fan control installed</t>
  </si>
  <si>
    <t>ΔkWh = [HP * kWhCond] + [((kWEvap * nFans) – kWCirc) * Hours * DCComp * BF] – [kWEcon * DCEcon *
Hours]</t>
  </si>
  <si>
    <t>With fan control installed</t>
  </si>
  <si>
    <t>ECM compressor or condensing unit fan motors</t>
  </si>
  <si>
    <t>Existing shaded pole or PSC compressor or condensing unit fan motors</t>
  </si>
  <si>
    <t>PSC compressor or condensing unit fan motors</t>
  </si>
  <si>
    <t>Replacing an existing shaded pole and permanent split capacitor motors with higher efficiency electronically commutated motors (ECM) in a commercial refrigeration system compressor or condensing unit.</t>
  </si>
  <si>
    <t>ECM Compressor Condenser Fan Motors</t>
  </si>
  <si>
    <t>other</t>
  </si>
  <si>
    <t>Hotel</t>
  </si>
  <si>
    <t>Motel</t>
  </si>
  <si>
    <t>Health</t>
  </si>
  <si>
    <t>Jr High/High School</t>
  </si>
  <si>
    <t>Elementary School</t>
  </si>
  <si>
    <t>Grocery</t>
  </si>
  <si>
    <t>Sit-down rest</t>
  </si>
  <si>
    <t>Fast food rest</t>
  </si>
  <si>
    <t>LFRs</t>
  </si>
  <si>
    <t>Bath</t>
  </si>
  <si>
    <t>Usage end point</t>
  </si>
  <si>
    <t>Annual gallons per faucet</t>
  </si>
  <si>
    <t>Epgelec</t>
  </si>
  <si>
    <t>Energy per gallon of mixed water used by faucet (electric water heater)</t>
  </si>
  <si>
    <t>Estimated usage of mixed water (mixture of hot water from water heater line and cold water line) per faucet (gallons per year)</t>
  </si>
  <si>
    <t>Usage</t>
  </si>
  <si>
    <t>Gpmlow</t>
  </si>
  <si>
    <t>Average flow rate, in gallons per minute, of the baseline faucet “as-used”</t>
  </si>
  <si>
    <t>Gpmbase</t>
  </si>
  <si>
    <t>ΔkWh = ((GPM_base - GPM_low)/GPM_base) * Usage * EPG_electric * ISR</t>
  </si>
  <si>
    <t>3,11,8</t>
  </si>
  <si>
    <t>Low-flow faucet aerator</t>
  </si>
  <si>
    <t>Existing, inefficient faucet aerator</t>
  </si>
  <si>
    <t>Faucet Aerator</t>
  </si>
  <si>
    <t>Large institutional establishments with cafeteria</t>
  </si>
  <si>
    <t>DI</t>
  </si>
  <si>
    <t>Medium-sized casual dining restaurants</t>
  </si>
  <si>
    <t>Small, quick- service restaurants</t>
  </si>
  <si>
    <t>delkWhwater</t>
  </si>
  <si>
    <t>Flobase</t>
  </si>
  <si>
    <t>IL TRM V12 pg. 159-163</t>
  </si>
  <si>
    <t>Days per year pre-rinse spray valve is used at the site,</t>
  </si>
  <si>
    <t>Daysyear</t>
  </si>
  <si>
    <t>Hours per day that the pre-rinse spray valve is used at the site, custom, otherwise:</t>
  </si>
  <si>
    <t>Efficient case flow in gallons per minute or custom (Gal/min)</t>
  </si>
  <si>
    <t>Floeff</t>
  </si>
  <si>
    <t>Base case flow in gallons per minute, or custom (Gal/min)</t>
  </si>
  <si>
    <t>IL Total Water Energy Factor</t>
  </si>
  <si>
    <t>Ewater</t>
  </si>
  <si>
    <t>Efficiency of electric water heater supplying hot water to pre-rinse spray valve</t>
  </si>
  <si>
    <t>Effelec</t>
  </si>
  <si>
    <t>Inlet Water Temperature</t>
  </si>
  <si>
    <t>Water Heater Outlet Water Temperature</t>
  </si>
  <si>
    <t>Amount of water saved</t>
  </si>
  <si>
    <t>Calculated</t>
  </si>
  <si>
    <t>ΔWater (gallons) = (FLObase - FLOeff) * 60 * HOURSday * DAYSyear * ISR</t>
  </si>
  <si>
    <t>ΔkWhwater = ΔWater (gallons) / 1,000,000 * Ewater total</t>
  </si>
  <si>
    <t>ΔkWH = ΔWater (gallons) * 8.33 * 1 * (Tout - Tin) * (1/EFF_Elec) /3,412 * FLAG</t>
  </si>
  <si>
    <t>3,8,11</t>
  </si>
  <si>
    <t>Low-flow pre-rinse sprayer</t>
  </si>
  <si>
    <t>Existing, inefficient pre-rinse sprayer</t>
  </si>
  <si>
    <t>Retrofit of working standard pre-rinse sprayers with low-flow, pre-rinse sprayers in commercial kitchen applications.</t>
  </si>
  <si>
    <t>High Efficiency Pre-Rinse Spray Valve</t>
  </si>
  <si>
    <t>NSPD</t>
  </si>
  <si>
    <t>IL TRM V12 pg. 230-235</t>
  </si>
  <si>
    <t>EPG_elec</t>
  </si>
  <si>
    <t>%ElecDHW</t>
  </si>
  <si>
    <t>Hours = ((GPM_base * L_base) *NSPD * 365.25 ) * 0.608 / GPH</t>
  </si>
  <si>
    <t>ΔkWh = %ElectricDHW * ((GPM_base * L_base - GPM_low * L_low) * NSPD * 365.25) * EPG_electric * ISR</t>
  </si>
  <si>
    <t>Water Heater</t>
  </si>
  <si>
    <t>High-efficiency tankless gas water heater</t>
  </si>
  <si>
    <t>Existing, standard efficiency tankless gas water heater</t>
  </si>
  <si>
    <t>Standard efficiency tankless gas water heater</t>
  </si>
  <si>
    <t>Replacement of failed or working tankless-type (instantaneous) FF water heaters in commercial facilities with more efficient tankless water heaters.</t>
  </si>
  <si>
    <t>Low Flow Showerheads</t>
  </si>
  <si>
    <t>High Speed Clothes Washer</t>
  </si>
  <si>
    <t>Ncycles</t>
  </si>
  <si>
    <t>See table</t>
  </si>
  <si>
    <t>RMC</t>
  </si>
  <si>
    <t>nDryer</t>
  </si>
  <si>
    <t>DryerUse</t>
  </si>
  <si>
    <t>LF</t>
  </si>
  <si>
    <t>IL TRM V12 pg. 899-902</t>
  </si>
  <si>
    <t>lb/cycle</t>
  </si>
  <si>
    <t>https://www.laundrysolutionscompany.com/choosing-the-right-capacity-for-commercial-washers/#:~:text=A%20small%20commercial%20washing%20machine,like%20clothing%20and%20small%20linens.</t>
  </si>
  <si>
    <t>Coin-operated Laundromats</t>
  </si>
  <si>
    <t>Multi-family</t>
  </si>
  <si>
    <t>Hotel/Motel/Hospital</t>
  </si>
  <si>
    <t>Incremental Cost (TOS)</t>
  </si>
  <si>
    <t>Btu/lb converted kWh/lb</t>
  </si>
  <si>
    <t>Need non-IL TRM Measure</t>
  </si>
  <si>
    <t>Tair</t>
  </si>
  <si>
    <t>denWater</t>
  </si>
  <si>
    <t>IL TRM V12 pg. 208-221</t>
  </si>
  <si>
    <t>Random assumption based on guess for PR</t>
  </si>
  <si>
    <t>gal</t>
  </si>
  <si>
    <t>lb/gal</t>
  </si>
  <si>
    <t>HotWaterUseGal</t>
  </si>
  <si>
    <t>UEFeff</t>
  </si>
  <si>
    <t>Area of CI Building</t>
  </si>
  <si>
    <t>Convenience</t>
  </si>
  <si>
    <t>Other CI</t>
  </si>
  <si>
    <t>Nursing</t>
  </si>
  <si>
    <t>Typical Consumption/Cap</t>
  </si>
  <si>
    <t>Consumption/1000 sqft</t>
  </si>
  <si>
    <t>HotWaterUseGal 2</t>
  </si>
  <si>
    <t>HotWaterUseGal 1</t>
  </si>
  <si>
    <t>Cap</t>
  </si>
  <si>
    <t>Gal</t>
  </si>
  <si>
    <t>Random assumption</t>
  </si>
  <si>
    <t>UEFelecBase</t>
  </si>
  <si>
    <t>UEF</t>
  </si>
  <si>
    <t>See Table</t>
  </si>
  <si>
    <t>https://www.energystar.gov/products/ask-the-experts/what-uniform-energy-factor-and-why-does-it-matter#:~:text=On%20the%20other%20hand%2C%20ENERGY,astounding%20330%20to%20410%25%20efficiency.</t>
  </si>
  <si>
    <t>HPWHWasteHeatcool</t>
  </si>
  <si>
    <t>HPWHWasteHeatheat</t>
  </si>
  <si>
    <t>LM</t>
  </si>
  <si>
    <t>COPcool</t>
  </si>
  <si>
    <t>IL TRM V12 pg. 208-221; Assuming Mid Draw for 100 Gal</t>
  </si>
  <si>
    <t>IL TRM V12 pg. 208-221; Assuming no heated buildings</t>
  </si>
  <si>
    <t>IL TRM V12 pg. 208-221; Assuming HPWH in unknown space</t>
  </si>
  <si>
    <t>delKwh</t>
  </si>
  <si>
    <t>ENERGY STAR Clothes Dryer</t>
  </si>
  <si>
    <t>This measure includes replacement of failed or working clothes dryer in existing homes with ENERGY STAR clothes dryer, or installation of an ENERGY STAR clothes dryer in a new home. This measure applies to clothes dryer that use electric drying.</t>
  </si>
  <si>
    <t>Elec Dry, SF</t>
  </si>
  <si>
    <t>ES Clothes Dryer_Res, E - [Elec Dry, SF] (MD)</t>
  </si>
  <si>
    <t>Existing or new Non-ENERGY STAR Clothes Dryer with electric drying</t>
  </si>
  <si>
    <t>ENERGY STAR Clothes Dryer with electric drying</t>
  </si>
  <si>
    <t>Clothes Dryer Configuration</t>
  </si>
  <si>
    <t>%Savings</t>
  </si>
  <si>
    <t>CWdeltakWh</t>
  </si>
  <si>
    <t>DHWdeltakWh</t>
  </si>
  <si>
    <t>DryerdeltakWh</t>
  </si>
  <si>
    <t>Clothes Washer</t>
  </si>
  <si>
    <t>Domestic hot water</t>
  </si>
  <si>
    <t>Dryer</t>
  </si>
  <si>
    <t>Retrofit costs</t>
  </si>
  <si>
    <t>Submeasure aggregation electric</t>
  </si>
  <si>
    <t>Submeasure aggregation propane</t>
  </si>
  <si>
    <t>delMMBtu</t>
  </si>
  <si>
    <t>MMBTUbase</t>
  </si>
  <si>
    <t>MMBTUee</t>
  </si>
  <si>
    <t>Electric Water Heater</t>
  </si>
  <si>
    <t>Solar thermal DHW with Electric Water Heater</t>
  </si>
  <si>
    <t>Old electric tankless</t>
  </si>
  <si>
    <t>IdlebaseGas</t>
  </si>
  <si>
    <t>IdlebaseElec</t>
  </si>
  <si>
    <t>IdleESElec</t>
  </si>
  <si>
    <t>IdleESGas</t>
  </si>
  <si>
    <t>PcbaseGas</t>
  </si>
  <si>
    <t>PcbaseElec</t>
  </si>
  <si>
    <t>PcestarElec</t>
  </si>
  <si>
    <t>PcestarGas</t>
  </si>
  <si>
    <t>PrehheatnumberbaseElec</t>
  </si>
  <si>
    <t>PrehheatnumberbaseGas</t>
  </si>
  <si>
    <t>PreheatnumberESElec</t>
  </si>
  <si>
    <t>PreheatnumberESGas</t>
  </si>
  <si>
    <t>PreheatratebaseElec</t>
  </si>
  <si>
    <t>PreheatratebaseGas</t>
  </si>
  <si>
    <t>PrehearrateESElec</t>
  </si>
  <si>
    <t>PrehearrateESGas</t>
  </si>
  <si>
    <t>EffbaseElec</t>
  </si>
  <si>
    <t>EffbaseGas</t>
  </si>
  <si>
    <t>EffESElec</t>
  </si>
  <si>
    <t>EffESGas</t>
  </si>
  <si>
    <t>heElec</t>
  </si>
  <si>
    <t>heGas</t>
  </si>
  <si>
    <t>EUL</t>
  </si>
  <si>
    <t>RUL</t>
  </si>
  <si>
    <t>Incremental Cost/MMBtu</t>
  </si>
  <si>
    <t>Building w prop WH</t>
  </si>
  <si>
    <t>Incremental Cost Refrigerated</t>
  </si>
  <si>
    <t>Incremental Cost Non-Refrigerated</t>
  </si>
  <si>
    <t>Submeasure aggregation Refrigerated</t>
  </si>
  <si>
    <t>Submeasure aggregation Non-Refrigerated</t>
  </si>
  <si>
    <t>Smart Sockets</t>
  </si>
  <si>
    <t xml:space="preserve">Smart sockets achieve savings through the reduction of the standby load of the controlled appliance, as well as
eliminating the operation of an appliance during unoccupied hours. The standby power consumption of home
appliances can be significantly reduced. </t>
  </si>
  <si>
    <t>Window AC</t>
  </si>
  <si>
    <t>The high efficiency equipment is a new window AC unit without reverse cycle, with louvered sides, and a capacity range of less than 28,000 Btu/h that meets or exceeds the minimum requirements</t>
  </si>
  <si>
    <t xml:space="preserve">Baseline equipment is assumed to be a window AC unit without reverse cycle, with louvered sides, and a capacity range of less than 28,000 Btu/h. The efficiency corresponds to federal minimum requirements for units manufactured as of Jun. 1, 2014 </t>
  </si>
  <si>
    <t>Uncovered Pool</t>
  </si>
  <si>
    <t>ENERGY STAR Combination Ovens</t>
  </si>
  <si>
    <t>Ultra-Efficient LED Lighting</t>
  </si>
  <si>
    <t>Existing non-led lamp</t>
  </si>
  <si>
    <t>Ultra efficient LED Light</t>
  </si>
  <si>
    <t>Uncontrolled LED Light</t>
  </si>
  <si>
    <t>Controlled LED Light</t>
  </si>
  <si>
    <t>Desktop</t>
  </si>
  <si>
    <t>Laptop</t>
  </si>
  <si>
    <t>Years</t>
  </si>
  <si>
    <t>Total centalized system</t>
  </si>
  <si>
    <t>Costs/kWh</t>
  </si>
  <si>
    <t>Baseline/Application</t>
  </si>
  <si>
    <t>IL TRM V12 pg 222</t>
  </si>
  <si>
    <t>Reelec</t>
  </si>
  <si>
    <t>Reprop</t>
  </si>
  <si>
    <t>nDHWelec</t>
  </si>
  <si>
    <t>nDHWprop</t>
  </si>
  <si>
    <t>RE_Prop</t>
  </si>
  <si>
    <t>ΔkWh = (U * A * (Tpre – Tpost) * Hours * ISR) / (100,000 * RE_gas)</t>
  </si>
  <si>
    <t xml:space="preserve"> Recovery efficiency of propane hot water heater borrowed from Drinwater Heat Recovery, average of SF and MF</t>
  </si>
  <si>
    <t>ΔMMBtu = %FossilDHW * ((GPM_base * L_base - GPM_low * L_low) * Household * 365.25 *DF /
FPH) * EPG_gas * ISR</t>
  </si>
  <si>
    <t>%FossilDHW</t>
  </si>
  <si>
    <t>Percentage of DHW savings assumed to be gas</t>
  </si>
  <si>
    <t>EPG_gas</t>
  </si>
  <si>
    <t>Incremental Cost/delkWh</t>
  </si>
  <si>
    <t>EPG_propane</t>
  </si>
  <si>
    <t>SUBMEASURE AGGREGATION - (IMEF)</t>
  </si>
  <si>
    <t>SUBMEASURE AGGREGATION -  Electric</t>
  </si>
  <si>
    <t>SUBMEASURE AGGREGATION -  Propane</t>
  </si>
  <si>
    <t>DHWdeltaMMBtu</t>
  </si>
  <si>
    <t>%Gas Dryer</t>
  </si>
  <si>
    <t>%GasDHW</t>
  </si>
  <si>
    <t>R-eff</t>
  </si>
  <si>
    <t>Therm_convert</t>
  </si>
  <si>
    <t>Natural gas</t>
  </si>
  <si>
    <t>Natural Gas</t>
  </si>
  <si>
    <t>Gas Replaced</t>
  </si>
  <si>
    <t>Gas Added</t>
  </si>
  <si>
    <t>Electric Added in MMBtu</t>
  </si>
  <si>
    <t>Gas Standard</t>
  </si>
  <si>
    <t>Gas Large Vat</t>
  </si>
  <si>
    <t>PrehheatenergybaseElec</t>
  </si>
  <si>
    <t>PrehheatenergybaseGas</t>
  </si>
  <si>
    <t>PreheatenergyESelec</t>
  </si>
  <si>
    <t>PreheatenergyESgas</t>
  </si>
  <si>
    <t>CSMbaseline</t>
  </si>
  <si>
    <t>Measure life of ES Steamer</t>
  </si>
  <si>
    <t>Idle energy rate of baseline Steamer (lb/h)</t>
  </si>
  <si>
    <t>Idle energy rate of ENERGY STAR electric Steamer (lb/h)</t>
  </si>
  <si>
    <t>Time required to preheat the Steamer (mins/day)</t>
  </si>
  <si>
    <t>Production capacity of baseline Steamer (lb/h)</t>
  </si>
  <si>
    <t>Production capacity of ES Steamer (lb/h)</t>
  </si>
  <si>
    <t>Total energy used during preheat of baseline Steamer (kWh)</t>
  </si>
  <si>
    <t>Total energy used during preheat of ES Steamer (kWh)</t>
  </si>
  <si>
    <t>CSMenergystar</t>
  </si>
  <si>
    <t>PREtimebase</t>
  </si>
  <si>
    <t>Elec</t>
  </si>
  <si>
    <t>Preheatenergybase</t>
  </si>
  <si>
    <t>PREtimeES</t>
  </si>
  <si>
    <t>Electric No of Pans</t>
  </si>
  <si>
    <t>Gas No of Pans</t>
  </si>
  <si>
    <t>PREnumber</t>
  </si>
  <si>
    <t>Epggas</t>
  </si>
  <si>
    <t>Submeasure aggregation Electric</t>
  </si>
  <si>
    <t>Submeasure aggregation Gas</t>
  </si>
  <si>
    <t>Flagelec</t>
  </si>
  <si>
    <t>Effgas</t>
  </si>
  <si>
    <t>flaggas</t>
  </si>
  <si>
    <t>∆BuildingEnergy Base Gas</t>
  </si>
  <si>
    <t>EffheaterElec</t>
  </si>
  <si>
    <t>EffheaterGas</t>
  </si>
  <si>
    <t>∆BoosterEnergy Base Elec</t>
  </si>
  <si>
    <t>∆IdleEnergy Base Elec</t>
  </si>
  <si>
    <t>∆WaterEnergy Base Elec</t>
  </si>
  <si>
    <t>∆BoosterEnergy EE Elec</t>
  </si>
  <si>
    <t>∆IdleEnergy EE Elec</t>
  </si>
  <si>
    <t>∆WaterEnergy EE Elec</t>
  </si>
  <si>
    <t>Annul savings (Gal/sqft)</t>
  </si>
  <si>
    <t>TOTAL_BASE_MMBtu</t>
  </si>
  <si>
    <t>TOTAL_EFF_MMBtu</t>
  </si>
  <si>
    <t>TOTAL_SAVE_MMBtu</t>
  </si>
  <si>
    <t>TOTAL_IncrCost_$/MMBtu</t>
  </si>
  <si>
    <t>Submeasure aggregation Fuel switching</t>
  </si>
  <si>
    <t>GasConsumptionReplaced</t>
  </si>
  <si>
    <t>ElectricConsumptionAdded</t>
  </si>
  <si>
    <t>∆CookingEnergyConvGas Base</t>
  </si>
  <si>
    <t>∆CookingEnergySteamGas Base</t>
  </si>
  <si>
    <t>∆IdleEnergyConvGas Base</t>
  </si>
  <si>
    <t>∆IdleEnergySteamGas Base</t>
  </si>
  <si>
    <t>∆PreHeatBaseGas</t>
  </si>
  <si>
    <t>Lbgas</t>
  </si>
  <si>
    <t>EFOODconvGas</t>
  </si>
  <si>
    <t>eff</t>
  </si>
  <si>
    <t>EleceffEE</t>
  </si>
  <si>
    <t>EleceffBase</t>
  </si>
  <si>
    <t>GaseffBase</t>
  </si>
  <si>
    <t>GaseffEE</t>
  </si>
  <si>
    <t>GasidleconvBase</t>
  </si>
  <si>
    <t>GaspcconvBase</t>
  </si>
  <si>
    <t>GaspcsteamBase</t>
  </si>
  <si>
    <t>GasidlesteamEE</t>
  </si>
  <si>
    <t>GaspcconvEE</t>
  </si>
  <si>
    <t>GaspcsteamEE</t>
  </si>
  <si>
    <t>GasidleconvEE</t>
  </si>
  <si>
    <t>(140*P)+3800</t>
  </si>
  <si>
    <t>(200*P)+6511</t>
  </si>
  <si>
    <t>PreheatbaseGas</t>
  </si>
  <si>
    <t>PreheateeGas</t>
  </si>
  <si>
    <t>EFOODsteamGas</t>
  </si>
  <si>
    <t>GasidlesteamBase</t>
  </si>
  <si>
    <t>Elec Incremental Cost</t>
  </si>
  <si>
    <t>Gas Incremental Cost</t>
  </si>
  <si>
    <t>Wbaseline</t>
  </si>
  <si>
    <t>Wee</t>
  </si>
  <si>
    <t>NY TRM V11 pg. 245</t>
  </si>
  <si>
    <t>EC Circulator hhp</t>
  </si>
  <si>
    <t>Approx PSC</t>
  </si>
  <si>
    <t>1/40</t>
  </si>
  <si>
    <t>1/25</t>
  </si>
  <si>
    <t>1/12</t>
  </si>
  <si>
    <t>1/6</t>
  </si>
  <si>
    <t>1</t>
  </si>
  <si>
    <t>NY TRM V11 pg. 391</t>
  </si>
  <si>
    <t>GPMhs</t>
  </si>
  <si>
    <t>GPMls</t>
  </si>
  <si>
    <t>Efhs</t>
  </si>
  <si>
    <t>Efls</t>
  </si>
  <si>
    <t>Nameplate HP</t>
  </si>
  <si>
    <t>hrsbaseHS</t>
  </si>
  <si>
    <t>hrseeHS</t>
  </si>
  <si>
    <t>hrsbaseLS</t>
  </si>
  <si>
    <t>hrseeLS</t>
  </si>
  <si>
    <t>hrsCW</t>
  </si>
  <si>
    <t>hrsDHW</t>
  </si>
  <si>
    <t>BHP</t>
  </si>
  <si>
    <t>EFFi</t>
  </si>
  <si>
    <t>IL TRM V 12 pg. 396</t>
  </si>
  <si>
    <t xml:space="preserve">Hours to be adjusted for condenser </t>
  </si>
  <si>
    <t>IL TRM V12 pg. 60</t>
  </si>
  <si>
    <t>ΔkWh = (kWhbase – kWhee) * Days</t>
  </si>
  <si>
    <t>Hot and cold - storage</t>
  </si>
  <si>
    <t>Hot and cold - on demand</t>
  </si>
  <si>
    <t>Cold water</t>
  </si>
  <si>
    <t>∆𝑘𝑊ℎ = (𝑘𝑊𝐷𝐻 × ℎ𝑟𝑠𝑏𝑎𝑠𝑒𝑙𝑖𝑛𝑒) − (𝑘𝑊𝐷𝐻 × 𝐹𝑃𝐴 × ℎ𝑟𝑠𝑒𝑒)</t>
  </si>
  <si>
    <t>kWdh</t>
  </si>
  <si>
    <t>hrsbase</t>
  </si>
  <si>
    <t>fpa</t>
  </si>
  <si>
    <t>hrsee</t>
  </si>
  <si>
    <t>NY TRM pg 1068</t>
  </si>
  <si>
    <t>fhrs</t>
  </si>
  <si>
    <t xml:space="preserve">ΔkWhcooling = Qtbs * topen * CD / EER </t>
  </si>
  <si>
    <t>ΔkWhheating = Qbs * topen * HD * (100 kBtu/therm )/( HSPF * (3.412 kBtu/kWh) )</t>
  </si>
  <si>
    <t>Qtbs</t>
  </si>
  <si>
    <t>topen</t>
  </si>
  <si>
    <t>∆𝑘𝑊ℎ = 𝑢𝑛𝑖𝑡𝑠 × 𝑊𝑒𝑒 1,000 × ( 1 𝐸𝑓𝑓𝑏𝑎𝑠𝑒𝑙𝑖𝑛𝑒 − 1 𝐸𝑓𝑓𝑒𝑒 ) × (1 + 1 𝐶𝑂𝑃𝑟𝑒𝑓) × ℎ𝑟�</t>
  </si>
  <si>
    <t>Effee</t>
  </si>
  <si>
    <t>COPref</t>
  </si>
  <si>
    <t>hrs</t>
  </si>
  <si>
    <t>Base m</t>
  </si>
  <si>
    <t>Shade pole</t>
  </si>
  <si>
    <t>PSC</t>
  </si>
  <si>
    <t>EC</t>
  </si>
  <si>
    <t>Base Motor type</t>
  </si>
  <si>
    <t>Refrigeration type</t>
  </si>
  <si>
    <t>% savings</t>
  </si>
  <si>
    <t>Weight</t>
  </si>
  <si>
    <t>∆𝑘𝑊ℎ = 𝑓𝑡𝑑𝑜𝑜𝑟 × (∆𝑘𝑊ℎ⁄𝑓𝑡)</t>
  </si>
  <si>
    <t>ftdoor</t>
  </si>
  <si>
    <t>Cooler kWh/ft</t>
  </si>
  <si>
    <t>Freezer kWh/ft</t>
  </si>
  <si>
    <t>NY TRM V11 pg. 1040</t>
  </si>
  <si>
    <t>Random assumption for a 10x5 door</t>
  </si>
  <si>
    <t>Technology type</t>
  </si>
  <si>
    <t>ADM Associates, Inc., Commercial Facilities Contract Group 2006-2008 Direct Impact Evaluation, February 2010, Table 5-3, Assumes baseline gaskets are 50% effective</t>
  </si>
  <si>
    <t>ESFcooling</t>
  </si>
  <si>
    <t>hrscooling</t>
  </si>
  <si>
    <t>HVACc</t>
  </si>
  <si>
    <t>ESFheating</t>
  </si>
  <si>
    <t>hrsheating</t>
  </si>
  <si>
    <t>NY TRM pg 747</t>
  </si>
  <si>
    <t>Average from App D</t>
  </si>
  <si>
    <t>kWhcool</t>
  </si>
  <si>
    <t>kWhheat</t>
  </si>
  <si>
    <t>ECM Blower Motor</t>
  </si>
  <si>
    <t>∆𝑘𝑊ℎ = ∆𝑘𝑊ℎℎ𝑒𝑎𝑡𝑖𝑛𝑔 + ∆𝑘𝑊ℎ𝑐𝑜𝑜𝑙𝑖𝑛𝑔</t>
  </si>
  <si>
    <t xml:space="preserve"> ∆𝑘𝑊ℎ𝑐𝑜𝑜𝑙𝑖𝑛𝑔 = 𝑢𝑛𝑖𝑡𝑠 × (𝑊𝑏𝑎𝑠𝑒𝑙𝑖𝑛𝑒 × 𝐸𝑆𝐹𝑐𝑜𝑜𝑙𝑖𝑛𝑔) 1,000 × 𝐿𝐹 × ℎ𝑟𝑠𝑐𝑜𝑜𝑙𝑖𝑛𝑔 × (1 + 𝐻𝑉𝐴𝐶𝑐 )</t>
  </si>
  <si>
    <t xml:space="preserve"> ∆𝑘𝑊ℎℎ𝑒𝑎𝑡𝑖𝑛𝑔 = 𝑢𝑛𝑖𝑡𝑠 × (𝑊𝑏𝑎𝑠𝑒𝑙𝑖𝑛𝑒 × 𝐸𝑆𝐹ℎ𝑒𝑎𝑡𝑖𝑛𝑔) 1,000 × 𝐿𝐹 × ℎ𝑟𝑠ℎ𝑒𝑎𝑡𝑖𝑛𝑔 × (1 − 𝐻𝑉𝐴𝐶𝑐 )</t>
  </si>
  <si>
    <t>HVACd</t>
  </si>
  <si>
    <t>Incremental Cost RET</t>
  </si>
  <si>
    <t>Incremental Cost NC</t>
  </si>
  <si>
    <t>IL TRM V12 pg. 172</t>
  </si>
  <si>
    <t>kWh Deemed/HP</t>
  </si>
  <si>
    <t>kW Deemed/HP</t>
  </si>
  <si>
    <t>HP of fan</t>
  </si>
  <si>
    <t>Default</t>
  </si>
  <si>
    <t>NC</t>
  </si>
  <si>
    <t>∆𝑘𝑊ℎ = 𝑢𝑛𝑖𝑡𝑠 × 𝐺𝑃𝐷/𝑢𝑛𝑖𝑡 × 365 × 8.33 × ∆𝑇𝑚𝑎𝑖𝑛 3,412 × ( 𝐹𝑒𝐷𝐻𝑊 𝑈𝐸𝐹𝑏𝑎𝑠𝑒𝑙𝑖𝑛𝑒 − 1 𝑈𝐸𝐹𝑒𝑒 × 𝐹𝑑𝑒𝑟𝑎𝑡𝑒 ) + ∆𝑘𝑊ℎ𝑐𝑜𝑜𝑙𝑖𝑛𝑔</t>
  </si>
  <si>
    <t>∆𝑘𝑊ℎ𝑐𝑜𝑜𝑙𝑖𝑛𝑔 = 𝑢𝑛𝑖𝑡𝑠 × 𝐺𝑃𝐷/𝑢𝑛𝑖𝑡 × 365 × 8.33 × ∆𝑇𝑚𝑎𝑖𝑛 3,412 × 1 𝑈𝐸𝐹𝑒𝑒 × 𝐹𝐿𝑜𝑐 × 𝐹𝐶𝑜𝑜𝑙 𝑆𝐸𝐸𝑅⁄3.412</t>
  </si>
  <si>
    <t>NY TRM pg. 150</t>
  </si>
  <si>
    <t>GPD/unit</t>
  </si>
  <si>
    <t>delTmain</t>
  </si>
  <si>
    <t>FeDHW</t>
  </si>
  <si>
    <t>UEFbaseline</t>
  </si>
  <si>
    <t>UEFee</t>
  </si>
  <si>
    <t>Fderate</t>
  </si>
  <si>
    <t>Floc</t>
  </si>
  <si>
    <t>Fcool</t>
  </si>
  <si>
    <t>Assuming unconditioned space installation</t>
  </si>
  <si>
    <t>NY TRM Default</t>
  </si>
  <si>
    <t>∆kWhPUMP = HP * HPCONVERSION * Hours * %water_savings</t>
  </si>
  <si>
    <t>IL TRM pg. 241</t>
  </si>
  <si>
    <t>Laundromat</t>
  </si>
  <si>
    <t>Hotel/Motel</t>
  </si>
  <si>
    <t>Fitness and Recreation</t>
  </si>
  <si>
    <t>Assisted Living</t>
  </si>
  <si>
    <t>% water savings</t>
  </si>
  <si>
    <t>HP conversion</t>
  </si>
  <si>
    <t>Incremental Cost/lb</t>
  </si>
  <si>
    <t>Default sizes lbs</t>
  </si>
  <si>
    <t>Ozone Laundry</t>
  </si>
  <si>
    <t>IL TRM V12 pg. 803</t>
  </si>
  <si>
    <t>Measure cost</t>
  </si>
  <si>
    <t>Labor cost</t>
  </si>
  <si>
    <t>Motor HP</t>
  </si>
  <si>
    <t>1/15-1/20 HP</t>
  </si>
  <si>
    <t>hours</t>
  </si>
  <si>
    <t>∆kWh = Condition Space/1000 * SFcooling</t>
  </si>
  <si>
    <t>IL TRM V12 pg. 401</t>
  </si>
  <si>
    <t>Measure cost RET</t>
  </si>
  <si>
    <t>Garage size</t>
  </si>
  <si>
    <t>Sfcooling</t>
  </si>
  <si>
    <t>Unknown value and only cooling run hours</t>
  </si>
  <si>
    <t>DSF</t>
  </si>
  <si>
    <t>Cooling tower fan</t>
  </si>
  <si>
    <t>IL TRM V12 pg. 396</t>
  </si>
  <si>
    <t>ΔkWh = BHP /EFFi * Hours * ESF</t>
  </si>
  <si>
    <t>Load factor</t>
  </si>
  <si>
    <t>IL TRM pg. 10</t>
  </si>
  <si>
    <t>IL TRM V12</t>
  </si>
  <si>
    <t>This measure includes replacement of a failed Electric stove with an Induction Cooktop</t>
  </si>
  <si>
    <t>Electric resistance cooktop</t>
  </si>
  <si>
    <t>New Induction stove cooktop</t>
  </si>
  <si>
    <t>Electronically Commutated Motor Hydronic Circulator Pump</t>
  </si>
  <si>
    <t>This measure covers the retrofit of standard efficiency permanent split capacitor (PSC) motors with electronically commutated (EC) motors in hydronic distribution circulators in residential heating and cooling systems</t>
  </si>
  <si>
    <t>PSC Motor</t>
  </si>
  <si>
    <t>ECM Motor</t>
  </si>
  <si>
    <t>NY TRM V11</t>
  </si>
  <si>
    <t>Installation of ENERGY STAR certified Vehicle Charger</t>
  </si>
  <si>
    <t>ENERGY STAR Vehicle Charger</t>
  </si>
  <si>
    <t>Non ENERGY STAR Vehicle Charger</t>
  </si>
  <si>
    <t>This measure covers the installation of multi-speed timer control on pool water circulation pumps in residential inground swimming pools</t>
  </si>
  <si>
    <t>No existing Pool Pump Timer</t>
  </si>
  <si>
    <t>New CEE Tier 1 Pool Pump Timer</t>
  </si>
  <si>
    <t>RET Baseline Standard, Maximum kWh/yr</t>
  </si>
  <si>
    <t>same as federal standards, since current standards are from 2014. Applying 2/3'd rule on EUL for age of baseline and deriving a proxy standard</t>
  </si>
  <si>
    <t>HI TRM 2023</t>
  </si>
  <si>
    <t>Heat pump water heater</t>
  </si>
  <si>
    <t>This measure involves installing an ENERGY STAR Heat Pump Water Heater</t>
  </si>
  <si>
    <t>ENERGY STAR HPWH</t>
  </si>
  <si>
    <t>Federal Minimum Electric Water Heater</t>
  </si>
  <si>
    <t>Federal Minimum Gas Water Heater</t>
  </si>
  <si>
    <t>Gas Storage Water Heaters</t>
  </si>
  <si>
    <t>IL TRM V12 pg 249</t>
  </si>
  <si>
    <t>yWater</t>
  </si>
  <si>
    <t>https://www.energystar.gov/products/ask-the-experts/what-uniform-energy-factor-and-why-does-it-matter</t>
  </si>
  <si>
    <t>delkWh/delMMBtu</t>
  </si>
  <si>
    <t>Market Driven</t>
  </si>
  <si>
    <t>Existing Elec Water Heater Efficiency</t>
  </si>
  <si>
    <t>Installation of solar thermal domestic hot water system</t>
  </si>
  <si>
    <t>Tankless Electric Water Heater</t>
  </si>
  <si>
    <t>IL TRM V12 pg. 897</t>
  </si>
  <si>
    <t>∆𝑘𝑊ℎ = 𝑢𝑛𝑖𝑡𝑠 × 𝐶𝑦𝑐𝑙𝑒𝑠𝑎𝑛𝑛𝑢𝑎𝑙 × 𝐿𝑜𝑎𝑑 × ( 𝐹𝑒𝑙𝑒𝑐,𝑏𝑎𝑠𝑒𝑙𝑖𝑛𝑒 𝐶𝐸𝐹𝑏𝑎𝑠𝑒𝑙𝑖𝑛𝑒 − 𝐹𝑒𝑙𝑒𝑐,𝑒𝑒 𝐶𝐸𝐹𝑒𝑒 )</t>
  </si>
  <si>
    <t>Cyclesannual</t>
  </si>
  <si>
    <t>Felecbaseline</t>
  </si>
  <si>
    <t>Felecee</t>
  </si>
  <si>
    <t>CEFbaseline</t>
  </si>
  <si>
    <t>Dryer type</t>
  </si>
  <si>
    <t>Ventless or Vented Electric Standard &gt;=4.4</t>
  </si>
  <si>
    <t>Ventless or Vented Electric Compact &lt;4.4</t>
  </si>
  <si>
    <t>Vented Electric Compact &lt;4.4</t>
  </si>
  <si>
    <t>Ventless Electric Compact &lt;4.4</t>
  </si>
  <si>
    <t>Market driven</t>
  </si>
  <si>
    <t>Clothes Dryer</t>
  </si>
  <si>
    <t>Standard efficiency commercial dryer</t>
  </si>
  <si>
    <t>ENERGY STAR commercial dryer</t>
  </si>
  <si>
    <t>Current retired equipment efficiency clothes dryer</t>
  </si>
  <si>
    <t>Baseline code minimum Oven</t>
  </si>
  <si>
    <t>ENERGY STAR Convection Ovens</t>
  </si>
  <si>
    <t>Fuel switching</t>
  </si>
  <si>
    <t>Gas replaced</t>
  </si>
  <si>
    <t>Electric added</t>
  </si>
  <si>
    <t>ECM Circulators, CW</t>
  </si>
  <si>
    <t>New ECM Motor</t>
  </si>
  <si>
    <t>ECM Circulators, DHW</t>
  </si>
  <si>
    <t>NY TRM V11 pg. 753</t>
  </si>
  <si>
    <t>This measure covers the replacement of standard efficiency permanent split capacitor (PSC) motor circulator pumps with electronically commutated (EC) motor circulator pumps in HVAC hydronic and DHW systems</t>
  </si>
  <si>
    <t>ENERGY STAR Pool Pump</t>
  </si>
  <si>
    <t>This measure covers the installation of ENERGY STAR® qualified multi-speed and variable frequency drive (VFD) commercial inground pool pumps</t>
  </si>
  <si>
    <t>NY TRM V11 pg. 965</t>
  </si>
  <si>
    <t>days</t>
  </si>
  <si>
    <t>Vpool</t>
  </si>
  <si>
    <t>Nturnover</t>
  </si>
  <si>
    <t>Base Pump Sub type</t>
  </si>
  <si>
    <t>Self-Priming</t>
  </si>
  <si>
    <t>Non self priming</t>
  </si>
  <si>
    <t>Eff Nameplate HP</t>
  </si>
  <si>
    <t>1-1.4</t>
  </si>
  <si>
    <t>Existing non ES Pool Pump</t>
  </si>
  <si>
    <t>This measure is applicable to electric heat pump pool heaters in commercial and multifamily community pool applications. Heat pumps capture heat and move it from one place to another</t>
  </si>
  <si>
    <t>Existing non HP Pool Heater</t>
  </si>
  <si>
    <t>Heat Pump Pool Heater</t>
  </si>
  <si>
    <t>This measure refers to the installation of covers on commercial use pools that are heated with gas-fired equipment located either indoors or outdoors</t>
  </si>
  <si>
    <t>This measure is applied to variable speed drives (VSD) which are installed on the following HVAC system applications: chilled water pump, hot water pumps and cooling tower fans</t>
  </si>
  <si>
    <t>Variable Speed Drive Chilled Water Pump</t>
  </si>
  <si>
    <t>Variable Speed Drive Condenser Water Pump</t>
  </si>
  <si>
    <t>No existing VSD</t>
  </si>
  <si>
    <t>New VSD</t>
  </si>
  <si>
    <t>This measure relates to the installation of new controls on refrigerated beverage vending machines, non-refrigerated snack vending machines, and glass front refrigerated coolers. Controls can significantly reduce the energy consumption of vending machine and refrigeration systems</t>
  </si>
  <si>
    <t>Controls installed</t>
  </si>
  <si>
    <t>ENERGY STAR Water Cooler</t>
  </si>
  <si>
    <t>IL TRMV12</t>
  </si>
  <si>
    <t>Water coolers are a home appliance that offer consumers the ability to enjoy hot and/or cold water on demand. This measure is the characterization of the purchasing and use of an ENERGY STAR certified water cooler in place of a conventional water cooler</t>
  </si>
  <si>
    <t>Standard cooler non ENERGY STAR</t>
  </si>
  <si>
    <t>ENRGY STAR Water Cooler</t>
  </si>
  <si>
    <t>Adding vertical open display cases with new closed display cases with zero energy doors</t>
  </si>
  <si>
    <t>This measure covers the installation of anti-condensation heater controls on glass door reach-in refrigerated cases.</t>
  </si>
  <si>
    <t>Anti-Sweat Heater Controls</t>
  </si>
  <si>
    <t>The baseline condition is a glass door reach-in refrigerated case anti-condensation heaters without temperature/humidity sensing controls</t>
  </si>
  <si>
    <t>The compliance case is a glass door reach-in refrigerated case with on/off or pulse modulating anti-condensation heater controls installed.</t>
  </si>
  <si>
    <t>ECM Evaporator Fan Retrofit</t>
  </si>
  <si>
    <t>This measure is applicable to the replacement of an existing, uncontrolled, and continuously operating standardefficiency shaded-pole evaporator fan motor in refrigerated display cases or fan coil in walk-ins.</t>
  </si>
  <si>
    <t>This measure applies to the replacement of an existing standard-efficiency shaded-pole evaporator fan motor in refrigerated display cases or fan coil in walk-ins</t>
  </si>
  <si>
    <t>The baseline is the existing shaded-pole motor(s) with no fan control operating 8760 hours continuously in a refrigerated display case or fan coil unit of a walk-in cooling unit.</t>
  </si>
  <si>
    <t>This measure is for the installation of controls for Electronically Commutated Motors in existing medium temperature walk-in coolers. The controller reduces airflow of the evaporator fans when there is no refrigerant flow.</t>
  </si>
  <si>
    <t>In order for this characterization to apply, the existing condition must be a reach-in or walk-in freezer or cooler with continuously running evaporator fans driven by Electrically Commutated Motors</t>
  </si>
  <si>
    <t>High efficiency is a refrigeration system with floating head pressure control.</t>
  </si>
  <si>
    <t>The baseline is a refrigeration system without floating head pressure control.</t>
  </si>
  <si>
    <t>Permanent Magnet Synchronous Fan Motor Evaporator Fan Motor Retrofit</t>
  </si>
  <si>
    <t>Replace Cooler and Freezer Door Gaskets</t>
  </si>
  <si>
    <t>This measure covers the replacement of reach-in and walk-in refrigerated display case door gaskets that have become damaged due to normal use and/or the failure of anti-condensate heater elements.</t>
  </si>
  <si>
    <t>The baseline condition is premised on a door with damaged and/or missing gaskets, assumed to be 50% effective.</t>
  </si>
  <si>
    <t>The compliance condition is the installation of intact door gaskets so as to achieve a minimum 1.5% infiltration rate or lower.</t>
  </si>
  <si>
    <t>This measure covers the replacement of a HVAC circulation (blower) fan motor with an electronically commutated motor (EC motor) in a commercial building.</t>
  </si>
  <si>
    <t>The baseline condition is a standard efficiency, single-speed PSC motor in a direct-drive HVAC circulation (blower) fan application.</t>
  </si>
  <si>
    <t>The compliance condition is an EC motor as described in the Measure Description section above in a direct-drive HVAC circulation (blower) fan application.</t>
  </si>
  <si>
    <t>Garage Exhaust Control</t>
  </si>
  <si>
    <t>The efficient equipment condition is defined by new CO2 sensors installed on return air systems where no other sensors were previously installed.</t>
  </si>
  <si>
    <t>The base case for this measure is a space with no demand control capability. The current code minimum for outside air (OA) is 5 CFM per occupant (ASHRAE 62.1 - 2016) which is the value for office space assumed in this measure</t>
  </si>
  <si>
    <t>Kitchen Demand Control Ventilation</t>
  </si>
  <si>
    <t>The baseline equipment is kitchen ventilation that has constant speed ventilation moto</t>
  </si>
  <si>
    <t>To qualify for this measure the installed equipment must be a control system that varies the exhaust rate of kitchen ventilation (exhaust and/or makeup air fans) based on the energy and effluent output from the cooking appliances (i.e., the more heat and smoke/vapors generated, the more ventilation needed).</t>
  </si>
  <si>
    <t>NY TRM Pg. 1054</t>
  </si>
  <si>
    <t>This measure covers the replacement of shaded pole (SP), permanent split capacitor (PSC), or electrically commutated (EC) evaporator fan motors with permanent magnet synchronous motors (PMSM) in commercial refrigeration equipment.</t>
  </si>
  <si>
    <t>The baseline condition for walk-in coolers or freezers manufactured on or after January 1, 2009 is an EC motor1577 with full load efficiency as prescribed by federal energy conservation standards for electric motors in 10 CFR 431.446 and 10 CFR 431.25</t>
  </si>
  <si>
    <t>The compliance condition is a PMSM installed in a commercial refrigerated reach-in display case or walk-in cooler/freezer with full-load efficiency exceeding that prescribed by federal energy conservation standards for electric motors in 10 CFR 431.446 or 10 CFR 431.25,</t>
  </si>
  <si>
    <t>Variable Speed Drive, Cooling Tower Fan</t>
  </si>
  <si>
    <t>The VSD is applied to a motor which does not have a VSD</t>
  </si>
  <si>
    <t>The time of sale baseline is a new motor installed without a VSD or other methods of control. Retrofit baseline is an existing motor operating as is.</t>
  </si>
  <si>
    <t>Heat Pump Water Heater</t>
  </si>
  <si>
    <t>The baseline for a non-fuel switching normal replacement at end of the appliance effective useful life (EUL), in new construction, or substantial renovation scenarios is the minimally-compliant state or municipal energy code or federal standard, that is applicable to the measure or system being installed.</t>
  </si>
  <si>
    <t>The compliance condition is a heat pump water heater meeting minimum performance requirements specified in ENERGY STAR® Program Requirements Product Specification for Residential Water Heaters</t>
  </si>
  <si>
    <t>A new ozone laundry system(s) is added-on to new or existing commercial washing machine(s) using hot water heated with natural gas</t>
  </si>
  <si>
    <t>The base case equipment is a conventional washing machine system with no ozone generator installed. The washing machines are provided hot water from a gas-fired boiler</t>
  </si>
  <si>
    <t>The measure equipment effective useful life (EUL) is estimated at 10 years based on typical lifetime of the ozone generator’s corona discharge unit</t>
  </si>
  <si>
    <t>Electric Stove Coil Upgrade</t>
  </si>
  <si>
    <t>Multifamily Common Area Clothes Washer</t>
  </si>
  <si>
    <t>ENERGY STAR Two-speed Pool Pump</t>
  </si>
  <si>
    <t>Variable Speed Pool Pump</t>
  </si>
  <si>
    <t>Variable Speed Drive Custom, Other</t>
  </si>
  <si>
    <t>ECM Fan Motor</t>
  </si>
  <si>
    <t>Solar Water Heater Tune Up</t>
  </si>
  <si>
    <t>CI Electric Oven and Range</t>
  </si>
  <si>
    <t>Commercial Compressed Air Improvements</t>
  </si>
  <si>
    <t>Imprvoed Vertical Lift Efficiency</t>
  </si>
  <si>
    <t>ECM Compressor/Condenser Fan Motors</t>
  </si>
  <si>
    <t>Efficient Refrigeratio Compressor</t>
  </si>
  <si>
    <t>High Efficiency Built-up Refrigeration</t>
  </si>
  <si>
    <t>High Efficiency Small Walk-in</t>
  </si>
  <si>
    <t>Low Heat or No Heat Doors</t>
  </si>
  <si>
    <t>Refrigeration Tune Up</t>
  </si>
  <si>
    <t>Walk-in Cooler Retrofit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</si>
</sst>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00"/>
    <numFmt numFmtId="167" formatCode="0.0%"/>
    <numFmt numFmtId="168" formatCode="0.0"/>
    <numFmt numFmtId="169" formatCode="_(* #,##0.0_);_(* \(#,##0.0\);_(* &quot;-&quot;??_);_(@_)"/>
    <numFmt numFmtId="170" formatCode="_(* #,##0_);_(* \(#,##0\);_(* &quot;-&quot;??_);_(@_)"/>
    <numFmt numFmtId="171" formatCode="_(* #,##0.0000_);_(* \(#,##0.0000\);_(* &quot;-&quot;??_);_(@_)"/>
    <numFmt numFmtId="172" formatCode="_(&quot;$&quot;* #,##0_);_(&quot;$&quot;* \(#,##0\);_(&quot;$&quot;* &quot;-&quot;??_);_(@_)"/>
    <numFmt numFmtId="173" formatCode="0.0000"/>
    <numFmt numFmtId="174" formatCode="_(* #,##0.000_);_(* \(#,##0.000\);_(* &quot;-&quot;??_);_(@_)"/>
    <numFmt numFmtId="175" formatCode="_(* #,##0_);_(* \(#,##0\);_(* &quot;-&quot;???_);_(@_)"/>
    <numFmt numFmtId="176" formatCode="###0.00;###0.00"/>
    <numFmt numFmtId="177" formatCode="###0.00000;###0.00000"/>
    <numFmt numFmtId="178" formatCode="###0;###0"/>
    <numFmt numFmtId="179" formatCode="###0.0;###0.0"/>
    <numFmt numFmtId="180" formatCode="_(&quot;$&quot;* #,##0.000_);_(&quot;$&quot;* \(#,##0.000\);_(&quot;$&quot;* &quot;-&quot;??_);_(@_)"/>
    <numFmt numFmtId="181" formatCode="###0.000;###0.000"/>
    <numFmt numFmtId="182" formatCode="###0.0000;###0.0000"/>
    <numFmt numFmtId="183" formatCode="0.00000000"/>
  </numFmts>
  <fonts count="39">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sz val="11"/>
      <color theme="0" tint="-0.34998626667073579"/>
      <name val="Calibri"/>
      <family val="2"/>
      <scheme val="minor"/>
    </font>
    <font>
      <sz val="11"/>
      <name val="Calibri"/>
      <family val="2"/>
      <scheme val="minor"/>
    </font>
    <font>
      <sz val="11"/>
      <color rgb="FF000000"/>
      <name val="Calibri"/>
      <family val="2"/>
    </font>
    <font>
      <i/>
      <sz val="11"/>
      <color theme="1"/>
      <name val="Calibri"/>
      <family val="2"/>
      <scheme val="minor"/>
    </font>
    <font>
      <sz val="11"/>
      <color rgb="FF000000"/>
      <name val="Calibri"/>
      <family val="2"/>
      <scheme val="minor"/>
    </font>
    <font>
      <u/>
      <sz val="11"/>
      <color theme="10"/>
      <name val="Calibri"/>
      <family val="2"/>
      <scheme val="minor"/>
    </font>
    <font>
      <b/>
      <u/>
      <sz val="10"/>
      <name val="Calibri"/>
      <family val="2"/>
      <scheme val="minor"/>
    </font>
    <font>
      <b/>
      <sz val="12"/>
      <color rgb="FF000000"/>
      <name val="Avenir Next LT Pro"/>
      <family val="2"/>
    </font>
    <font>
      <b/>
      <sz val="11"/>
      <name val="Calibri"/>
      <family val="2"/>
      <scheme val="minor"/>
    </font>
    <font>
      <sz val="9"/>
      <color theme="1"/>
      <name val="Arial"/>
      <family val="2"/>
    </font>
    <font>
      <b/>
      <sz val="9"/>
      <color rgb="FF000000"/>
      <name val="Arial"/>
      <family val="2"/>
    </font>
    <font>
      <b/>
      <sz val="9"/>
      <color theme="1"/>
      <name val="Arial"/>
      <family val="2"/>
    </font>
    <font>
      <b/>
      <sz val="11"/>
      <color rgb="FF000000"/>
      <name val="Calibri"/>
      <family val="2"/>
      <scheme val="minor"/>
    </font>
    <font>
      <sz val="11"/>
      <color indexed="8"/>
      <name val="Calibri"/>
      <family val="2"/>
      <scheme val="minor"/>
    </font>
    <font>
      <b/>
      <sz val="11"/>
      <color indexed="8"/>
      <name val="Calibri"/>
      <family val="2"/>
      <scheme val="minor"/>
    </font>
    <font>
      <sz val="10"/>
      <color indexed="8"/>
      <name val="Calibri"/>
      <family val="2"/>
      <scheme val="minor"/>
    </font>
    <font>
      <b/>
      <sz val="10"/>
      <color indexed="8"/>
      <name val="Calibri"/>
      <family val="2"/>
      <scheme val="minor"/>
    </font>
    <font>
      <b/>
      <sz val="9"/>
      <color rgb="FF000000"/>
      <name val="Tahoma"/>
      <family val="2"/>
    </font>
    <font>
      <sz val="9"/>
      <color rgb="FF000000"/>
      <name val="Tahoma"/>
      <family val="2"/>
    </font>
    <font>
      <b/>
      <sz val="10"/>
      <color theme="1"/>
      <name val="Arial"/>
      <family val="2"/>
    </font>
    <font>
      <b/>
      <sz val="10"/>
      <name val="Arial"/>
      <family val="2"/>
    </font>
    <font>
      <b/>
      <sz val="11"/>
      <color rgb="FFFF0000"/>
      <name val="Calibri"/>
      <family val="2"/>
      <scheme val="minor"/>
    </font>
    <font>
      <sz val="11"/>
      <name val="Franklin Gothic Book"/>
      <family val="2"/>
    </font>
    <font>
      <sz val="11"/>
      <color theme="0"/>
      <name val="Franklin Gothic Book"/>
      <family val="2"/>
    </font>
    <font>
      <sz val="8"/>
      <name val="Calibri"/>
      <family val="2"/>
      <scheme val="minor"/>
    </font>
    <font>
      <b/>
      <sz val="16"/>
      <name val="Calibri"/>
      <family val="2"/>
      <scheme val="minor"/>
    </font>
    <font>
      <sz val="10"/>
      <name val="Helvetica-Narrow"/>
      <family val="2"/>
    </font>
    <font>
      <u/>
      <sz val="10"/>
      <color indexed="12"/>
      <name val="Arial"/>
      <family val="2"/>
    </font>
  </fonts>
  <fills count="20">
    <fill>
      <patternFill patternType="none"/>
    </fill>
    <fill>
      <patternFill patternType="gray125"/>
    </fill>
    <fill>
      <patternFill patternType="solid">
        <fgColor rgb="FFCCFFCC"/>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C1C1C1"/>
        <bgColor indexed="64"/>
      </patternFill>
    </fill>
    <fill>
      <patternFill patternType="solid">
        <fgColor rgb="FFC0C0C0"/>
        <bgColor indexed="64"/>
      </patternFill>
    </fill>
    <fill>
      <patternFill patternType="solid">
        <fgColor theme="9"/>
        <bgColor indexed="64"/>
      </patternFill>
    </fill>
    <fill>
      <patternFill patternType="solid">
        <fgColor rgb="FFFF0000"/>
        <bgColor indexed="64"/>
      </patternFill>
    </fill>
  </fills>
  <borders count="29">
    <border>
      <left/>
      <right/>
      <top/>
      <bottom/>
      <diagonal/>
    </border>
    <border>
      <left/>
      <right/>
      <top/>
      <bottom style="medium">
        <color indexed="64"/>
      </bottom>
      <diagonal/>
    </border>
    <border>
      <left/>
      <right/>
      <top style="medium">
        <color indexed="64"/>
      </top>
      <bottom/>
      <diagonal/>
    </border>
    <border>
      <left style="medium">
        <color rgb="FFCCCCCC"/>
      </left>
      <right style="medium">
        <color rgb="FFCCCCCC"/>
      </right>
      <top style="medium">
        <color rgb="FFCCCCCC"/>
      </top>
      <bottom style="medium">
        <color rgb="FFCCCCCC"/>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3">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0" fontId="16"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5" fillId="0" borderId="0" applyFont="0" applyFill="0" applyBorder="0" applyAlignment="0" applyProtection="0"/>
    <xf numFmtId="0" fontId="1"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38" fillId="0" borderId="0" applyNumberFormat="0" applyFill="0" applyBorder="0" applyAlignment="0" applyProtection="0">
      <alignment vertical="top"/>
      <protection locked="0"/>
    </xf>
    <xf numFmtId="43" fontId="1" fillId="0" borderId="0" applyFont="0" applyFill="0" applyBorder="0" applyAlignment="0" applyProtection="0"/>
  </cellStyleXfs>
  <cellXfs count="734">
    <xf numFmtId="0" fontId="0" fillId="0" borderId="0" xfId="0"/>
    <xf numFmtId="0" fontId="1" fillId="0" borderId="0" xfId="4"/>
    <xf numFmtId="0" fontId="6" fillId="0" borderId="0" xfId="5" applyFont="1"/>
    <xf numFmtId="164" fontId="6" fillId="2" borderId="0" xfId="5" applyNumberFormat="1" applyFont="1" applyFill="1" applyAlignment="1">
      <alignment horizontal="center"/>
    </xf>
    <xf numFmtId="165" fontId="6" fillId="2" borderId="0" xfId="5" applyNumberFormat="1" applyFont="1" applyFill="1" applyAlignment="1">
      <alignment horizontal="center"/>
    </xf>
    <xf numFmtId="166" fontId="6" fillId="2" borderId="0" xfId="5" applyNumberFormat="1" applyFont="1" applyFill="1" applyAlignment="1">
      <alignment horizontal="center"/>
    </xf>
    <xf numFmtId="1" fontId="6" fillId="2" borderId="0" xfId="5" applyNumberFormat="1" applyFont="1" applyFill="1" applyAlignment="1">
      <alignment horizontal="center"/>
    </xf>
    <xf numFmtId="0" fontId="6" fillId="2" borderId="0" xfId="5" applyFont="1" applyFill="1"/>
    <xf numFmtId="9" fontId="7" fillId="3" borderId="0" xfId="3" applyFont="1" applyFill="1" applyAlignment="1"/>
    <xf numFmtId="164" fontId="7" fillId="3" borderId="0" xfId="5" applyNumberFormat="1" applyFont="1" applyFill="1" applyAlignment="1">
      <alignment horizontal="center"/>
    </xf>
    <xf numFmtId="44" fontId="6" fillId="3" borderId="0" xfId="5" applyNumberFormat="1" applyFont="1" applyFill="1" applyAlignment="1">
      <alignment horizontal="center"/>
    </xf>
    <xf numFmtId="43" fontId="6" fillId="3" borderId="0" xfId="5" applyNumberFormat="1" applyFont="1" applyFill="1" applyAlignment="1">
      <alignment horizontal="center"/>
    </xf>
    <xf numFmtId="0" fontId="7" fillId="3" borderId="0" xfId="5" applyFont="1" applyFill="1" applyAlignment="1">
      <alignment horizontal="right"/>
    </xf>
    <xf numFmtId="43" fontId="7" fillId="3" borderId="0" xfId="5" applyNumberFormat="1" applyFont="1" applyFill="1" applyAlignment="1">
      <alignment horizontal="center"/>
    </xf>
    <xf numFmtId="2" fontId="7" fillId="3" borderId="0" xfId="5" applyNumberFormat="1" applyFont="1" applyFill="1" applyAlignment="1">
      <alignment horizontal="right"/>
    </xf>
    <xf numFmtId="2" fontId="7" fillId="3" borderId="0" xfId="5" applyNumberFormat="1" applyFont="1" applyFill="1" applyAlignment="1">
      <alignment vertical="center"/>
    </xf>
    <xf numFmtId="0" fontId="7" fillId="3" borderId="0" xfId="5" applyFont="1" applyFill="1" applyAlignment="1">
      <alignment vertical="top"/>
    </xf>
    <xf numFmtId="0" fontId="7" fillId="3" borderId="0" xfId="5" applyFont="1" applyFill="1" applyAlignment="1">
      <alignment vertical="top" wrapText="1"/>
    </xf>
    <xf numFmtId="0" fontId="7" fillId="3" borderId="0" xfId="5" applyFont="1" applyFill="1" applyAlignment="1">
      <alignment vertical="center"/>
    </xf>
    <xf numFmtId="0" fontId="7" fillId="3" borderId="0" xfId="5" applyFont="1" applyFill="1"/>
    <xf numFmtId="0" fontId="6" fillId="3" borderId="0" xfId="5" applyFont="1" applyFill="1" applyAlignment="1">
      <alignment horizontal="center" wrapText="1"/>
    </xf>
    <xf numFmtId="0" fontId="6" fillId="3" borderId="0" xfId="5" applyFont="1" applyFill="1"/>
    <xf numFmtId="0" fontId="1" fillId="3" borderId="0" xfId="4" applyFill="1"/>
    <xf numFmtId="1" fontId="6" fillId="0" borderId="0" xfId="5" applyNumberFormat="1" applyFont="1" applyAlignment="1">
      <alignment horizontal="center"/>
    </xf>
    <xf numFmtId="10" fontId="7" fillId="0" borderId="0" xfId="3" applyNumberFormat="1" applyFont="1" applyFill="1"/>
    <xf numFmtId="0" fontId="6" fillId="0" borderId="0" xfId="5" applyFont="1" applyAlignment="1">
      <alignment horizontal="center" wrapText="1"/>
    </xf>
    <xf numFmtId="0" fontId="7" fillId="0" borderId="0" xfId="5" applyFont="1"/>
    <xf numFmtId="0" fontId="7" fillId="0" borderId="0" xfId="5" applyFont="1" applyAlignment="1">
      <alignment wrapText="1"/>
    </xf>
    <xf numFmtId="0" fontId="8" fillId="0" borderId="0" xfId="4" applyFont="1"/>
    <xf numFmtId="44" fontId="9" fillId="0" borderId="0" xfId="2" applyFont="1" applyAlignment="1">
      <alignment horizontal="center"/>
    </xf>
    <xf numFmtId="44" fontId="6" fillId="0" borderId="0" xfId="2" applyFont="1" applyAlignment="1">
      <alignment horizontal="center"/>
    </xf>
    <xf numFmtId="9" fontId="8" fillId="3" borderId="0" xfId="3" applyFont="1" applyFill="1" applyBorder="1" applyAlignment="1">
      <alignment horizontal="center"/>
    </xf>
    <xf numFmtId="1" fontId="8" fillId="3" borderId="0" xfId="0" applyNumberFormat="1" applyFont="1" applyFill="1" applyAlignment="1">
      <alignment horizontal="center"/>
    </xf>
    <xf numFmtId="43" fontId="8" fillId="3" borderId="0" xfId="1" applyFont="1" applyFill="1" applyBorder="1" applyAlignment="1">
      <alignment horizontal="center"/>
    </xf>
    <xf numFmtId="0" fontId="9" fillId="3" borderId="0" xfId="0" applyFont="1" applyFill="1"/>
    <xf numFmtId="0" fontId="9" fillId="3" borderId="0" xfId="0" applyFont="1" applyFill="1" applyAlignment="1">
      <alignment horizontal="right"/>
    </xf>
    <xf numFmtId="0" fontId="9" fillId="3" borderId="0" xfId="0" applyFont="1" applyFill="1" applyAlignment="1">
      <alignment horizontal="center"/>
    </xf>
    <xf numFmtId="0" fontId="8" fillId="3" borderId="0" xfId="0" applyFont="1" applyFill="1" applyAlignment="1">
      <alignment horizontal="right"/>
    </xf>
    <xf numFmtId="167" fontId="8" fillId="3" borderId="0" xfId="3" applyNumberFormat="1" applyFont="1" applyFill="1" applyBorder="1" applyAlignment="1">
      <alignment horizontal="center"/>
    </xf>
    <xf numFmtId="167" fontId="1" fillId="3" borderId="0" xfId="3" applyNumberFormat="1" applyFont="1" applyFill="1" applyBorder="1" applyAlignment="1">
      <alignment horizontal="center"/>
    </xf>
    <xf numFmtId="43" fontId="7" fillId="3" borderId="0" xfId="1" applyFont="1" applyFill="1" applyBorder="1" applyAlignment="1">
      <alignment horizontal="center"/>
    </xf>
    <xf numFmtId="167" fontId="7" fillId="3" borderId="0" xfId="3" applyNumberFormat="1" applyFont="1" applyFill="1" applyBorder="1" applyAlignment="1">
      <alignment horizontal="center" vertical="top" wrapText="1"/>
    </xf>
    <xf numFmtId="43" fontId="7" fillId="3" borderId="0" xfId="1" applyFont="1" applyFill="1" applyBorder="1" applyAlignment="1">
      <alignment horizontal="center" vertical="top"/>
    </xf>
    <xf numFmtId="0" fontId="6" fillId="3" borderId="0" xfId="5" applyFont="1" applyFill="1" applyAlignment="1">
      <alignment horizontal="center" vertical="top"/>
    </xf>
    <xf numFmtId="0" fontId="6" fillId="3" borderId="0" xfId="5" applyFont="1" applyFill="1" applyAlignment="1">
      <alignment horizontal="center" vertical="top" wrapText="1"/>
    </xf>
    <xf numFmtId="0" fontId="6" fillId="3" borderId="0" xfId="5" applyFont="1" applyFill="1" applyAlignment="1">
      <alignment vertical="top"/>
    </xf>
    <xf numFmtId="2" fontId="6" fillId="3" borderId="0" xfId="5" applyNumberFormat="1" applyFont="1" applyFill="1" applyAlignment="1">
      <alignment horizontal="left"/>
    </xf>
    <xf numFmtId="44" fontId="7" fillId="3" borderId="0" xfId="2" applyFont="1" applyFill="1" applyBorder="1" applyAlignment="1">
      <alignment horizontal="center"/>
    </xf>
    <xf numFmtId="2" fontId="7" fillId="3" borderId="0" xfId="5" applyNumberFormat="1" applyFont="1" applyFill="1" applyAlignment="1">
      <alignment horizontal="center"/>
    </xf>
    <xf numFmtId="44" fontId="1" fillId="3" borderId="0" xfId="2" applyFont="1" applyFill="1" applyBorder="1" applyAlignment="1">
      <alignment horizontal="center"/>
    </xf>
    <xf numFmtId="0" fontId="7" fillId="3" borderId="0" xfId="5" applyFont="1" applyFill="1" applyAlignment="1">
      <alignment horizontal="center"/>
    </xf>
    <xf numFmtId="0" fontId="3" fillId="3" borderId="0" xfId="4" applyFont="1" applyFill="1"/>
    <xf numFmtId="0" fontId="6" fillId="3" borderId="0" xfId="5" applyFont="1" applyFill="1" applyAlignment="1">
      <alignment horizontal="center"/>
    </xf>
    <xf numFmtId="0" fontId="8" fillId="0" borderId="0" xfId="0" applyFont="1"/>
    <xf numFmtId="0" fontId="8" fillId="4" borderId="0" xfId="0" applyFont="1" applyFill="1"/>
    <xf numFmtId="164" fontId="8" fillId="0" borderId="0" xfId="4" applyNumberFormat="1" applyFont="1"/>
    <xf numFmtId="9" fontId="8" fillId="0" borderId="0" xfId="3" applyFont="1"/>
    <xf numFmtId="0" fontId="7" fillId="0" borderId="0" xfId="0" applyFont="1"/>
    <xf numFmtId="0" fontId="6" fillId="0" borderId="0" xfId="0" applyFont="1"/>
    <xf numFmtId="0" fontId="0" fillId="5" borderId="0" xfId="0" applyFill="1"/>
    <xf numFmtId="0" fontId="10" fillId="5" borderId="0" xfId="4" applyFont="1" applyFill="1"/>
    <xf numFmtId="1" fontId="7" fillId="0" borderId="0" xfId="5" applyNumberFormat="1" applyFont="1" applyAlignment="1">
      <alignment horizontal="left"/>
    </xf>
    <xf numFmtId="0" fontId="0" fillId="0" borderId="0" xfId="4" applyFont="1"/>
    <xf numFmtId="0" fontId="1" fillId="0" borderId="1" xfId="4" applyBorder="1"/>
    <xf numFmtId="0" fontId="1" fillId="0" borderId="0" xfId="4" quotePrefix="1" applyAlignment="1">
      <alignment horizontal="center" vertical="center"/>
    </xf>
    <xf numFmtId="0" fontId="1" fillId="6" borderId="0" xfId="4" applyFill="1"/>
    <xf numFmtId="0" fontId="11" fillId="0" borderId="0" xfId="4" applyFont="1"/>
    <xf numFmtId="2" fontId="1" fillId="6" borderId="0" xfId="4" applyNumberFormat="1" applyFill="1"/>
    <xf numFmtId="166" fontId="1" fillId="6" borderId="0" xfId="4" applyNumberFormat="1" applyFill="1"/>
    <xf numFmtId="0" fontId="1" fillId="4" borderId="0" xfId="4" quotePrefix="1" applyFill="1" applyAlignment="1">
      <alignment horizontal="center" vertical="center"/>
    </xf>
    <xf numFmtId="164" fontId="1" fillId="6" borderId="0" xfId="4" applyNumberFormat="1" applyFill="1"/>
    <xf numFmtId="165" fontId="1" fillId="6" borderId="0" xfId="4" applyNumberFormat="1" applyFill="1"/>
    <xf numFmtId="0" fontId="12" fillId="6" borderId="0" xfId="4" applyFont="1" applyFill="1"/>
    <xf numFmtId="9" fontId="1" fillId="6" borderId="0" xfId="4" applyNumberFormat="1" applyFill="1"/>
    <xf numFmtId="9" fontId="1" fillId="6" borderId="0" xfId="3" applyFill="1"/>
    <xf numFmtId="9" fontId="12" fillId="6" borderId="0" xfId="4" applyNumberFormat="1" applyFont="1" applyFill="1"/>
    <xf numFmtId="168" fontId="1" fillId="6" borderId="0" xfId="4" applyNumberFormat="1" applyFill="1"/>
    <xf numFmtId="169" fontId="1" fillId="6" borderId="0" xfId="4" applyNumberFormat="1" applyFill="1"/>
    <xf numFmtId="169" fontId="12" fillId="6" borderId="0" xfId="4" applyNumberFormat="1" applyFont="1" applyFill="1"/>
    <xf numFmtId="170" fontId="1" fillId="6" borderId="0" xfId="4" applyNumberFormat="1" applyFill="1"/>
    <xf numFmtId="170" fontId="12" fillId="6" borderId="0" xfId="4" applyNumberFormat="1" applyFont="1" applyFill="1"/>
    <xf numFmtId="0" fontId="2" fillId="6" borderId="0" xfId="4" applyFont="1" applyFill="1"/>
    <xf numFmtId="0" fontId="0" fillId="6" borderId="0" xfId="4" applyFont="1" applyFill="1"/>
    <xf numFmtId="0" fontId="1" fillId="7" borderId="0" xfId="4" applyFill="1"/>
    <xf numFmtId="0" fontId="1" fillId="0" borderId="0" xfId="4" applyAlignment="1">
      <alignment vertical="center"/>
    </xf>
    <xf numFmtId="0" fontId="7" fillId="0" borderId="2" xfId="5" applyFont="1" applyBorder="1"/>
    <xf numFmtId="0" fontId="1" fillId="8" borderId="0" xfId="4" applyFill="1"/>
    <xf numFmtId="0" fontId="7" fillId="8" borderId="0" xfId="5" applyFont="1" applyFill="1"/>
    <xf numFmtId="0" fontId="1" fillId="8" borderId="0" xfId="4" applyFill="1" applyAlignment="1">
      <alignment vertical="center"/>
    </xf>
    <xf numFmtId="0" fontId="7" fillId="8" borderId="0" xfId="5" applyFont="1" applyFill="1" applyAlignment="1">
      <alignment horizontal="center"/>
    </xf>
    <xf numFmtId="0" fontId="13" fillId="0" borderId="0" xfId="4" applyFont="1" applyAlignment="1">
      <alignment vertical="center"/>
    </xf>
    <xf numFmtId="0" fontId="0" fillId="7" borderId="0" xfId="4" applyFont="1" applyFill="1"/>
    <xf numFmtId="0" fontId="1" fillId="9" borderId="0" xfId="4" applyFill="1"/>
    <xf numFmtId="0" fontId="1" fillId="10" borderId="0" xfId="4" applyFill="1"/>
    <xf numFmtId="0" fontId="3" fillId="10" borderId="0" xfId="4" applyFont="1" applyFill="1"/>
    <xf numFmtId="0" fontId="3" fillId="0" borderId="0" xfId="4" applyFont="1"/>
    <xf numFmtId="0" fontId="2" fillId="4" borderId="0" xfId="4" applyFont="1" applyFill="1"/>
    <xf numFmtId="0" fontId="1" fillId="4" borderId="0" xfId="4" applyFill="1"/>
    <xf numFmtId="0" fontId="0" fillId="4" borderId="0" xfId="4" applyFont="1" applyFill="1"/>
    <xf numFmtId="0" fontId="12" fillId="4" borderId="0" xfId="4" applyFont="1" applyFill="1"/>
    <xf numFmtId="0" fontId="14" fillId="0" borderId="1" xfId="4" applyFont="1" applyBorder="1"/>
    <xf numFmtId="0" fontId="15" fillId="7" borderId="3" xfId="4" applyFont="1" applyFill="1" applyBorder="1" applyAlignment="1">
      <alignment vertical="center"/>
    </xf>
    <xf numFmtId="0" fontId="0" fillId="0" borderId="1" xfId="4" applyFont="1" applyBorder="1"/>
    <xf numFmtId="1" fontId="6" fillId="2" borderId="0" xfId="5" applyNumberFormat="1" applyFont="1" applyFill="1"/>
    <xf numFmtId="164" fontId="6" fillId="2" borderId="0" xfId="5" applyNumberFormat="1" applyFont="1" applyFill="1"/>
    <xf numFmtId="170" fontId="6" fillId="2" borderId="0" xfId="5" applyNumberFormat="1" applyFont="1" applyFill="1"/>
    <xf numFmtId="9" fontId="6" fillId="2" borderId="0" xfId="3" applyFont="1" applyFill="1"/>
    <xf numFmtId="2" fontId="6" fillId="2" borderId="0" xfId="5" applyNumberFormat="1" applyFont="1" applyFill="1"/>
    <xf numFmtId="9" fontId="7" fillId="3" borderId="0" xfId="3" applyFont="1" applyFill="1" applyAlignment="1">
      <alignment wrapText="1"/>
    </xf>
    <xf numFmtId="164" fontId="7" fillId="3" borderId="0" xfId="5" applyNumberFormat="1" applyFont="1" applyFill="1" applyAlignment="1">
      <alignment wrapText="1"/>
    </xf>
    <xf numFmtId="10" fontId="7" fillId="3" borderId="0" xfId="6" applyNumberFormat="1" applyFont="1" applyFill="1"/>
    <xf numFmtId="171" fontId="7" fillId="3" borderId="0" xfId="5" applyNumberFormat="1" applyFont="1" applyFill="1"/>
    <xf numFmtId="170" fontId="7" fillId="3" borderId="0" xfId="7" applyNumberFormat="1" applyFont="1" applyFill="1"/>
    <xf numFmtId="1" fontId="7" fillId="3" borderId="0" xfId="5" applyNumberFormat="1" applyFont="1" applyFill="1" applyAlignment="1">
      <alignment horizontal="left"/>
    </xf>
    <xf numFmtId="0" fontId="6" fillId="3" borderId="0" xfId="5" applyFont="1" applyFill="1" applyAlignment="1">
      <alignment wrapText="1"/>
    </xf>
    <xf numFmtId="165" fontId="7" fillId="3" borderId="0" xfId="5" applyNumberFormat="1" applyFont="1" applyFill="1" applyAlignment="1">
      <alignment horizontal="center"/>
    </xf>
    <xf numFmtId="166" fontId="7" fillId="3" borderId="0" xfId="5" applyNumberFormat="1" applyFont="1" applyFill="1" applyAlignment="1">
      <alignment horizontal="center"/>
    </xf>
    <xf numFmtId="1" fontId="7" fillId="3" borderId="0" xfId="5" applyNumberFormat="1" applyFont="1" applyFill="1" applyAlignment="1">
      <alignment horizontal="center"/>
    </xf>
    <xf numFmtId="10" fontId="7" fillId="3" borderId="0" xfId="3" applyNumberFormat="1" applyFont="1" applyFill="1"/>
    <xf numFmtId="9" fontId="7" fillId="3" borderId="0" xfId="3" applyFont="1" applyFill="1" applyAlignment="1">
      <alignment horizontal="center"/>
    </xf>
    <xf numFmtId="10" fontId="7" fillId="3" borderId="0" xfId="3" applyNumberFormat="1" applyFont="1" applyFill="1" applyAlignment="1">
      <alignment horizontal="center"/>
    </xf>
    <xf numFmtId="167" fontId="7" fillId="3" borderId="0" xfId="3" applyNumberFormat="1" applyFont="1" applyFill="1" applyAlignment="1">
      <alignment horizontal="center"/>
    </xf>
    <xf numFmtId="167" fontId="7" fillId="3" borderId="0" xfId="1" applyNumberFormat="1" applyFont="1" applyFill="1" applyAlignment="1">
      <alignment horizontal="center"/>
    </xf>
    <xf numFmtId="9" fontId="6" fillId="2" borderId="0" xfId="3" applyFont="1" applyFill="1" applyAlignment="1">
      <alignment horizontal="center"/>
    </xf>
    <xf numFmtId="2" fontId="6" fillId="2" borderId="0" xfId="5" applyNumberFormat="1" applyFont="1" applyFill="1" applyAlignment="1">
      <alignment horizontal="center"/>
    </xf>
    <xf numFmtId="43" fontId="7" fillId="3" borderId="0" xfId="1" applyFont="1" applyFill="1" applyAlignment="1">
      <alignment horizontal="center"/>
    </xf>
    <xf numFmtId="0" fontId="8" fillId="0" borderId="0" xfId="4" applyFont="1" applyAlignment="1">
      <alignment horizontal="center"/>
    </xf>
    <xf numFmtId="168" fontId="7" fillId="0" borderId="0" xfId="5" applyNumberFormat="1" applyFont="1" applyAlignment="1">
      <alignment horizontal="center"/>
    </xf>
    <xf numFmtId="0" fontId="8" fillId="3" borderId="0" xfId="0" applyFont="1" applyFill="1"/>
    <xf numFmtId="0" fontId="8" fillId="3" borderId="4" xfId="0" applyFont="1" applyFill="1" applyBorder="1" applyAlignment="1">
      <alignment horizontal="right"/>
    </xf>
    <xf numFmtId="167" fontId="8" fillId="3" borderId="5" xfId="3" applyNumberFormat="1" applyFont="1" applyFill="1" applyBorder="1" applyAlignment="1">
      <alignment horizontal="center"/>
    </xf>
    <xf numFmtId="0" fontId="8" fillId="3" borderId="6" xfId="0" applyFont="1" applyFill="1" applyBorder="1" applyAlignment="1">
      <alignment horizontal="left"/>
    </xf>
    <xf numFmtId="0" fontId="8" fillId="3" borderId="7" xfId="0" applyFont="1" applyFill="1" applyBorder="1" applyAlignment="1">
      <alignment horizontal="right"/>
    </xf>
    <xf numFmtId="0" fontId="8" fillId="3" borderId="8" xfId="0" applyFont="1" applyFill="1" applyBorder="1"/>
    <xf numFmtId="0" fontId="7" fillId="3" borderId="7" xfId="5" applyFont="1" applyFill="1" applyBorder="1" applyAlignment="1">
      <alignment horizontal="right"/>
    </xf>
    <xf numFmtId="167" fontId="7" fillId="3" borderId="0" xfId="3" applyNumberFormat="1" applyFont="1" applyFill="1" applyBorder="1" applyAlignment="1">
      <alignment horizontal="center"/>
    </xf>
    <xf numFmtId="0" fontId="7" fillId="3" borderId="8" xfId="5" applyFont="1" applyFill="1" applyBorder="1"/>
    <xf numFmtId="0" fontId="7" fillId="3" borderId="7" xfId="5" applyFont="1" applyFill="1" applyBorder="1"/>
    <xf numFmtId="0" fontId="7" fillId="3" borderId="8" xfId="5" applyFont="1" applyFill="1" applyBorder="1" applyAlignment="1">
      <alignment vertical="top" wrapText="1"/>
    </xf>
    <xf numFmtId="0" fontId="6" fillId="3" borderId="9" xfId="5" applyFont="1" applyFill="1" applyBorder="1" applyAlignment="1">
      <alignment horizontal="center" vertical="top"/>
    </xf>
    <xf numFmtId="0" fontId="6" fillId="3" borderId="10" xfId="5" applyFont="1" applyFill="1" applyBorder="1" applyAlignment="1">
      <alignment horizontal="center" vertical="top" wrapText="1"/>
    </xf>
    <xf numFmtId="0" fontId="6" fillId="3" borderId="11" xfId="5" applyFont="1" applyFill="1" applyBorder="1" applyAlignment="1">
      <alignment horizontal="left" vertical="top" wrapText="1"/>
    </xf>
    <xf numFmtId="0" fontId="7" fillId="3" borderId="10" xfId="5" applyFont="1" applyFill="1" applyBorder="1" applyAlignment="1">
      <alignment vertical="top" wrapText="1"/>
    </xf>
    <xf numFmtId="44" fontId="7" fillId="3" borderId="4" xfId="2" applyFont="1" applyFill="1" applyBorder="1" applyAlignment="1">
      <alignment horizontal="center"/>
    </xf>
    <xf numFmtId="2" fontId="7" fillId="3" borderId="5" xfId="5" applyNumberFormat="1" applyFont="1" applyFill="1" applyBorder="1" applyAlignment="1">
      <alignment horizontal="center"/>
    </xf>
    <xf numFmtId="0" fontId="7" fillId="3" borderId="6" xfId="5" applyFont="1" applyFill="1" applyBorder="1"/>
    <xf numFmtId="44" fontId="7" fillId="3" borderId="7" xfId="2" applyFont="1" applyFill="1" applyBorder="1" applyAlignment="1">
      <alignment horizontal="center"/>
    </xf>
    <xf numFmtId="44" fontId="1" fillId="3" borderId="7" xfId="2" applyFont="1" applyFill="1" applyBorder="1" applyAlignment="1">
      <alignment horizontal="center"/>
    </xf>
    <xf numFmtId="0" fontId="3" fillId="3" borderId="7" xfId="4" applyFont="1" applyFill="1" applyBorder="1"/>
    <xf numFmtId="0" fontId="3" fillId="3" borderId="9" xfId="4" applyFont="1" applyFill="1" applyBorder="1"/>
    <xf numFmtId="0" fontId="6" fillId="3" borderId="10" xfId="5" applyFont="1" applyFill="1" applyBorder="1" applyAlignment="1">
      <alignment horizontal="center"/>
    </xf>
    <xf numFmtId="0" fontId="6" fillId="3" borderId="11" xfId="5" applyFont="1" applyFill="1" applyBorder="1"/>
    <xf numFmtId="0" fontId="8" fillId="4" borderId="0" xfId="4" applyFont="1" applyFill="1"/>
    <xf numFmtId="43" fontId="6" fillId="2" borderId="0" xfId="5" applyNumberFormat="1" applyFont="1" applyFill="1"/>
    <xf numFmtId="164" fontId="7" fillId="3" borderId="0" xfId="5" applyNumberFormat="1" applyFont="1" applyFill="1"/>
    <xf numFmtId="9" fontId="7" fillId="3" borderId="0" xfId="6" applyFont="1" applyFill="1"/>
    <xf numFmtId="1" fontId="7" fillId="3" borderId="0" xfId="5" applyNumberFormat="1" applyFont="1" applyFill="1"/>
    <xf numFmtId="43" fontId="7" fillId="3" borderId="0" xfId="5" applyNumberFormat="1" applyFont="1" applyFill="1"/>
    <xf numFmtId="2" fontId="7" fillId="3" borderId="0" xfId="5" applyNumberFormat="1" applyFont="1" applyFill="1"/>
    <xf numFmtId="172" fontId="8" fillId="10" borderId="4" xfId="8" applyNumberFormat="1" applyFont="1" applyFill="1" applyBorder="1" applyAlignment="1">
      <alignment horizontal="center"/>
    </xf>
    <xf numFmtId="0" fontId="8" fillId="10" borderId="5" xfId="9" applyFont="1" applyFill="1" applyBorder="1" applyAlignment="1">
      <alignment horizontal="center"/>
    </xf>
    <xf numFmtId="0" fontId="1" fillId="10" borderId="5" xfId="9" applyFill="1" applyBorder="1"/>
    <xf numFmtId="0" fontId="1" fillId="10" borderId="6" xfId="9" applyFill="1" applyBorder="1"/>
    <xf numFmtId="164" fontId="7" fillId="0" borderId="0" xfId="6" applyNumberFormat="1" applyFont="1" applyBorder="1" applyAlignment="1">
      <alignment horizontal="center"/>
    </xf>
    <xf numFmtId="44" fontId="7" fillId="10" borderId="7" xfId="2" applyFont="1" applyFill="1" applyBorder="1"/>
    <xf numFmtId="44" fontId="8" fillId="10" borderId="0" xfId="2" applyFont="1" applyFill="1" applyAlignment="1">
      <alignment horizontal="center"/>
    </xf>
    <xf numFmtId="0" fontId="8" fillId="10" borderId="0" xfId="9" applyFont="1" applyFill="1" applyAlignment="1">
      <alignment horizontal="center"/>
    </xf>
    <xf numFmtId="0" fontId="9" fillId="10" borderId="8" xfId="9" applyFont="1" applyFill="1" applyBorder="1" applyAlignment="1">
      <alignment horizontal="center"/>
    </xf>
    <xf numFmtId="2" fontId="7" fillId="10" borderId="7" xfId="8" applyNumberFormat="1" applyFont="1" applyFill="1" applyBorder="1" applyAlignment="1">
      <alignment horizontal="center"/>
    </xf>
    <xf numFmtId="0" fontId="8" fillId="10" borderId="8" xfId="9" applyFont="1" applyFill="1" applyBorder="1" applyAlignment="1">
      <alignment horizontal="center"/>
    </xf>
    <xf numFmtId="0" fontId="6" fillId="0" borderId="0" xfId="5" applyFont="1" applyAlignment="1">
      <alignment horizontal="center"/>
    </xf>
    <xf numFmtId="0" fontId="9" fillId="10" borderId="7" xfId="9" applyFont="1" applyFill="1" applyBorder="1" applyAlignment="1">
      <alignment horizontal="center"/>
    </xf>
    <xf numFmtId="0" fontId="9" fillId="10" borderId="0" xfId="9" applyFont="1" applyFill="1" applyAlignment="1">
      <alignment horizontal="center"/>
    </xf>
    <xf numFmtId="0" fontId="9" fillId="10" borderId="9" xfId="9" applyFont="1" applyFill="1" applyBorder="1" applyAlignment="1">
      <alignment horizontal="center"/>
    </xf>
    <xf numFmtId="0" fontId="9" fillId="10" borderId="10" xfId="9" applyFont="1" applyFill="1" applyBorder="1" applyAlignment="1">
      <alignment horizontal="center"/>
    </xf>
    <xf numFmtId="0" fontId="9" fillId="10" borderId="10" xfId="9" applyFont="1" applyFill="1" applyBorder="1"/>
    <xf numFmtId="0" fontId="9" fillId="10" borderId="11" xfId="9" applyFont="1" applyFill="1" applyBorder="1" applyAlignment="1">
      <alignment vertical="center"/>
    </xf>
    <xf numFmtId="0" fontId="7" fillId="10" borderId="0" xfId="5" applyFont="1" applyFill="1"/>
    <xf numFmtId="0" fontId="1" fillId="10" borderId="0" xfId="9" applyFill="1"/>
    <xf numFmtId="0" fontId="6" fillId="10" borderId="0" xfId="5" applyFont="1" applyFill="1"/>
    <xf numFmtId="164" fontId="7" fillId="0" borderId="0" xfId="0" applyNumberFormat="1" applyFont="1"/>
    <xf numFmtId="0" fontId="7" fillId="4" borderId="0" xfId="0" applyFont="1" applyFill="1"/>
    <xf numFmtId="173" fontId="1" fillId="6" borderId="0" xfId="4" applyNumberFormat="1" applyFill="1"/>
    <xf numFmtId="1" fontId="1" fillId="6" borderId="0" xfId="4" applyNumberFormat="1" applyFill="1"/>
    <xf numFmtId="0" fontId="7" fillId="0" borderId="0" xfId="5" applyFont="1" applyAlignment="1">
      <alignment horizontal="center"/>
    </xf>
    <xf numFmtId="170" fontId="7" fillId="0" borderId="0" xfId="7" applyNumberFormat="1" applyFont="1"/>
    <xf numFmtId="170" fontId="7" fillId="3" borderId="0" xfId="5" applyNumberFormat="1" applyFont="1" applyFill="1" applyAlignment="1">
      <alignment wrapText="1"/>
    </xf>
    <xf numFmtId="0" fontId="7" fillId="3" borderId="0" xfId="6" applyNumberFormat="1" applyFont="1" applyFill="1"/>
    <xf numFmtId="9" fontId="1" fillId="0" borderId="0" xfId="3"/>
    <xf numFmtId="9" fontId="8" fillId="0" borderId="0" xfId="3" applyFont="1" applyBorder="1"/>
    <xf numFmtId="0" fontId="8" fillId="10" borderId="4" xfId="9" applyFont="1" applyFill="1" applyBorder="1" applyAlignment="1">
      <alignment horizontal="center"/>
    </xf>
    <xf numFmtId="0" fontId="8" fillId="10" borderId="6" xfId="9" applyFont="1" applyFill="1" applyBorder="1"/>
    <xf numFmtId="0" fontId="8" fillId="10" borderId="7" xfId="9" applyFont="1" applyFill="1" applyBorder="1" applyAlignment="1">
      <alignment horizontal="center"/>
    </xf>
    <xf numFmtId="0" fontId="8" fillId="10" borderId="8" xfId="9" applyFont="1" applyFill="1" applyBorder="1"/>
    <xf numFmtId="0" fontId="9" fillId="0" borderId="0" xfId="4" applyFont="1"/>
    <xf numFmtId="0" fontId="6" fillId="10" borderId="9" xfId="5" applyFont="1" applyFill="1" applyBorder="1" applyAlignment="1">
      <alignment horizontal="center"/>
    </xf>
    <xf numFmtId="8" fontId="1" fillId="0" borderId="8" xfId="4" applyNumberFormat="1" applyBorder="1"/>
    <xf numFmtId="8" fontId="1" fillId="10" borderId="5" xfId="4" applyNumberFormat="1" applyFill="1" applyBorder="1"/>
    <xf numFmtId="8" fontId="8" fillId="10" borderId="4" xfId="4" applyNumberFormat="1" applyFont="1" applyFill="1" applyBorder="1"/>
    <xf numFmtId="0" fontId="8" fillId="10" borderId="6" xfId="4" applyFont="1" applyFill="1" applyBorder="1"/>
    <xf numFmtId="8" fontId="1" fillId="10" borderId="10" xfId="4" applyNumberFormat="1" applyFill="1" applyBorder="1"/>
    <xf numFmtId="8" fontId="8" fillId="10" borderId="9" xfId="4" applyNumberFormat="1" applyFont="1" applyFill="1" applyBorder="1"/>
    <xf numFmtId="0" fontId="8" fillId="10" borderId="11" xfId="4" applyFont="1" applyFill="1" applyBorder="1"/>
    <xf numFmtId="0" fontId="1" fillId="0" borderId="8" xfId="4" applyBorder="1"/>
    <xf numFmtId="0" fontId="6" fillId="0" borderId="8" xfId="5" applyFont="1" applyBorder="1"/>
    <xf numFmtId="172" fontId="8" fillId="0" borderId="0" xfId="8" applyNumberFormat="1" applyFont="1" applyAlignment="1">
      <alignment horizontal="center"/>
    </xf>
    <xf numFmtId="0" fontId="8" fillId="0" borderId="0" xfId="9" applyFont="1" applyAlignment="1">
      <alignment horizontal="center"/>
    </xf>
    <xf numFmtId="9" fontId="7" fillId="0" borderId="0" xfId="6" applyFont="1" applyAlignment="1">
      <alignment horizontal="center"/>
    </xf>
    <xf numFmtId="172" fontId="7" fillId="0" borderId="0" xfId="8" applyNumberFormat="1" applyFont="1"/>
    <xf numFmtId="0" fontId="6" fillId="10" borderId="10" xfId="5" applyFont="1" applyFill="1" applyBorder="1" applyAlignment="1">
      <alignment horizontal="center"/>
    </xf>
    <xf numFmtId="0" fontId="6" fillId="10" borderId="11" xfId="5" applyFont="1" applyFill="1" applyBorder="1" applyAlignment="1">
      <alignment horizontal="left"/>
    </xf>
    <xf numFmtId="0" fontId="8" fillId="0" borderId="0" xfId="9" applyFont="1"/>
    <xf numFmtId="0" fontId="9" fillId="0" borderId="0" xfId="9" applyFont="1" applyAlignment="1">
      <alignment horizontal="center"/>
    </xf>
    <xf numFmtId="0" fontId="1" fillId="0" borderId="0" xfId="9"/>
    <xf numFmtId="0" fontId="9" fillId="10" borderId="0" xfId="4" applyFont="1" applyFill="1"/>
    <xf numFmtId="0" fontId="6" fillId="10" borderId="0" xfId="0" applyFont="1" applyFill="1"/>
    <xf numFmtId="165" fontId="7" fillId="0" borderId="0" xfId="2" applyNumberFormat="1" applyFont="1"/>
    <xf numFmtId="0" fontId="7" fillId="0" borderId="0" xfId="6" applyNumberFormat="1" applyFont="1"/>
    <xf numFmtId="169" fontId="7" fillId="0" borderId="0" xfId="7" applyNumberFormat="1" applyFont="1"/>
    <xf numFmtId="170" fontId="7" fillId="4" borderId="0" xfId="1" applyNumberFormat="1" applyFont="1" applyFill="1"/>
    <xf numFmtId="0" fontId="7" fillId="4" borderId="0" xfId="5" applyFont="1" applyFill="1"/>
    <xf numFmtId="9" fontId="7" fillId="0" borderId="0" xfId="5" applyNumberFormat="1" applyFont="1"/>
    <xf numFmtId="170" fontId="1" fillId="4" borderId="0" xfId="4" applyNumberFormat="1" applyFill="1"/>
    <xf numFmtId="173" fontId="7" fillId="0" borderId="0" xfId="5" applyNumberFormat="1" applyFont="1"/>
    <xf numFmtId="9" fontId="7" fillId="3" borderId="0" xfId="3" applyFont="1" applyFill="1"/>
    <xf numFmtId="174" fontId="7" fillId="3" borderId="0" xfId="5" applyNumberFormat="1" applyFont="1" applyFill="1"/>
    <xf numFmtId="164" fontId="7" fillId="11" borderId="0" xfId="5" applyNumberFormat="1" applyFont="1" applyFill="1"/>
    <xf numFmtId="0" fontId="7" fillId="11" borderId="0" xfId="5" applyFont="1" applyFill="1"/>
    <xf numFmtId="9" fontId="7" fillId="0" borderId="0" xfId="6" applyFont="1"/>
    <xf numFmtId="2" fontId="7" fillId="0" borderId="0" xfId="5" applyNumberFormat="1" applyFont="1" applyAlignment="1">
      <alignment wrapText="1"/>
    </xf>
    <xf numFmtId="174" fontId="7" fillId="0" borderId="0" xfId="5" applyNumberFormat="1" applyFont="1" applyAlignment="1">
      <alignment wrapText="1"/>
    </xf>
    <xf numFmtId="1" fontId="7" fillId="0" borderId="0" xfId="5" applyNumberFormat="1" applyFont="1" applyAlignment="1">
      <alignment wrapText="1"/>
    </xf>
    <xf numFmtId="167" fontId="7" fillId="0" borderId="0" xfId="6" applyNumberFormat="1" applyFont="1"/>
    <xf numFmtId="166" fontId="7" fillId="4" borderId="0" xfId="7" applyNumberFormat="1" applyFont="1" applyFill="1"/>
    <xf numFmtId="43" fontId="7" fillId="11" borderId="0" xfId="1" applyFont="1" applyFill="1"/>
    <xf numFmtId="9" fontId="7" fillId="11" borderId="0" xfId="1" applyNumberFormat="1" applyFont="1" applyFill="1"/>
    <xf numFmtId="9" fontId="7" fillId="11" borderId="0" xfId="3" applyFont="1" applyFill="1"/>
    <xf numFmtId="175" fontId="7" fillId="0" borderId="0" xfId="5" applyNumberFormat="1" applyFont="1"/>
    <xf numFmtId="9" fontId="7" fillId="0" borderId="0" xfId="6" applyFont="1" applyFill="1" applyBorder="1"/>
    <xf numFmtId="167" fontId="7" fillId="0" borderId="0" xfId="6" applyNumberFormat="1" applyFont="1" applyFill="1" applyBorder="1"/>
    <xf numFmtId="173" fontId="6" fillId="2" borderId="0" xfId="5" applyNumberFormat="1" applyFont="1" applyFill="1" applyAlignment="1">
      <alignment horizontal="center"/>
    </xf>
    <xf numFmtId="9" fontId="6" fillId="3" borderId="0" xfId="3" applyFont="1" applyFill="1" applyAlignment="1">
      <alignment wrapText="1"/>
    </xf>
    <xf numFmtId="43" fontId="7" fillId="3" borderId="0" xfId="1" applyFont="1" applyFill="1"/>
    <xf numFmtId="171" fontId="6" fillId="3" borderId="0" xfId="5" applyNumberFormat="1" applyFont="1" applyFill="1"/>
    <xf numFmtId="43" fontId="6" fillId="3" borderId="0" xfId="5" applyNumberFormat="1" applyFont="1" applyFill="1"/>
    <xf numFmtId="6" fontId="7" fillId="3" borderId="0" xfId="3" applyNumberFormat="1" applyFont="1" applyFill="1" applyAlignment="1">
      <alignment horizontal="center"/>
    </xf>
    <xf numFmtId="168" fontId="7" fillId="3" borderId="0" xfId="5" applyNumberFormat="1" applyFont="1" applyFill="1" applyAlignment="1">
      <alignment horizontal="center"/>
    </xf>
    <xf numFmtId="6" fontId="7" fillId="3" borderId="0" xfId="5" applyNumberFormat="1" applyFont="1" applyFill="1" applyAlignment="1">
      <alignment horizontal="center" vertical="center"/>
    </xf>
    <xf numFmtId="43" fontId="7" fillId="4" borderId="0" xfId="1" applyFont="1" applyFill="1"/>
    <xf numFmtId="170" fontId="7" fillId="0" borderId="0" xfId="1" applyNumberFormat="1" applyFont="1"/>
    <xf numFmtId="1" fontId="1" fillId="4" borderId="0" xfId="4" applyNumberFormat="1" applyFill="1"/>
    <xf numFmtId="164" fontId="7" fillId="0" borderId="0" xfId="5" applyNumberFormat="1" applyFont="1"/>
    <xf numFmtId="2" fontId="7" fillId="0" borderId="0" xfId="5" applyNumberFormat="1" applyFont="1"/>
    <xf numFmtId="9" fontId="7" fillId="0" borderId="0" xfId="3" applyFont="1" applyFill="1"/>
    <xf numFmtId="43" fontId="7" fillId="0" borderId="0" xfId="5" applyNumberFormat="1" applyFont="1"/>
    <xf numFmtId="0" fontId="6" fillId="0" borderId="0" xfId="5" applyFont="1" applyAlignment="1">
      <alignment wrapText="1"/>
    </xf>
    <xf numFmtId="9" fontId="7" fillId="4" borderId="0" xfId="3" applyFont="1" applyFill="1"/>
    <xf numFmtId="43" fontId="7" fillId="0" borderId="0" xfId="1" applyFont="1"/>
    <xf numFmtId="165" fontId="7" fillId="0" borderId="0" xfId="0" applyNumberFormat="1" applyFont="1"/>
    <xf numFmtId="2" fontId="7" fillId="3" borderId="0" xfId="1" applyNumberFormat="1" applyFont="1" applyFill="1"/>
    <xf numFmtId="10" fontId="1" fillId="10" borderId="0" xfId="3" applyNumberFormat="1" applyFill="1"/>
    <xf numFmtId="3" fontId="1" fillId="10" borderId="0" xfId="4" applyNumberFormat="1" applyFill="1"/>
    <xf numFmtId="1" fontId="1" fillId="0" borderId="0" xfId="4" applyNumberFormat="1"/>
    <xf numFmtId="0" fontId="7" fillId="3" borderId="0" xfId="5" applyFont="1" applyFill="1" applyAlignment="1">
      <alignment wrapText="1"/>
    </xf>
    <xf numFmtId="1" fontId="7" fillId="3" borderId="0" xfId="5" applyNumberFormat="1" applyFont="1" applyFill="1" applyAlignment="1">
      <alignment wrapText="1"/>
    </xf>
    <xf numFmtId="0" fontId="2" fillId="0" borderId="0" xfId="4" applyFont="1"/>
    <xf numFmtId="8" fontId="1" fillId="6" borderId="0" xfId="4" applyNumberFormat="1" applyFill="1"/>
    <xf numFmtId="6" fontId="1" fillId="6" borderId="0" xfId="4" applyNumberFormat="1" applyFill="1"/>
    <xf numFmtId="44" fontId="7" fillId="3" borderId="0" xfId="2" applyFont="1" applyFill="1"/>
    <xf numFmtId="170" fontId="7" fillId="3" borderId="0" xfId="5" applyNumberFormat="1" applyFont="1" applyFill="1"/>
    <xf numFmtId="170" fontId="6" fillId="3" borderId="0" xfId="5" applyNumberFormat="1" applyFont="1" applyFill="1"/>
    <xf numFmtId="0" fontId="17" fillId="0" borderId="0" xfId="5" applyFont="1"/>
    <xf numFmtId="44" fontId="7" fillId="3" borderId="0" xfId="2" applyFont="1" applyFill="1" applyAlignment="1">
      <alignment wrapText="1"/>
    </xf>
    <xf numFmtId="164" fontId="7" fillId="0" borderId="0" xfId="5" applyNumberFormat="1" applyFont="1" applyAlignment="1">
      <alignment wrapText="1"/>
    </xf>
    <xf numFmtId="9" fontId="7" fillId="0" borderId="0" xfId="3" applyFont="1" applyFill="1" applyBorder="1" applyAlignment="1">
      <alignment wrapText="1"/>
    </xf>
    <xf numFmtId="43" fontId="7" fillId="0" borderId="0" xfId="5" applyNumberFormat="1" applyFont="1" applyAlignment="1">
      <alignment wrapText="1"/>
    </xf>
    <xf numFmtId="164" fontId="6" fillId="3" borderId="0" xfId="8" applyNumberFormat="1" applyFont="1" applyFill="1" applyAlignment="1">
      <alignment horizontal="center"/>
    </xf>
    <xf numFmtId="0" fontId="1" fillId="10" borderId="0" xfId="4" applyFill="1" applyAlignment="1">
      <alignment horizontal="center" vertical="center"/>
    </xf>
    <xf numFmtId="0" fontId="18" fillId="0" borderId="0" xfId="0" applyFont="1" applyAlignment="1">
      <alignment vertical="center"/>
    </xf>
    <xf numFmtId="0" fontId="0" fillId="4" borderId="0" xfId="4" quotePrefix="1" applyFont="1" applyFill="1" applyAlignment="1">
      <alignment horizontal="center" vertical="center"/>
    </xf>
    <xf numFmtId="0" fontId="19" fillId="10" borderId="0" xfId="10" applyFont="1" applyFill="1"/>
    <xf numFmtId="0" fontId="15" fillId="10" borderId="0" xfId="0" applyFont="1" applyFill="1"/>
    <xf numFmtId="43" fontId="1" fillId="6" borderId="0" xfId="4" applyNumberFormat="1" applyFill="1"/>
    <xf numFmtId="43" fontId="1" fillId="6" borderId="0" xfId="1" applyFill="1"/>
    <xf numFmtId="0" fontId="1" fillId="10" borderId="0" xfId="4" applyFill="1" applyAlignment="1">
      <alignment horizontal="center"/>
    </xf>
    <xf numFmtId="9" fontId="1" fillId="10" borderId="0" xfId="3" applyFill="1"/>
    <xf numFmtId="0" fontId="0" fillId="10" borderId="0" xfId="0" applyFill="1"/>
    <xf numFmtId="9" fontId="7" fillId="0" borderId="0" xfId="3" applyFont="1"/>
    <xf numFmtId="10" fontId="7" fillId="0" borderId="0" xfId="11" applyNumberFormat="1" applyFont="1"/>
    <xf numFmtId="43" fontId="6" fillId="0" borderId="0" xfId="1" applyFont="1"/>
    <xf numFmtId="9" fontId="6" fillId="0" borderId="0" xfId="3" applyFont="1"/>
    <xf numFmtId="1" fontId="6" fillId="0" borderId="0" xfId="5" applyNumberFormat="1" applyFont="1"/>
    <xf numFmtId="170" fontId="7" fillId="0" borderId="0" xfId="5" applyNumberFormat="1" applyFont="1"/>
    <xf numFmtId="2" fontId="7" fillId="0" borderId="0" xfId="11" applyNumberFormat="1" applyFont="1"/>
    <xf numFmtId="9" fontId="7" fillId="0" borderId="0" xfId="11" applyFont="1" applyAlignment="1">
      <alignment wrapText="1"/>
    </xf>
    <xf numFmtId="43" fontId="7" fillId="0" borderId="0" xfId="12" applyFont="1" applyAlignment="1">
      <alignment wrapText="1"/>
    </xf>
    <xf numFmtId="1" fontId="7" fillId="0" borderId="0" xfId="5" applyNumberFormat="1" applyFont="1"/>
    <xf numFmtId="170" fontId="12" fillId="0" borderId="0" xfId="5" applyNumberFormat="1" applyFont="1"/>
    <xf numFmtId="2" fontId="12" fillId="0" borderId="0" xfId="11" applyNumberFormat="1" applyFont="1"/>
    <xf numFmtId="10" fontId="12" fillId="0" borderId="0" xfId="11" applyNumberFormat="1" applyFont="1"/>
    <xf numFmtId="9" fontId="12" fillId="0" borderId="0" xfId="11" applyFont="1" applyAlignment="1">
      <alignment wrapText="1"/>
    </xf>
    <xf numFmtId="43" fontId="12" fillId="0" borderId="0" xfId="12" applyFont="1" applyAlignment="1">
      <alignment wrapText="1"/>
    </xf>
    <xf numFmtId="0" fontId="12" fillId="0" borderId="0" xfId="5" applyFont="1"/>
    <xf numFmtId="1" fontId="12" fillId="0" borderId="0" xfId="5" applyNumberFormat="1" applyFont="1"/>
    <xf numFmtId="2" fontId="12" fillId="0" borderId="0" xfId="5" applyNumberFormat="1" applyFont="1"/>
    <xf numFmtId="0" fontId="7" fillId="10" borderId="0" xfId="0" applyFont="1" applyFill="1"/>
    <xf numFmtId="0" fontId="1" fillId="10" borderId="15" xfId="4" applyFill="1" applyBorder="1"/>
    <xf numFmtId="44" fontId="1" fillId="10" borderId="1" xfId="4" applyNumberFormat="1" applyFill="1" applyBorder="1"/>
    <xf numFmtId="0" fontId="1" fillId="10" borderId="1" xfId="4" applyFill="1" applyBorder="1"/>
    <xf numFmtId="9" fontId="1" fillId="10" borderId="1" xfId="3" applyFill="1" applyBorder="1"/>
    <xf numFmtId="0" fontId="1" fillId="10" borderId="16" xfId="4" applyFill="1" applyBorder="1"/>
    <xf numFmtId="0" fontId="1" fillId="10" borderId="17" xfId="4" applyFill="1" applyBorder="1"/>
    <xf numFmtId="44" fontId="1" fillId="10" borderId="0" xfId="4" applyNumberFormat="1" applyFill="1"/>
    <xf numFmtId="9" fontId="1" fillId="10" borderId="0" xfId="3" applyFill="1" applyBorder="1"/>
    <xf numFmtId="0" fontId="1" fillId="10" borderId="18" xfId="4" applyFill="1" applyBorder="1"/>
    <xf numFmtId="0" fontId="3" fillId="10" borderId="19" xfId="4" applyFont="1" applyFill="1" applyBorder="1"/>
    <xf numFmtId="0" fontId="3" fillId="10" borderId="2" xfId="4" applyFont="1" applyFill="1" applyBorder="1"/>
    <xf numFmtId="0" fontId="3" fillId="10" borderId="20" xfId="4" applyFont="1" applyFill="1" applyBorder="1"/>
    <xf numFmtId="0" fontId="19" fillId="10" borderId="0" xfId="0" applyFont="1" applyFill="1"/>
    <xf numFmtId="0" fontId="3" fillId="4" borderId="0" xfId="4" applyFont="1" applyFill="1"/>
    <xf numFmtId="16" fontId="1" fillId="10" borderId="0" xfId="4" applyNumberFormat="1" applyFill="1"/>
    <xf numFmtId="17" fontId="1" fillId="10" borderId="0" xfId="4" applyNumberFormat="1" applyFill="1"/>
    <xf numFmtId="170" fontId="1" fillId="0" borderId="0" xfId="4" applyNumberFormat="1"/>
    <xf numFmtId="44" fontId="1" fillId="10" borderId="0" xfId="2" applyFill="1" applyBorder="1"/>
    <xf numFmtId="2" fontId="1" fillId="0" borderId="0" xfId="4" applyNumberFormat="1"/>
    <xf numFmtId="9" fontId="1" fillId="0" borderId="0" xfId="4" applyNumberFormat="1"/>
    <xf numFmtId="0" fontId="20" fillId="0" borderId="0" xfId="0" applyFont="1" applyAlignment="1">
      <alignment horizontal="center" vertical="center" wrapText="1"/>
    </xf>
    <xf numFmtId="0" fontId="20" fillId="0" borderId="0" xfId="0" applyFont="1" applyAlignment="1">
      <alignment horizontal="left" vertical="center" wrapText="1"/>
    </xf>
    <xf numFmtId="9" fontId="20" fillId="0" borderId="0" xfId="0" applyNumberFormat="1" applyFont="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vertical="center"/>
    </xf>
    <xf numFmtId="0" fontId="21" fillId="0" borderId="0" xfId="0" applyFont="1" applyAlignment="1">
      <alignment vertical="center"/>
    </xf>
    <xf numFmtId="0" fontId="12" fillId="10" borderId="0" xfId="0" applyFont="1" applyFill="1"/>
    <xf numFmtId="0" fontId="12" fillId="0" borderId="0" xfId="0" applyFont="1"/>
    <xf numFmtId="44" fontId="1" fillId="0" borderId="0" xfId="2" applyFont="1"/>
    <xf numFmtId="0" fontId="1" fillId="0" borderId="0" xfId="0" applyFont="1" applyAlignment="1">
      <alignment horizontal="center" vertical="center" wrapText="1"/>
    </xf>
    <xf numFmtId="0" fontId="1" fillId="0" borderId="0" xfId="0" applyFont="1" applyAlignment="1">
      <alignment horizontal="left" vertical="center" wrapText="1"/>
    </xf>
    <xf numFmtId="0" fontId="23" fillId="0" borderId="0" xfId="0" applyFont="1" applyAlignment="1">
      <alignment horizontal="center" vertical="center" wrapText="1"/>
    </xf>
    <xf numFmtId="0" fontId="3" fillId="0" borderId="0" xfId="0" applyFont="1" applyAlignment="1">
      <alignment vertical="center" wrapText="1"/>
    </xf>
    <xf numFmtId="0" fontId="23" fillId="0" borderId="0" xfId="0" applyFont="1" applyAlignment="1">
      <alignment vertical="center" wrapText="1"/>
    </xf>
    <xf numFmtId="9" fontId="12" fillId="0" borderId="0" xfId="3" applyFont="1" applyAlignment="1">
      <alignment wrapText="1"/>
    </xf>
    <xf numFmtId="0" fontId="19" fillId="0" borderId="0" xfId="5" applyFont="1" applyAlignment="1">
      <alignment horizontal="right"/>
    </xf>
    <xf numFmtId="9" fontId="12" fillId="0" borderId="0" xfId="3" applyFont="1"/>
    <xf numFmtId="170" fontId="12" fillId="0" borderId="0" xfId="1" applyNumberFormat="1" applyFont="1"/>
    <xf numFmtId="9" fontId="12" fillId="0" borderId="0" xfId="5" applyNumberFormat="1" applyFont="1"/>
    <xf numFmtId="176" fontId="24" fillId="0" borderId="0" xfId="13" applyNumberFormat="1" applyFont="1" applyAlignment="1">
      <alignment horizontal="left" vertical="top" wrapText="1"/>
    </xf>
    <xf numFmtId="9" fontId="24" fillId="0" borderId="0" xfId="3" applyFont="1" applyAlignment="1">
      <alignment horizontal="left" vertical="top" wrapText="1"/>
    </xf>
    <xf numFmtId="0" fontId="24" fillId="0" borderId="0" xfId="13" applyFont="1" applyAlignment="1">
      <alignment horizontal="left" vertical="top"/>
    </xf>
    <xf numFmtId="2" fontId="12" fillId="10" borderId="15" xfId="5" applyNumberFormat="1" applyFont="1" applyFill="1" applyBorder="1"/>
    <xf numFmtId="173" fontId="12" fillId="10" borderId="1" xfId="5" applyNumberFormat="1" applyFont="1" applyFill="1" applyBorder="1"/>
    <xf numFmtId="2" fontId="12" fillId="10" borderId="1" xfId="5" applyNumberFormat="1" applyFont="1" applyFill="1" applyBorder="1"/>
    <xf numFmtId="0" fontId="12" fillId="10" borderId="1" xfId="5" applyFont="1" applyFill="1" applyBorder="1"/>
    <xf numFmtId="0" fontId="12" fillId="10" borderId="16" xfId="5" applyFont="1" applyFill="1" applyBorder="1"/>
    <xf numFmtId="0" fontId="12" fillId="10" borderId="0" xfId="3" applyNumberFormat="1" applyFont="1" applyFill="1" applyBorder="1"/>
    <xf numFmtId="0" fontId="12" fillId="10" borderId="0" xfId="5" applyFont="1" applyFill="1"/>
    <xf numFmtId="176" fontId="24" fillId="10" borderId="0" xfId="13" applyNumberFormat="1" applyFont="1" applyFill="1" applyAlignment="1">
      <alignment horizontal="left" vertical="top" wrapText="1"/>
    </xf>
    <xf numFmtId="0" fontId="24" fillId="10" borderId="0" xfId="3" applyNumberFormat="1" applyFont="1" applyFill="1" applyBorder="1" applyAlignment="1">
      <alignment horizontal="left" vertical="top" wrapText="1"/>
    </xf>
    <xf numFmtId="10" fontId="19" fillId="10" borderId="0" xfId="5" applyNumberFormat="1" applyFont="1" applyFill="1"/>
    <xf numFmtId="2" fontId="12" fillId="10" borderId="17" xfId="5" applyNumberFormat="1" applyFont="1" applyFill="1" applyBorder="1"/>
    <xf numFmtId="173" fontId="12" fillId="10" borderId="0" xfId="5" applyNumberFormat="1" applyFont="1" applyFill="1"/>
    <xf numFmtId="2" fontId="12" fillId="10" borderId="0" xfId="5" applyNumberFormat="1" applyFont="1" applyFill="1"/>
    <xf numFmtId="0" fontId="12" fillId="10" borderId="18" xfId="5" applyFont="1" applyFill="1" applyBorder="1"/>
    <xf numFmtId="0" fontId="25" fillId="10" borderId="0" xfId="13" applyFont="1" applyFill="1" applyAlignment="1">
      <alignment horizontal="left" vertical="top"/>
    </xf>
    <xf numFmtId="9" fontId="1" fillId="0" borderId="0" xfId="3" applyFont="1"/>
    <xf numFmtId="0" fontId="19" fillId="0" borderId="0" xfId="5" applyFont="1"/>
    <xf numFmtId="0" fontId="25" fillId="0" borderId="0" xfId="13" applyFont="1" applyAlignment="1">
      <alignment horizontal="left" vertical="top"/>
    </xf>
    <xf numFmtId="10" fontId="1" fillId="0" borderId="0" xfId="3" applyNumberFormat="1" applyFill="1"/>
    <xf numFmtId="170" fontId="1" fillId="0" borderId="0" xfId="1" applyNumberFormat="1" applyFill="1"/>
    <xf numFmtId="43" fontId="1" fillId="0" borderId="0" xfId="4" applyNumberFormat="1"/>
    <xf numFmtId="43" fontId="12" fillId="0" borderId="0" xfId="5" applyNumberFormat="1" applyFont="1"/>
    <xf numFmtId="0" fontId="24" fillId="0" borderId="0" xfId="13" applyFont="1" applyAlignment="1">
      <alignment horizontal="left" vertical="top" wrapText="1"/>
    </xf>
    <xf numFmtId="2" fontId="0" fillId="6" borderId="0" xfId="4" applyNumberFormat="1" applyFont="1" applyFill="1"/>
    <xf numFmtId="3" fontId="1" fillId="6" borderId="0" xfId="4" applyNumberFormat="1" applyFill="1"/>
    <xf numFmtId="166" fontId="12" fillId="10" borderId="1" xfId="5" applyNumberFormat="1" applyFont="1" applyFill="1" applyBorder="1"/>
    <xf numFmtId="177" fontId="24" fillId="10" borderId="0" xfId="13" applyNumberFormat="1" applyFont="1" applyFill="1" applyAlignment="1">
      <alignment horizontal="left" vertical="top" wrapText="1"/>
    </xf>
    <xf numFmtId="0" fontId="1" fillId="0" borderId="0" xfId="4" applyAlignment="1">
      <alignment horizontal="right"/>
    </xf>
    <xf numFmtId="0" fontId="1" fillId="0" borderId="0" xfId="3" applyNumberFormat="1" applyFill="1" applyBorder="1" applyAlignment="1">
      <alignment horizontal="right"/>
    </xf>
    <xf numFmtId="9" fontId="1" fillId="0" borderId="0" xfId="3" applyFill="1" applyBorder="1" applyAlignment="1">
      <alignment horizontal="right"/>
    </xf>
    <xf numFmtId="0" fontId="12" fillId="0" borderId="0" xfId="5" applyFont="1" applyAlignment="1">
      <alignment horizontal="left"/>
    </xf>
    <xf numFmtId="0" fontId="24" fillId="0" borderId="0" xfId="13" applyFont="1" applyAlignment="1">
      <alignment horizontal="right" vertical="top" wrapText="1"/>
    </xf>
    <xf numFmtId="0" fontId="12" fillId="0" borderId="0" xfId="5" applyFont="1" applyAlignment="1">
      <alignment horizontal="right"/>
    </xf>
    <xf numFmtId="0" fontId="1" fillId="0" borderId="0" xfId="4" applyAlignment="1">
      <alignment horizontal="left"/>
    </xf>
    <xf numFmtId="0" fontId="23" fillId="8" borderId="0" xfId="0" applyFont="1" applyFill="1" applyAlignment="1">
      <alignment vertical="center" wrapText="1"/>
    </xf>
    <xf numFmtId="0" fontId="12" fillId="8" borderId="0" xfId="5" applyFont="1" applyFill="1"/>
    <xf numFmtId="44" fontId="12" fillId="8" borderId="0" xfId="5" applyNumberFormat="1" applyFont="1" applyFill="1"/>
    <xf numFmtId="178" fontId="24" fillId="8" borderId="0" xfId="13" applyNumberFormat="1" applyFont="1" applyFill="1" applyAlignment="1">
      <alignment horizontal="center" vertical="top"/>
    </xf>
    <xf numFmtId="0" fontId="1" fillId="8" borderId="0" xfId="4" applyFill="1" applyAlignment="1">
      <alignment horizontal="center"/>
    </xf>
    <xf numFmtId="0" fontId="24" fillId="8" borderId="0" xfId="13" applyFont="1" applyFill="1" applyAlignment="1">
      <alignment horizontal="left" vertical="top"/>
    </xf>
    <xf numFmtId="0" fontId="24" fillId="8" borderId="0" xfId="13" applyFont="1" applyFill="1" applyAlignment="1">
      <alignment horizontal="center" vertical="top"/>
    </xf>
    <xf numFmtId="0" fontId="19" fillId="8" borderId="0" xfId="5" applyFont="1" applyFill="1"/>
    <xf numFmtId="176" fontId="25" fillId="8" borderId="0" xfId="13" applyNumberFormat="1" applyFont="1" applyFill="1" applyAlignment="1">
      <alignment horizontal="left" vertical="top" wrapText="1"/>
    </xf>
    <xf numFmtId="0" fontId="25" fillId="8" borderId="0" xfId="13" applyFont="1" applyFill="1" applyAlignment="1">
      <alignment horizontal="left" vertical="top" wrapText="1"/>
    </xf>
    <xf numFmtId="0" fontId="25" fillId="8" borderId="0" xfId="13" applyFont="1" applyFill="1" applyAlignment="1">
      <alignment horizontal="center" vertical="top"/>
    </xf>
    <xf numFmtId="9" fontId="12" fillId="0" borderId="0" xfId="3" applyFont="1" applyBorder="1"/>
    <xf numFmtId="3" fontId="1" fillId="0" borderId="0" xfId="4" applyNumberFormat="1"/>
    <xf numFmtId="0" fontId="24" fillId="8" borderId="0" xfId="13" applyFont="1" applyFill="1" applyAlignment="1">
      <alignment horizontal="left" vertical="top" wrapText="1"/>
    </xf>
    <xf numFmtId="0" fontId="25" fillId="8" borderId="0" xfId="13" applyFont="1" applyFill="1" applyAlignment="1">
      <alignment horizontal="left" vertical="top"/>
    </xf>
    <xf numFmtId="44" fontId="1" fillId="0" borderId="0" xfId="2" applyBorder="1" applyAlignment="1"/>
    <xf numFmtId="0" fontId="1" fillId="0" borderId="0" xfId="4" quotePrefix="1"/>
    <xf numFmtId="0" fontId="0" fillId="12" borderId="0" xfId="4" applyFont="1" applyFill="1"/>
    <xf numFmtId="0" fontId="1" fillId="6" borderId="0" xfId="14" applyFill="1"/>
    <xf numFmtId="0" fontId="1" fillId="7" borderId="0" xfId="14" applyFill="1"/>
    <xf numFmtId="1" fontId="1" fillId="7" borderId="0" xfId="4" applyNumberFormat="1" applyFill="1"/>
    <xf numFmtId="2" fontId="1" fillId="6" borderId="0" xfId="15" applyNumberFormat="1" applyFont="1" applyFill="1"/>
    <xf numFmtId="173" fontId="1" fillId="6" borderId="0" xfId="15" applyNumberFormat="1" applyFont="1" applyFill="1"/>
    <xf numFmtId="164" fontId="1" fillId="6" borderId="0" xfId="15" applyNumberFormat="1" applyFont="1" applyFill="1"/>
    <xf numFmtId="9" fontId="1" fillId="6" borderId="0" xfId="15" applyFont="1" applyFill="1"/>
    <xf numFmtId="1" fontId="1" fillId="7" borderId="0" xfId="16" applyNumberFormat="1" applyFill="1"/>
    <xf numFmtId="0" fontId="1" fillId="7" borderId="0" xfId="16" applyFill="1"/>
    <xf numFmtId="0" fontId="1" fillId="10" borderId="5" xfId="4" applyFill="1" applyBorder="1"/>
    <xf numFmtId="0" fontId="0" fillId="10" borderId="5" xfId="0" applyFill="1" applyBorder="1"/>
    <xf numFmtId="0" fontId="1" fillId="10" borderId="21" xfId="4" applyFill="1" applyBorder="1"/>
    <xf numFmtId="0" fontId="1" fillId="10" borderId="22" xfId="4" applyFill="1" applyBorder="1"/>
    <xf numFmtId="0" fontId="1" fillId="10" borderId="23" xfId="4" applyFill="1" applyBorder="1"/>
    <xf numFmtId="0" fontId="1" fillId="0" borderId="0" xfId="16"/>
    <xf numFmtId="0" fontId="3" fillId="10" borderId="0" xfId="16" applyFont="1" applyFill="1"/>
    <xf numFmtId="44" fontId="1" fillId="4" borderId="0" xfId="2" applyFill="1"/>
    <xf numFmtId="0" fontId="1" fillId="10" borderId="0" xfId="16" applyFill="1"/>
    <xf numFmtId="0" fontId="1" fillId="0" borderId="1" xfId="16" applyBorder="1"/>
    <xf numFmtId="0" fontId="1" fillId="6" borderId="0" xfId="16" applyFill="1"/>
    <xf numFmtId="168" fontId="1" fillId="6" borderId="0" xfId="15" applyNumberFormat="1" applyFont="1" applyFill="1"/>
    <xf numFmtId="0" fontId="0" fillId="6" borderId="0" xfId="16" applyFont="1" applyFill="1"/>
    <xf numFmtId="0" fontId="11" fillId="0" borderId="0" xfId="16" applyFont="1"/>
    <xf numFmtId="166" fontId="1" fillId="6" borderId="0" xfId="15" applyNumberFormat="1" applyFont="1" applyFill="1"/>
    <xf numFmtId="173" fontId="1" fillId="6" borderId="0" xfId="16" applyNumberFormat="1" applyFill="1"/>
    <xf numFmtId="164" fontId="1" fillId="6" borderId="0" xfId="16" applyNumberFormat="1" applyFill="1"/>
    <xf numFmtId="165" fontId="1" fillId="6" borderId="0" xfId="16" applyNumberFormat="1" applyFill="1"/>
    <xf numFmtId="2" fontId="1" fillId="6" borderId="0" xfId="16" applyNumberFormat="1" applyFill="1"/>
    <xf numFmtId="0" fontId="1" fillId="0" borderId="0" xfId="16" applyAlignment="1">
      <alignment vertical="center"/>
    </xf>
    <xf numFmtId="0" fontId="13" fillId="0" borderId="0" xfId="16" applyFont="1" applyAlignment="1">
      <alignment vertical="center"/>
    </xf>
    <xf numFmtId="0" fontId="0" fillId="7" borderId="0" xfId="16" applyFont="1" applyFill="1"/>
    <xf numFmtId="0" fontId="1" fillId="9" borderId="0" xfId="16" applyFill="1"/>
    <xf numFmtId="0" fontId="2" fillId="4" borderId="0" xfId="16" applyFont="1" applyFill="1"/>
    <xf numFmtId="0" fontId="1" fillId="4" borderId="0" xfId="16" applyFill="1"/>
    <xf numFmtId="0" fontId="12" fillId="4" borderId="0" xfId="16" applyFont="1" applyFill="1"/>
    <xf numFmtId="0" fontId="3" fillId="0" borderId="0" xfId="16" applyFont="1"/>
    <xf numFmtId="0" fontId="14" fillId="0" borderId="1" xfId="16" applyFont="1" applyBorder="1"/>
    <xf numFmtId="0" fontId="15" fillId="7" borderId="3" xfId="16" applyFont="1" applyFill="1" applyBorder="1" applyAlignment="1">
      <alignment vertical="center"/>
    </xf>
    <xf numFmtId="44" fontId="1" fillId="10" borderId="0" xfId="16" applyNumberFormat="1" applyFill="1"/>
    <xf numFmtId="44" fontId="1" fillId="10" borderId="0" xfId="2" applyFill="1" applyAlignment="1"/>
    <xf numFmtId="0" fontId="3" fillId="10" borderId="13" xfId="0" applyFont="1" applyFill="1" applyBorder="1" applyAlignment="1">
      <alignment horizontal="center" vertical="center" wrapText="1"/>
    </xf>
    <xf numFmtId="0" fontId="3" fillId="10" borderId="0" xfId="0" applyFont="1" applyFill="1" applyAlignment="1">
      <alignment wrapText="1"/>
    </xf>
    <xf numFmtId="0" fontId="3" fillId="10" borderId="0" xfId="0" applyFont="1" applyFill="1" applyAlignment="1">
      <alignment vertical="center" wrapText="1"/>
    </xf>
    <xf numFmtId="0" fontId="3" fillId="10" borderId="0" xfId="16" applyFont="1" applyFill="1" applyAlignment="1">
      <alignment wrapText="1"/>
    </xf>
    <xf numFmtId="0" fontId="3" fillId="10" borderId="0" xfId="16" applyFont="1" applyFill="1" applyAlignment="1">
      <alignment vertical="center"/>
    </xf>
    <xf numFmtId="44" fontId="0" fillId="10" borderId="0" xfId="2" applyFont="1" applyFill="1" applyBorder="1" applyAlignment="1">
      <alignment vertical="center" wrapText="1"/>
    </xf>
    <xf numFmtId="44" fontId="1" fillId="10" borderId="0" xfId="2" applyFont="1" applyFill="1" applyBorder="1" applyAlignment="1">
      <alignment vertical="center" wrapText="1"/>
    </xf>
    <xf numFmtId="44" fontId="1" fillId="10" borderId="0" xfId="2" applyFont="1" applyFill="1" applyBorder="1" applyAlignment="1"/>
    <xf numFmtId="0" fontId="3" fillId="10" borderId="0" xfId="16" applyFont="1" applyFill="1" applyAlignment="1">
      <alignment vertical="center" wrapText="1"/>
    </xf>
    <xf numFmtId="44" fontId="6" fillId="2" borderId="0" xfId="2" applyFont="1" applyFill="1"/>
    <xf numFmtId="170" fontId="6" fillId="2" borderId="0" xfId="6" applyNumberFormat="1" applyFont="1" applyFill="1"/>
    <xf numFmtId="1" fontId="6" fillId="2" borderId="0" xfId="6" applyNumberFormat="1" applyFont="1" applyFill="1"/>
    <xf numFmtId="2" fontId="6" fillId="2" borderId="0" xfId="6" applyNumberFormat="1" applyFont="1" applyFill="1"/>
    <xf numFmtId="170" fontId="6" fillId="2" borderId="0" xfId="1" applyNumberFormat="1" applyFont="1" applyFill="1"/>
    <xf numFmtId="10" fontId="7" fillId="2" borderId="0" xfId="6" applyNumberFormat="1" applyFont="1" applyFill="1"/>
    <xf numFmtId="9" fontId="7" fillId="3" borderId="0" xfId="5" applyNumberFormat="1" applyFont="1" applyFill="1" applyAlignment="1">
      <alignment wrapText="1"/>
    </xf>
    <xf numFmtId="2" fontId="7" fillId="3" borderId="0" xfId="6" applyNumberFormat="1" applyFont="1" applyFill="1"/>
    <xf numFmtId="2" fontId="7" fillId="3" borderId="0" xfId="5" applyNumberFormat="1" applyFont="1" applyFill="1" applyAlignment="1">
      <alignment wrapText="1"/>
    </xf>
    <xf numFmtId="170" fontId="7" fillId="3" borderId="0" xfId="1" applyNumberFormat="1" applyFont="1" applyFill="1"/>
    <xf numFmtId="10" fontId="7" fillId="11" borderId="0" xfId="3" applyNumberFormat="1" applyFont="1" applyFill="1"/>
    <xf numFmtId="0" fontId="7" fillId="0" borderId="0" xfId="5" applyFont="1" applyAlignment="1">
      <alignment horizontal="right"/>
    </xf>
    <xf numFmtId="0" fontId="6" fillId="3" borderId="0" xfId="5" applyFont="1" applyFill="1" applyAlignment="1">
      <alignment horizontal="right" wrapText="1"/>
    </xf>
    <xf numFmtId="0" fontId="6" fillId="3" borderId="0" xfId="5" applyFont="1" applyFill="1" applyAlignment="1">
      <alignment horizontal="right"/>
    </xf>
    <xf numFmtId="0" fontId="6" fillId="3" borderId="0" xfId="5" applyFont="1" applyFill="1" applyAlignment="1">
      <alignment horizontal="left"/>
    </xf>
    <xf numFmtId="0" fontId="7" fillId="13" borderId="0" xfId="5" applyFont="1" applyFill="1" applyAlignment="1">
      <alignment wrapText="1"/>
    </xf>
    <xf numFmtId="0" fontId="7" fillId="13" borderId="0" xfId="5" applyFont="1" applyFill="1"/>
    <xf numFmtId="0" fontId="1" fillId="13" borderId="0" xfId="9" applyFill="1"/>
    <xf numFmtId="0" fontId="6" fillId="13" borderId="0" xfId="5" applyFont="1" applyFill="1"/>
    <xf numFmtId="0" fontId="7" fillId="5" borderId="0" xfId="5" applyFont="1" applyFill="1" applyAlignment="1">
      <alignment wrapText="1"/>
    </xf>
    <xf numFmtId="0" fontId="7" fillId="5" borderId="0" xfId="5" applyFont="1" applyFill="1"/>
    <xf numFmtId="0" fontId="1" fillId="5" borderId="0" xfId="9" applyFill="1"/>
    <xf numFmtId="0" fontId="6" fillId="5" borderId="0" xfId="5" applyFont="1" applyFill="1"/>
    <xf numFmtId="0" fontId="7" fillId="14" borderId="0" xfId="5" applyFont="1" applyFill="1" applyAlignment="1">
      <alignment wrapText="1"/>
    </xf>
    <xf numFmtId="0" fontId="7" fillId="14" borderId="0" xfId="5" applyFont="1" applyFill="1"/>
    <xf numFmtId="0" fontId="1" fillId="14" borderId="0" xfId="9" applyFill="1"/>
    <xf numFmtId="0" fontId="6" fillId="14" borderId="0" xfId="5" applyFont="1" applyFill="1"/>
    <xf numFmtId="0" fontId="7" fillId="15" borderId="0" xfId="5" applyFont="1" applyFill="1"/>
    <xf numFmtId="0" fontId="6" fillId="15" borderId="0" xfId="5" applyFont="1" applyFill="1"/>
    <xf numFmtId="176" fontId="26" fillId="0" borderId="0" xfId="9" applyNumberFormat="1" applyFont="1" applyAlignment="1">
      <alignment horizontal="left" vertical="top" wrapText="1"/>
    </xf>
    <xf numFmtId="0" fontId="26" fillId="0" borderId="0" xfId="9" applyFont="1" applyAlignment="1">
      <alignment horizontal="left" vertical="top" wrapText="1"/>
    </xf>
    <xf numFmtId="0" fontId="26" fillId="0" borderId="0" xfId="9" applyFont="1" applyAlignment="1">
      <alignment horizontal="left" vertical="top"/>
    </xf>
    <xf numFmtId="178" fontId="26" fillId="0" borderId="13" xfId="0" applyNumberFormat="1" applyFont="1" applyBorder="1" applyAlignment="1">
      <alignment horizontal="left" vertical="top"/>
    </xf>
    <xf numFmtId="176" fontId="26" fillId="0" borderId="13" xfId="0" applyNumberFormat="1" applyFont="1" applyBorder="1" applyAlignment="1">
      <alignment horizontal="left" vertical="top"/>
    </xf>
    <xf numFmtId="179" fontId="26" fillId="0" borderId="13" xfId="0" applyNumberFormat="1" applyFont="1" applyBorder="1" applyAlignment="1">
      <alignment horizontal="left" vertical="top"/>
    </xf>
    <xf numFmtId="0" fontId="26" fillId="0" borderId="13" xfId="0" applyFont="1" applyBorder="1" applyAlignment="1">
      <alignment vertical="top"/>
    </xf>
    <xf numFmtId="0" fontId="26" fillId="0" borderId="13" xfId="0" applyFont="1" applyBorder="1" applyAlignment="1">
      <alignment horizontal="left" vertical="top"/>
    </xf>
    <xf numFmtId="0" fontId="26" fillId="16" borderId="13" xfId="9" applyFont="1" applyFill="1" applyBorder="1" applyAlignment="1">
      <alignment horizontal="left" vertical="top" wrapText="1"/>
    </xf>
    <xf numFmtId="0" fontId="26" fillId="17" borderId="13" xfId="9" applyFont="1" applyFill="1" applyBorder="1" applyAlignment="1">
      <alignment horizontal="left" vertical="top"/>
    </xf>
    <xf numFmtId="0" fontId="7" fillId="0" borderId="0" xfId="0" applyFont="1" applyAlignment="1">
      <alignment vertical="top"/>
    </xf>
    <xf numFmtId="0" fontId="27" fillId="0" borderId="0" xfId="0" applyFont="1" applyAlignment="1">
      <alignment horizontal="left" vertical="top"/>
    </xf>
    <xf numFmtId="0" fontId="26" fillId="0" borderId="0" xfId="0" applyFont="1" applyAlignment="1">
      <alignment horizontal="center" vertical="top"/>
    </xf>
    <xf numFmtId="0" fontId="26" fillId="0" borderId="0" xfId="6" applyNumberFormat="1" applyFont="1" applyAlignment="1">
      <alignment horizontal="left" vertical="top" wrapText="1"/>
    </xf>
    <xf numFmtId="173" fontId="7" fillId="3" borderId="0" xfId="5" applyNumberFormat="1" applyFont="1" applyFill="1"/>
    <xf numFmtId="164" fontId="1" fillId="7" borderId="0" xfId="4" applyNumberFormat="1" applyFill="1"/>
    <xf numFmtId="44" fontId="1" fillId="6" borderId="0" xfId="2" applyFill="1"/>
    <xf numFmtId="172" fontId="1" fillId="6" borderId="0" xfId="2" applyNumberFormat="1" applyFill="1"/>
    <xf numFmtId="0" fontId="3" fillId="10" borderId="0" xfId="0" applyFont="1" applyFill="1"/>
    <xf numFmtId="0" fontId="3" fillId="10" borderId="0" xfId="17" applyNumberFormat="1" applyFont="1" applyFill="1"/>
    <xf numFmtId="0" fontId="1" fillId="10" borderId="0" xfId="0" applyFont="1" applyFill="1"/>
    <xf numFmtId="0" fontId="1" fillId="7" borderId="0" xfId="4" applyFill="1" applyAlignment="1">
      <alignment wrapText="1"/>
    </xf>
    <xf numFmtId="9" fontId="1" fillId="10" borderId="0" xfId="3" applyFont="1" applyFill="1"/>
    <xf numFmtId="0" fontId="30" fillId="10" borderId="0" xfId="0" applyFont="1" applyFill="1"/>
    <xf numFmtId="170" fontId="1" fillId="6" borderId="0" xfId="1" applyNumberFormat="1" applyFill="1"/>
    <xf numFmtId="2" fontId="6" fillId="0" borderId="0" xfId="5" applyNumberFormat="1" applyFont="1"/>
    <xf numFmtId="2" fontId="7" fillId="0" borderId="0" xfId="6" applyNumberFormat="1" applyFont="1" applyFill="1" applyBorder="1"/>
    <xf numFmtId="0" fontId="31" fillId="10" borderId="0" xfId="0" applyFont="1" applyFill="1"/>
    <xf numFmtId="164" fontId="1" fillId="4" borderId="0" xfId="4" applyNumberFormat="1" applyFill="1"/>
    <xf numFmtId="165" fontId="1" fillId="4" borderId="0" xfId="4" applyNumberFormat="1" applyFill="1"/>
    <xf numFmtId="9" fontId="1" fillId="4" borderId="0" xfId="3" applyFill="1"/>
    <xf numFmtId="0" fontId="32" fillId="0" borderId="0" xfId="4" applyFont="1"/>
    <xf numFmtId="0" fontId="3" fillId="10" borderId="21" xfId="4" applyFont="1" applyFill="1" applyBorder="1"/>
    <xf numFmtId="0" fontId="3" fillId="10" borderId="22" xfId="4" applyFont="1" applyFill="1" applyBorder="1"/>
    <xf numFmtId="0" fontId="3" fillId="10" borderId="17" xfId="4" applyFont="1" applyFill="1" applyBorder="1"/>
    <xf numFmtId="0" fontId="1" fillId="10" borderId="25" xfId="4" applyFill="1" applyBorder="1"/>
    <xf numFmtId="0" fontId="1" fillId="10" borderId="26" xfId="4" applyFill="1" applyBorder="1"/>
    <xf numFmtId="0" fontId="3" fillId="10" borderId="26" xfId="4" applyFont="1" applyFill="1" applyBorder="1"/>
    <xf numFmtId="0" fontId="3" fillId="10" borderId="27" xfId="4" applyFont="1" applyFill="1" applyBorder="1"/>
    <xf numFmtId="2" fontId="1" fillId="10" borderId="15" xfId="4" applyNumberFormat="1" applyFill="1" applyBorder="1"/>
    <xf numFmtId="168" fontId="1" fillId="10" borderId="15" xfId="4" applyNumberFormat="1" applyFill="1" applyBorder="1"/>
    <xf numFmtId="2" fontId="1" fillId="10" borderId="17" xfId="4" applyNumberFormat="1" applyFill="1" applyBorder="1"/>
    <xf numFmtId="168" fontId="1" fillId="10" borderId="17" xfId="4" applyNumberFormat="1" applyFill="1" applyBorder="1"/>
    <xf numFmtId="0" fontId="3" fillId="10" borderId="17" xfId="4" applyFont="1" applyFill="1" applyBorder="1" applyAlignment="1">
      <alignment horizontal="right"/>
    </xf>
    <xf numFmtId="0" fontId="3" fillId="10" borderId="0" xfId="4" applyFont="1" applyFill="1" applyAlignment="1">
      <alignment horizontal="right"/>
    </xf>
    <xf numFmtId="0" fontId="3" fillId="10" borderId="18" xfId="4" applyFont="1" applyFill="1" applyBorder="1" applyAlignment="1">
      <alignment horizontal="right"/>
    </xf>
    <xf numFmtId="0" fontId="3" fillId="10" borderId="18" xfId="4" applyFont="1" applyFill="1" applyBorder="1"/>
    <xf numFmtId="0" fontId="3" fillId="10" borderId="28" xfId="4" applyFont="1" applyFill="1" applyBorder="1"/>
    <xf numFmtId="0" fontId="1" fillId="10" borderId="28" xfId="4" applyFill="1" applyBorder="1"/>
    <xf numFmtId="2" fontId="1" fillId="4" borderId="0" xfId="4" applyNumberFormat="1" applyFill="1"/>
    <xf numFmtId="168" fontId="1" fillId="4" borderId="0" xfId="4" applyNumberFormat="1" applyFill="1"/>
    <xf numFmtId="168" fontId="1" fillId="0" borderId="0" xfId="4" applyNumberFormat="1"/>
    <xf numFmtId="2" fontId="1" fillId="10" borderId="0" xfId="4" applyNumberFormat="1" applyFill="1"/>
    <xf numFmtId="168" fontId="1" fillId="10" borderId="0" xfId="4" applyNumberFormat="1" applyFill="1"/>
    <xf numFmtId="0" fontId="1" fillId="10" borderId="0" xfId="4" applyFill="1" applyAlignment="1">
      <alignment horizontal="right"/>
    </xf>
    <xf numFmtId="44" fontId="1" fillId="10" borderId="0" xfId="4" applyNumberFormat="1" applyFill="1" applyAlignment="1">
      <alignment horizontal="right"/>
    </xf>
    <xf numFmtId="44" fontId="1" fillId="10" borderId="0" xfId="2" applyFill="1"/>
    <xf numFmtId="44" fontId="1" fillId="10" borderId="0" xfId="2" applyFill="1" applyAlignment="1">
      <alignment horizontal="right"/>
    </xf>
    <xf numFmtId="0" fontId="3" fillId="10" borderId="0" xfId="4" applyFont="1" applyFill="1" applyAlignment="1">
      <alignment wrapText="1"/>
    </xf>
    <xf numFmtId="0" fontId="3" fillId="10" borderId="0" xfId="4" applyFont="1" applyFill="1" applyAlignment="1">
      <alignment vertical="center" wrapText="1"/>
    </xf>
    <xf numFmtId="0" fontId="0" fillId="10" borderId="0" xfId="4" applyFont="1" applyFill="1"/>
    <xf numFmtId="173" fontId="1" fillId="10" borderId="0" xfId="4" applyNumberFormat="1" applyFill="1"/>
    <xf numFmtId="0" fontId="3" fillId="0" borderId="0" xfId="0" applyFont="1"/>
    <xf numFmtId="0" fontId="19" fillId="0" borderId="0" xfId="0" applyFont="1"/>
    <xf numFmtId="9" fontId="12" fillId="0" borderId="0" xfId="0" applyNumberFormat="1" applyFont="1"/>
    <xf numFmtId="0" fontId="31" fillId="0" borderId="0" xfId="0" applyFont="1"/>
    <xf numFmtId="0" fontId="5" fillId="0" borderId="0" xfId="0" applyFont="1"/>
    <xf numFmtId="166" fontId="5" fillId="0" borderId="0" xfId="0" applyNumberFormat="1" applyFont="1"/>
    <xf numFmtId="0" fontId="1" fillId="0" borderId="0" xfId="4" applyAlignment="1">
      <alignment horizontal="center" wrapText="1"/>
    </xf>
    <xf numFmtId="180" fontId="1" fillId="10" borderId="0" xfId="4" applyNumberFormat="1" applyFill="1"/>
    <xf numFmtId="176" fontId="26" fillId="10" borderId="0" xfId="0" applyNumberFormat="1" applyFont="1" applyFill="1" applyAlignment="1">
      <alignment horizontal="left" vertical="top"/>
    </xf>
    <xf numFmtId="0" fontId="26" fillId="10" borderId="0" xfId="0" applyFont="1" applyFill="1" applyAlignment="1">
      <alignment vertical="top"/>
    </xf>
    <xf numFmtId="0" fontId="8" fillId="10" borderId="0" xfId="4" applyFont="1" applyFill="1" applyAlignment="1">
      <alignment horizontal="left"/>
    </xf>
    <xf numFmtId="1" fontId="7" fillId="10" borderId="0" xfId="5" applyNumberFormat="1" applyFont="1" applyFill="1" applyAlignment="1">
      <alignment horizontal="left" vertical="center"/>
    </xf>
    <xf numFmtId="1" fontId="7" fillId="10" borderId="0" xfId="5" applyNumberFormat="1" applyFont="1" applyFill="1" applyAlignment="1">
      <alignment horizontal="left"/>
    </xf>
    <xf numFmtId="0" fontId="33" fillId="0" borderId="0" xfId="0" applyFont="1"/>
    <xf numFmtId="9" fontId="33" fillId="0" borderId="0" xfId="0" applyNumberFormat="1" applyFont="1"/>
    <xf numFmtId="43" fontId="33" fillId="0" borderId="0" xfId="1" applyFont="1"/>
    <xf numFmtId="0" fontId="33" fillId="0" borderId="0" xfId="0" applyFont="1" applyAlignment="1">
      <alignment horizontal="center" wrapText="1"/>
    </xf>
    <xf numFmtId="0" fontId="34" fillId="0" borderId="0" xfId="0" applyFont="1" applyAlignment="1">
      <alignment horizontal="center" wrapText="1"/>
    </xf>
    <xf numFmtId="9" fontId="7" fillId="0" borderId="0" xfId="5" applyNumberFormat="1" applyFont="1" applyAlignment="1">
      <alignment wrapText="1"/>
    </xf>
    <xf numFmtId="1" fontId="7" fillId="10" borderId="0" xfId="5" applyNumberFormat="1" applyFont="1" applyFill="1"/>
    <xf numFmtId="0" fontId="6" fillId="0" borderId="0" xfId="5" applyFont="1" applyAlignment="1">
      <alignment horizontal="right" wrapText="1"/>
    </xf>
    <xf numFmtId="0" fontId="6" fillId="0" borderId="0" xfId="5" applyFont="1" applyAlignment="1">
      <alignment horizontal="right"/>
    </xf>
    <xf numFmtId="44" fontId="6" fillId="0" borderId="0" xfId="2" applyFont="1"/>
    <xf numFmtId="170" fontId="6" fillId="0" borderId="0" xfId="6" applyNumberFormat="1" applyFont="1"/>
    <xf numFmtId="1" fontId="6" fillId="0" borderId="0" xfId="6" applyNumberFormat="1" applyFont="1"/>
    <xf numFmtId="2" fontId="6" fillId="0" borderId="0" xfId="6" applyNumberFormat="1" applyFont="1"/>
    <xf numFmtId="170" fontId="6" fillId="0" borderId="0" xfId="1" applyNumberFormat="1" applyFont="1"/>
    <xf numFmtId="10" fontId="7" fillId="0" borderId="0" xfId="6" applyNumberFormat="1" applyFont="1"/>
    <xf numFmtId="44" fontId="7" fillId="0" borderId="0" xfId="2" applyFont="1" applyAlignment="1">
      <alignment wrapText="1"/>
    </xf>
    <xf numFmtId="2" fontId="7" fillId="0" borderId="0" xfId="6" applyNumberFormat="1" applyFont="1"/>
    <xf numFmtId="2" fontId="7" fillId="10" borderId="0" xfId="5" applyNumberFormat="1" applyFont="1" applyFill="1"/>
    <xf numFmtId="10" fontId="7" fillId="0" borderId="0" xfId="3" applyNumberFormat="1" applyFont="1"/>
    <xf numFmtId="178" fontId="26" fillId="0" borderId="0" xfId="0" applyNumberFormat="1" applyFont="1" applyAlignment="1">
      <alignment horizontal="left" vertical="top"/>
    </xf>
    <xf numFmtId="0" fontId="27" fillId="10" borderId="0" xfId="0" applyFont="1" applyFill="1" applyAlignment="1">
      <alignment vertical="top"/>
    </xf>
    <xf numFmtId="0" fontId="27" fillId="10" borderId="0" xfId="0" applyFont="1" applyFill="1" applyAlignment="1">
      <alignment horizontal="left" vertical="top"/>
    </xf>
    <xf numFmtId="178" fontId="27" fillId="10" borderId="0" xfId="0" applyNumberFormat="1" applyFont="1" applyFill="1" applyAlignment="1">
      <alignment horizontal="left" vertical="top"/>
    </xf>
    <xf numFmtId="176" fontId="27" fillId="10" borderId="0" xfId="0" applyNumberFormat="1" applyFont="1" applyFill="1" applyAlignment="1">
      <alignment horizontal="left" vertical="top"/>
    </xf>
    <xf numFmtId="179" fontId="27" fillId="10" borderId="0" xfId="0" applyNumberFormat="1" applyFont="1" applyFill="1" applyAlignment="1">
      <alignment horizontal="left" vertical="top"/>
    </xf>
    <xf numFmtId="0" fontId="7" fillId="10" borderId="0" xfId="1" applyNumberFormat="1" applyFont="1" applyFill="1"/>
    <xf numFmtId="0" fontId="7" fillId="10" borderId="0" xfId="2" applyNumberFormat="1" applyFont="1" applyFill="1"/>
    <xf numFmtId="43" fontId="1" fillId="10" borderId="0" xfId="4" applyNumberFormat="1" applyFill="1"/>
    <xf numFmtId="173" fontId="1" fillId="10" borderId="0" xfId="1" applyNumberFormat="1" applyFont="1" applyFill="1"/>
    <xf numFmtId="0" fontId="1" fillId="10" borderId="0" xfId="1" applyNumberFormat="1" applyFont="1" applyFill="1"/>
    <xf numFmtId="43" fontId="3" fillId="10" borderId="0" xfId="4" applyNumberFormat="1" applyFont="1" applyFill="1"/>
    <xf numFmtId="44" fontId="7" fillId="10" borderId="0" xfId="2" applyFont="1" applyFill="1"/>
    <xf numFmtId="0" fontId="4" fillId="0" borderId="0" xfId="0" applyFont="1" applyAlignment="1">
      <alignment horizontal="center" wrapText="1"/>
    </xf>
    <xf numFmtId="1" fontId="12" fillId="10" borderId="0" xfId="5" applyNumberFormat="1" applyFont="1" applyFill="1"/>
    <xf numFmtId="180" fontId="12" fillId="10" borderId="0" xfId="2" applyNumberFormat="1" applyFont="1" applyFill="1" applyAlignment="1">
      <alignment wrapText="1"/>
    </xf>
    <xf numFmtId="1" fontId="12" fillId="10" borderId="0" xfId="5" applyNumberFormat="1" applyFont="1" applyFill="1" applyAlignment="1">
      <alignment wrapText="1"/>
    </xf>
    <xf numFmtId="1" fontId="19" fillId="10" borderId="0" xfId="5" applyNumberFormat="1" applyFont="1" applyFill="1"/>
    <xf numFmtId="1" fontId="19" fillId="10" borderId="0" xfId="5" applyNumberFormat="1" applyFont="1" applyFill="1" applyAlignment="1">
      <alignment wrapText="1"/>
    </xf>
    <xf numFmtId="0" fontId="19" fillId="10" borderId="0" xfId="5" applyFont="1" applyFill="1"/>
    <xf numFmtId="0" fontId="19" fillId="0" borderId="0" xfId="5" applyFont="1" applyAlignment="1">
      <alignment horizontal="right" wrapText="1"/>
    </xf>
    <xf numFmtId="1" fontId="19" fillId="0" borderId="0" xfId="5" applyNumberFormat="1" applyFont="1"/>
    <xf numFmtId="44" fontId="12" fillId="10" borderId="0" xfId="2" applyFont="1" applyFill="1"/>
    <xf numFmtId="0" fontId="12" fillId="10" borderId="0" xfId="5" applyFont="1" applyFill="1" applyAlignment="1">
      <alignment horizontal="left"/>
    </xf>
    <xf numFmtId="9" fontId="12" fillId="10" borderId="0" xfId="3" applyFont="1" applyFill="1"/>
    <xf numFmtId="0" fontId="12" fillId="4" borderId="0" xfId="2" applyNumberFormat="1" applyFont="1" applyFill="1"/>
    <xf numFmtId="0" fontId="7" fillId="0" borderId="0" xfId="3" applyNumberFormat="1" applyFont="1"/>
    <xf numFmtId="0" fontId="36" fillId="0" borderId="0" xfId="5" applyFont="1"/>
    <xf numFmtId="166" fontId="7" fillId="0" borderId="0" xfId="5" applyNumberFormat="1" applyFont="1"/>
    <xf numFmtId="170" fontId="1" fillId="10" borderId="0" xfId="1" applyNumberFormat="1" applyFill="1"/>
    <xf numFmtId="170" fontId="1" fillId="10" borderId="0" xfId="4" applyNumberFormat="1" applyFill="1"/>
    <xf numFmtId="44" fontId="1" fillId="0" borderId="0" xfId="2"/>
    <xf numFmtId="0" fontId="1" fillId="18" borderId="0" xfId="4" applyFill="1"/>
    <xf numFmtId="0" fontId="7" fillId="3" borderId="0" xfId="3" applyNumberFormat="1" applyFont="1" applyFill="1" applyAlignment="1">
      <alignment horizontal="center"/>
    </xf>
    <xf numFmtId="10" fontId="6" fillId="2" borderId="0" xfId="3" applyNumberFormat="1" applyFont="1" applyFill="1" applyAlignment="1">
      <alignment horizontal="center"/>
    </xf>
    <xf numFmtId="2" fontId="6" fillId="2" borderId="0" xfId="3" applyNumberFormat="1" applyFont="1" applyFill="1" applyAlignment="1">
      <alignment horizontal="center"/>
    </xf>
    <xf numFmtId="10" fontId="1" fillId="6" borderId="0" xfId="3" applyNumberFormat="1" applyFill="1"/>
    <xf numFmtId="173" fontId="6" fillId="2" borderId="0" xfId="5" applyNumberFormat="1" applyFont="1" applyFill="1"/>
    <xf numFmtId="10" fontId="6" fillId="2" borderId="0" xfId="3" applyNumberFormat="1" applyFont="1" applyFill="1"/>
    <xf numFmtId="0" fontId="7" fillId="3" borderId="0" xfId="8" applyNumberFormat="1" applyFont="1" applyFill="1" applyAlignment="1">
      <alignment horizontal="center"/>
    </xf>
    <xf numFmtId="164" fontId="1" fillId="6" borderId="0" xfId="2" applyNumberFormat="1" applyFill="1"/>
    <xf numFmtId="44" fontId="1" fillId="10" borderId="17" xfId="4" applyNumberFormat="1" applyFill="1" applyBorder="1"/>
    <xf numFmtId="44" fontId="1" fillId="10" borderId="15" xfId="4" applyNumberFormat="1" applyFill="1" applyBorder="1"/>
    <xf numFmtId="9" fontId="12" fillId="10" borderId="1" xfId="3" applyFont="1" applyFill="1" applyBorder="1"/>
    <xf numFmtId="0" fontId="8" fillId="3" borderId="0" xfId="0" applyFont="1" applyFill="1" applyAlignment="1">
      <alignment horizontal="left"/>
    </xf>
    <xf numFmtId="181" fontId="26" fillId="10" borderId="0" xfId="0" applyNumberFormat="1" applyFont="1" applyFill="1" applyAlignment="1">
      <alignment horizontal="left" vertical="top"/>
    </xf>
    <xf numFmtId="182" fontId="26" fillId="10" borderId="0" xfId="0" applyNumberFormat="1" applyFont="1" applyFill="1" applyAlignment="1">
      <alignment horizontal="left" vertical="top"/>
    </xf>
    <xf numFmtId="166" fontId="7" fillId="10" borderId="0" xfId="5" applyNumberFormat="1" applyFont="1" applyFill="1"/>
    <xf numFmtId="0" fontId="1" fillId="6" borderId="0" xfId="4" quotePrefix="1" applyFill="1"/>
    <xf numFmtId="167" fontId="6" fillId="2" borderId="0" xfId="3" applyNumberFormat="1" applyFont="1" applyFill="1" applyAlignment="1">
      <alignment horizontal="center"/>
    </xf>
    <xf numFmtId="183" fontId="12" fillId="10" borderId="0" xfId="5" applyNumberFormat="1" applyFont="1" applyFill="1"/>
    <xf numFmtId="43" fontId="12" fillId="10" borderId="0" xfId="12" applyFont="1" applyFill="1" applyAlignment="1">
      <alignment wrapText="1"/>
    </xf>
    <xf numFmtId="43" fontId="12" fillId="10" borderId="1" xfId="12" applyFont="1" applyFill="1" applyBorder="1" applyAlignment="1">
      <alignment wrapText="1"/>
    </xf>
    <xf numFmtId="2" fontId="12" fillId="10" borderId="15" xfId="11" applyNumberFormat="1" applyFont="1" applyFill="1" applyBorder="1"/>
    <xf numFmtId="166" fontId="12" fillId="10" borderId="0" xfId="5" applyNumberFormat="1" applyFont="1" applyFill="1"/>
    <xf numFmtId="173" fontId="12" fillId="10" borderId="17" xfId="5" applyNumberFormat="1" applyFont="1" applyFill="1" applyBorder="1"/>
    <xf numFmtId="173" fontId="12" fillId="10" borderId="15" xfId="5" applyNumberFormat="1" applyFont="1" applyFill="1" applyBorder="1"/>
    <xf numFmtId="0" fontId="3" fillId="10" borderId="23" xfId="4" applyFont="1" applyFill="1" applyBorder="1"/>
    <xf numFmtId="2" fontId="12" fillId="10" borderId="22" xfId="5" applyNumberFormat="1" applyFont="1" applyFill="1" applyBorder="1"/>
    <xf numFmtId="2" fontId="12" fillId="10" borderId="21" xfId="5" applyNumberFormat="1" applyFont="1" applyFill="1" applyBorder="1"/>
    <xf numFmtId="170" fontId="3" fillId="10" borderId="0" xfId="1" applyNumberFormat="1" applyFont="1" applyFill="1"/>
    <xf numFmtId="9" fontId="12" fillId="10" borderId="0" xfId="5" applyNumberFormat="1" applyFont="1" applyFill="1"/>
    <xf numFmtId="0" fontId="25" fillId="10" borderId="0" xfId="13" applyFont="1" applyFill="1" applyAlignment="1">
      <alignment horizontal="center" vertical="top"/>
    </xf>
    <xf numFmtId="0" fontId="19" fillId="10" borderId="0" xfId="5" applyFont="1" applyFill="1" applyAlignment="1">
      <alignment horizontal="center"/>
    </xf>
    <xf numFmtId="0" fontId="1" fillId="0" borderId="0" xfId="3" applyNumberFormat="1" applyFont="1"/>
    <xf numFmtId="2" fontId="26" fillId="10" borderId="0" xfId="0" applyNumberFormat="1" applyFont="1" applyFill="1" applyAlignment="1">
      <alignment vertical="top"/>
    </xf>
    <xf numFmtId="166" fontId="6" fillId="2" borderId="0" xfId="5" applyNumberFormat="1" applyFont="1" applyFill="1"/>
    <xf numFmtId="2" fontId="12" fillId="10" borderId="0" xfId="0" applyNumberFormat="1" applyFont="1" applyFill="1"/>
    <xf numFmtId="2" fontId="7" fillId="10" borderId="0" xfId="0" applyNumberFormat="1" applyFont="1" applyFill="1"/>
    <xf numFmtId="49" fontId="7" fillId="0" borderId="0" xfId="0" applyNumberFormat="1" applyFont="1"/>
    <xf numFmtId="49" fontId="7" fillId="10" borderId="0" xfId="0" applyNumberFormat="1" applyFont="1" applyFill="1"/>
    <xf numFmtId="166" fontId="1" fillId="10" borderId="0" xfId="4" applyNumberFormat="1" applyFill="1"/>
    <xf numFmtId="10" fontId="6" fillId="0" borderId="0" xfId="3" applyNumberFormat="1" applyFont="1"/>
    <xf numFmtId="0" fontId="7" fillId="19" borderId="0" xfId="0" applyFont="1" applyFill="1"/>
    <xf numFmtId="2" fontId="3" fillId="0" borderId="0" xfId="4" applyNumberFormat="1" applyFont="1"/>
    <xf numFmtId="44" fontId="3" fillId="10" borderId="0" xfId="2" applyFont="1" applyFill="1" applyAlignment="1">
      <alignment horizontal="right"/>
    </xf>
    <xf numFmtId="0" fontId="1" fillId="10" borderId="0" xfId="4" applyFill="1" applyAlignment="1">
      <alignment vertical="center"/>
    </xf>
    <xf numFmtId="44" fontId="7" fillId="0" borderId="0" xfId="2" applyFont="1"/>
    <xf numFmtId="0" fontId="7" fillId="0" borderId="0" xfId="2" applyNumberFormat="1" applyFont="1"/>
    <xf numFmtId="173" fontId="6" fillId="0" borderId="0" xfId="5" applyNumberFormat="1" applyFont="1"/>
    <xf numFmtId="44" fontId="1" fillId="10" borderId="0" xfId="2" applyFont="1" applyFill="1"/>
    <xf numFmtId="44" fontId="3" fillId="0" borderId="0" xfId="2" applyFont="1"/>
    <xf numFmtId="0" fontId="16" fillId="10" borderId="0" xfId="10" applyFill="1"/>
    <xf numFmtId="2" fontId="1" fillId="10" borderId="18" xfId="4" applyNumberFormat="1" applyFill="1" applyBorder="1"/>
    <xf numFmtId="0" fontId="12" fillId="10" borderId="1" xfId="11" applyNumberFormat="1" applyFont="1" applyFill="1" applyBorder="1" applyAlignment="1">
      <alignment wrapText="1"/>
    </xf>
    <xf numFmtId="43" fontId="12" fillId="0" borderId="0" xfId="11" applyNumberFormat="1" applyFont="1" applyAlignment="1">
      <alignment wrapText="1"/>
    </xf>
    <xf numFmtId="1" fontId="12" fillId="10" borderId="1" xfId="5" applyNumberFormat="1" applyFont="1" applyFill="1" applyBorder="1"/>
    <xf numFmtId="173" fontId="7" fillId="10" borderId="0" xfId="0" applyNumberFormat="1" applyFont="1" applyFill="1"/>
    <xf numFmtId="0" fontId="3" fillId="0" borderId="0" xfId="17" applyNumberFormat="1" applyFont="1" applyFill="1" applyBorder="1"/>
    <xf numFmtId="9" fontId="8" fillId="0" borderId="0" xfId="3" applyFont="1" applyFill="1" applyBorder="1"/>
    <xf numFmtId="44" fontId="1" fillId="0" borderId="0" xfId="2" applyFont="1" applyFill="1" applyBorder="1" applyAlignment="1">
      <alignment horizontal="center"/>
    </xf>
    <xf numFmtId="2" fontId="7" fillId="0" borderId="0" xfId="5" applyNumberFormat="1" applyFont="1" applyAlignment="1">
      <alignment horizontal="center"/>
    </xf>
    <xf numFmtId="44" fontId="7" fillId="0" borderId="0" xfId="2" applyFont="1" applyFill="1" applyBorder="1" applyAlignment="1">
      <alignment horizontal="center"/>
    </xf>
    <xf numFmtId="2" fontId="6" fillId="0" borderId="0" xfId="5" applyNumberFormat="1" applyFont="1" applyAlignment="1">
      <alignment horizontal="left"/>
    </xf>
    <xf numFmtId="0" fontId="7" fillId="0" borderId="0" xfId="5" applyFont="1" applyAlignment="1">
      <alignment vertical="top"/>
    </xf>
    <xf numFmtId="0" fontId="7" fillId="0" borderId="0" xfId="5" applyFont="1" applyAlignment="1">
      <alignment vertical="top" wrapText="1"/>
    </xf>
    <xf numFmtId="0" fontId="6" fillId="0" borderId="0" xfId="5" applyFont="1" applyAlignment="1">
      <alignment vertical="top"/>
    </xf>
    <xf numFmtId="43" fontId="7" fillId="0" borderId="0" xfId="1" applyFont="1" applyFill="1" applyBorder="1" applyAlignment="1">
      <alignment horizontal="center" vertical="top"/>
    </xf>
    <xf numFmtId="0" fontId="6" fillId="0" borderId="0" xfId="5" applyFont="1" applyAlignment="1">
      <alignment horizontal="center" vertical="top" wrapText="1"/>
    </xf>
    <xf numFmtId="0" fontId="6" fillId="0" borderId="0" xfId="5" applyFont="1" applyAlignment="1">
      <alignment horizontal="center" vertical="top"/>
    </xf>
    <xf numFmtId="167" fontId="7" fillId="0" borderId="0" xfId="3" applyNumberFormat="1" applyFont="1" applyFill="1" applyBorder="1" applyAlignment="1">
      <alignment horizontal="center" vertical="top" wrapText="1"/>
    </xf>
    <xf numFmtId="43" fontId="7" fillId="0" borderId="0" xfId="1" applyFont="1" applyFill="1" applyBorder="1" applyAlignment="1">
      <alignment horizontal="center"/>
    </xf>
    <xf numFmtId="167" fontId="1" fillId="0" borderId="0" xfId="3" applyNumberFormat="1" applyFont="1" applyFill="1" applyBorder="1" applyAlignment="1">
      <alignment horizontal="center"/>
    </xf>
    <xf numFmtId="43" fontId="8" fillId="0" borderId="0" xfId="1" applyFont="1" applyFill="1" applyBorder="1" applyAlignment="1">
      <alignment horizontal="center"/>
    </xf>
    <xf numFmtId="167" fontId="8" fillId="0" borderId="0" xfId="3" applyNumberFormat="1" applyFont="1" applyFill="1" applyBorder="1" applyAlignment="1">
      <alignment horizontal="center"/>
    </xf>
    <xf numFmtId="0" fontId="8" fillId="0" borderId="0" xfId="0" applyFont="1" applyAlignment="1">
      <alignment horizontal="right"/>
    </xf>
    <xf numFmtId="0" fontId="9" fillId="0" borderId="0" xfId="0" applyFont="1"/>
    <xf numFmtId="0" fontId="9" fillId="0" borderId="0" xfId="0" applyFont="1" applyAlignment="1">
      <alignment horizontal="right"/>
    </xf>
    <xf numFmtId="9" fontId="8" fillId="0" borderId="0" xfId="3" applyFont="1" applyFill="1" applyBorder="1" applyAlignment="1">
      <alignment horizontal="center"/>
    </xf>
    <xf numFmtId="1" fontId="8" fillId="0" borderId="0" xfId="0" applyNumberFormat="1" applyFont="1" applyAlignment="1">
      <alignment horizontal="center"/>
    </xf>
    <xf numFmtId="44" fontId="6" fillId="0" borderId="0" xfId="2" applyFont="1" applyFill="1" applyBorder="1" applyAlignment="1">
      <alignment horizontal="center"/>
    </xf>
    <xf numFmtId="44" fontId="9" fillId="0" borderId="0" xfId="2" applyFont="1" applyFill="1" applyBorder="1" applyAlignment="1">
      <alignment horizontal="center"/>
    </xf>
    <xf numFmtId="0" fontId="7" fillId="0" borderId="0" xfId="5" applyFont="1" applyAlignment="1">
      <alignment vertical="center"/>
    </xf>
    <xf numFmtId="2" fontId="7" fillId="0" borderId="0" xfId="5" applyNumberFormat="1" applyFont="1" applyAlignment="1">
      <alignment horizontal="right"/>
    </xf>
    <xf numFmtId="43" fontId="7" fillId="0" borderId="0" xfId="5" applyNumberFormat="1" applyFont="1" applyAlignment="1">
      <alignment horizontal="center"/>
    </xf>
    <xf numFmtId="43" fontId="6" fillId="0" borderId="0" xfId="5" applyNumberFormat="1" applyFont="1" applyAlignment="1">
      <alignment horizontal="center"/>
    </xf>
    <xf numFmtId="44" fontId="6" fillId="0" borderId="0" xfId="5" applyNumberFormat="1" applyFont="1" applyAlignment="1">
      <alignment horizontal="center"/>
    </xf>
    <xf numFmtId="164" fontId="7" fillId="0" borderId="0" xfId="5" applyNumberFormat="1" applyFont="1" applyAlignment="1">
      <alignment horizontal="center"/>
    </xf>
    <xf numFmtId="9" fontId="7" fillId="0" borderId="0" xfId="3" applyFont="1" applyFill="1" applyBorder="1" applyAlignment="1"/>
    <xf numFmtId="2" fontId="7" fillId="0" borderId="0" xfId="5" applyNumberFormat="1" applyFont="1" applyAlignment="1">
      <alignment vertical="center"/>
    </xf>
    <xf numFmtId="166" fontId="6" fillId="0" borderId="0" xfId="5" applyNumberFormat="1" applyFont="1" applyAlignment="1">
      <alignment horizontal="center"/>
    </xf>
    <xf numFmtId="165" fontId="6" fillId="0" borderId="0" xfId="5" applyNumberFormat="1" applyFont="1" applyAlignment="1">
      <alignment horizontal="center"/>
    </xf>
    <xf numFmtId="164" fontId="6" fillId="0" borderId="0" xfId="5" applyNumberFormat="1" applyFont="1" applyAlignment="1">
      <alignment horizontal="center"/>
    </xf>
    <xf numFmtId="0" fontId="9" fillId="0" borderId="0" xfId="0" applyFont="1" applyAlignment="1">
      <alignment horizontal="center"/>
    </xf>
    <xf numFmtId="0" fontId="9" fillId="3" borderId="0" xfId="0" applyFont="1" applyFill="1" applyAlignment="1">
      <alignment horizontal="center"/>
    </xf>
    <xf numFmtId="0" fontId="6" fillId="3" borderId="0" xfId="5" applyFont="1" applyFill="1" applyAlignment="1">
      <alignment horizontal="center" wrapText="1"/>
    </xf>
    <xf numFmtId="0" fontId="6" fillId="10" borderId="11" xfId="5" applyFont="1" applyFill="1" applyBorder="1" applyAlignment="1">
      <alignment horizontal="center"/>
    </xf>
    <xf numFmtId="0" fontId="6" fillId="10" borderId="8" xfId="5" applyFont="1" applyFill="1" applyBorder="1" applyAlignment="1">
      <alignment horizontal="center"/>
    </xf>
    <xf numFmtId="0" fontId="6" fillId="10" borderId="9" xfId="5" applyFont="1" applyFill="1" applyBorder="1" applyAlignment="1">
      <alignment horizontal="center"/>
    </xf>
    <xf numFmtId="0" fontId="6" fillId="10" borderId="7" xfId="5" applyFont="1" applyFill="1" applyBorder="1" applyAlignment="1">
      <alignment horizontal="center"/>
    </xf>
    <xf numFmtId="0" fontId="6" fillId="10" borderId="4" xfId="5" applyFont="1" applyFill="1" applyBorder="1" applyAlignment="1">
      <alignment horizontal="center"/>
    </xf>
    <xf numFmtId="0" fontId="6" fillId="10" borderId="14" xfId="5" applyFont="1" applyFill="1" applyBorder="1" applyAlignment="1">
      <alignment horizontal="center"/>
    </xf>
    <xf numFmtId="0" fontId="6" fillId="10" borderId="12" xfId="5" applyFont="1" applyFill="1" applyBorder="1" applyAlignment="1">
      <alignment horizontal="center"/>
    </xf>
    <xf numFmtId="0" fontId="9" fillId="10" borderId="13" xfId="4" applyFont="1" applyFill="1" applyBorder="1" applyAlignment="1">
      <alignment horizontal="center"/>
    </xf>
    <xf numFmtId="0" fontId="6" fillId="10" borderId="13" xfId="5" applyFont="1" applyFill="1" applyBorder="1" applyAlignment="1">
      <alignment horizontal="center"/>
    </xf>
    <xf numFmtId="0" fontId="6" fillId="10" borderId="6" xfId="5" applyFont="1" applyFill="1" applyBorder="1" applyAlignment="1">
      <alignment horizontal="center"/>
    </xf>
    <xf numFmtId="0" fontId="6" fillId="10" borderId="10" xfId="5" applyFont="1" applyFill="1" applyBorder="1" applyAlignment="1">
      <alignment horizontal="center"/>
    </xf>
    <xf numFmtId="0" fontId="6" fillId="10" borderId="5" xfId="5" applyFont="1" applyFill="1" applyBorder="1" applyAlignment="1">
      <alignment horizontal="center"/>
    </xf>
    <xf numFmtId="0" fontId="3" fillId="10" borderId="0" xfId="4" applyFont="1" applyFill="1" applyAlignment="1">
      <alignment horizontal="center"/>
    </xf>
    <xf numFmtId="0" fontId="3" fillId="10" borderId="0" xfId="4" applyFont="1" applyFill="1" applyAlignment="1">
      <alignment horizontal="center" vertical="center"/>
    </xf>
    <xf numFmtId="0" fontId="1" fillId="10" borderId="0" xfId="4" applyFill="1" applyAlignment="1">
      <alignment horizontal="center" vertical="center"/>
    </xf>
    <xf numFmtId="0" fontId="1" fillId="10" borderId="0" xfId="4" applyFill="1" applyAlignment="1">
      <alignment horizontal="center"/>
    </xf>
    <xf numFmtId="0" fontId="6" fillId="3" borderId="0" xfId="5" applyFont="1" applyFill="1" applyAlignment="1">
      <alignment horizontal="center"/>
    </xf>
    <xf numFmtId="0" fontId="3" fillId="10" borderId="0" xfId="0" applyFont="1" applyFill="1" applyAlignment="1">
      <alignment horizontal="center"/>
    </xf>
    <xf numFmtId="0" fontId="19" fillId="10" borderId="0" xfId="0" applyFont="1" applyFill="1" applyAlignment="1">
      <alignment horizontal="center"/>
    </xf>
    <xf numFmtId="0" fontId="3" fillId="10" borderId="0" xfId="0" applyFont="1" applyFill="1" applyAlignment="1">
      <alignment horizontal="center" vertical="center" wrapText="1"/>
    </xf>
    <xf numFmtId="0" fontId="3" fillId="10" borderId="0" xfId="4" applyFont="1" applyFill="1" applyAlignment="1">
      <alignment horizontal="center" vertical="center" wrapText="1"/>
    </xf>
    <xf numFmtId="0" fontId="3" fillId="10" borderId="27" xfId="4" applyFont="1" applyFill="1" applyBorder="1" applyAlignment="1">
      <alignment horizontal="center"/>
    </xf>
    <xf numFmtId="0" fontId="3" fillId="10" borderId="26" xfId="4" applyFont="1" applyFill="1" applyBorder="1" applyAlignment="1">
      <alignment horizontal="center"/>
    </xf>
    <xf numFmtId="0" fontId="3" fillId="10" borderId="25" xfId="4" applyFont="1" applyFill="1" applyBorder="1" applyAlignment="1">
      <alignment horizontal="center"/>
    </xf>
    <xf numFmtId="0" fontId="1" fillId="0" borderId="0" xfId="4" applyAlignment="1">
      <alignment horizontal="center" wrapText="1"/>
    </xf>
    <xf numFmtId="0" fontId="3" fillId="10" borderId="14" xfId="16" applyFont="1" applyFill="1" applyBorder="1" applyAlignment="1">
      <alignment horizontal="center"/>
    </xf>
    <xf numFmtId="0" fontId="3" fillId="10" borderId="24" xfId="16" applyFont="1" applyFill="1" applyBorder="1" applyAlignment="1">
      <alignment horizontal="center"/>
    </xf>
    <xf numFmtId="0" fontId="3" fillId="10" borderId="12" xfId="16" applyFont="1" applyFill="1" applyBorder="1" applyAlignment="1">
      <alignment horizontal="center"/>
    </xf>
    <xf numFmtId="0" fontId="3" fillId="10" borderId="13" xfId="0" applyFont="1" applyFill="1" applyBorder="1" applyAlignment="1">
      <alignment horizontal="center" vertical="center" wrapText="1"/>
    </xf>
    <xf numFmtId="0" fontId="3" fillId="10" borderId="13" xfId="16" applyFont="1" applyFill="1" applyBorder="1" applyAlignment="1">
      <alignment horizontal="center" vertical="center"/>
    </xf>
    <xf numFmtId="0" fontId="3" fillId="10" borderId="13" xfId="16" applyFont="1" applyFill="1" applyBorder="1" applyAlignment="1">
      <alignment horizontal="center" vertical="center" wrapText="1"/>
    </xf>
    <xf numFmtId="0" fontId="3" fillId="10" borderId="13" xfId="16" applyFont="1" applyFill="1" applyBorder="1" applyAlignment="1">
      <alignment horizontal="center" wrapText="1"/>
    </xf>
    <xf numFmtId="0" fontId="3" fillId="10" borderId="13" xfId="0" applyFont="1" applyFill="1" applyBorder="1" applyAlignment="1">
      <alignment horizontal="center" wrapText="1"/>
    </xf>
    <xf numFmtId="0" fontId="3" fillId="10" borderId="0" xfId="16" applyFont="1" applyFill="1" applyAlignment="1">
      <alignment horizontal="center"/>
    </xf>
    <xf numFmtId="0" fontId="0" fillId="10" borderId="0" xfId="0" applyFill="1" applyAlignment="1">
      <alignment horizontal="center" vertical="center" wrapText="1"/>
    </xf>
    <xf numFmtId="0" fontId="0" fillId="10" borderId="5" xfId="0" applyFill="1" applyBorder="1" applyAlignment="1">
      <alignment horizontal="center" vertical="center" wrapText="1"/>
    </xf>
  </cellXfs>
  <cellStyles count="23">
    <cellStyle name="Comma" xfId="1" builtinId="3"/>
    <cellStyle name="Comma 10 2" xfId="17" xr:uid="{3A880538-7AE9-486A-A292-7B5E8811B3A4}"/>
    <cellStyle name="Comma 14" xfId="7" xr:uid="{2B590A72-55CD-4BE5-87C8-53B905C8061D}"/>
    <cellStyle name="Comma 14 6" xfId="12" xr:uid="{6A6D1F95-EBA4-45CB-AC44-395C9DDE5DA2}"/>
    <cellStyle name="Comma 19" xfId="22" xr:uid="{B40933D3-236C-4FE7-815C-399CBDBDC149}"/>
    <cellStyle name="Currency" xfId="2" builtinId="4"/>
    <cellStyle name="Currency 11" xfId="8" xr:uid="{6A12B803-3534-462B-8DB3-5C5C63950C79}"/>
    <cellStyle name="Currency 2 2 2" xfId="20" xr:uid="{7F56DDA8-395A-4ECE-B0C1-0E4677E9559A}"/>
    <cellStyle name="Hyperlink" xfId="10" builtinId="8"/>
    <cellStyle name="Hyperlink 2 3" xfId="21" xr:uid="{41FB815A-337E-4CD5-994F-CF9338CD266D}"/>
    <cellStyle name="Normal" xfId="0" builtinId="0"/>
    <cellStyle name="Normal 10 3" xfId="18" xr:uid="{D053C5F8-D1FD-4AC0-847C-0A1A6EB1C485}"/>
    <cellStyle name="Normal 2 10" xfId="5" xr:uid="{46B7F88A-A5A0-416D-AB30-60051297A023}"/>
    <cellStyle name="Normal 2 2 5" xfId="9" xr:uid="{4991C4FA-7BDC-4590-9D78-384157BB20C0}"/>
    <cellStyle name="Normal 2 2 5 6" xfId="13" xr:uid="{5D23B608-B339-49B6-95B5-D70573FCB558}"/>
    <cellStyle name="Normal 43 2" xfId="4" xr:uid="{7D971DB5-FD57-4017-A5C5-B56E0F93A5F4}"/>
    <cellStyle name="Normal 43 2 2" xfId="16" xr:uid="{922C87EB-8129-4FD6-A407-A82834E744B4}"/>
    <cellStyle name="Normal 43 2 3" xfId="14" xr:uid="{26737F22-AFBD-4095-A48E-A805C1ADA8C7}"/>
    <cellStyle name="Percent" xfId="3" builtinId="5"/>
    <cellStyle name="Percent 14" xfId="6" xr:uid="{69DA5C34-3ABC-4998-932C-D9327DC1987C}"/>
    <cellStyle name="Percent 14 7" xfId="11" xr:uid="{26F7EFD9-9165-4F47-A5B7-A8DF365DCDB4}"/>
    <cellStyle name="Percent 2" xfId="15" xr:uid="{5E865BAE-524D-494A-9CEB-495E99FBA361}"/>
    <cellStyle name="Percent 2 2 2" xfId="19" xr:uid="{EDD24453-C04A-4635-BEC1-087667CEC1C9}"/>
  </cellStyles>
  <dxfs count="0"/>
  <tableStyles count="0" defaultTableStyle="TableStyleMedium2" defaultPivotStyle="PivotStyleLight16"/>
  <colors>
    <mruColors>
      <color rgb="FF00FFFF"/>
      <color rgb="FFFFFF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microsoft.com/office/2017/10/relationships/person" Target="persons/person.xml"/><Relationship Id="rId16" Type="http://schemas.openxmlformats.org/officeDocument/2006/relationships/worksheet" Target="worksheets/sheet16.xml"/><Relationship Id="rId107"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3.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15.png"/><Relationship Id="rId4"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16.png"/><Relationship Id="rId4" Type="http://schemas.openxmlformats.org/officeDocument/2006/relationships/image" Target="../media/image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17.emf"/><Relationship Id="rId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8.png"/><Relationship Id="rId1" Type="http://schemas.openxmlformats.org/officeDocument/2006/relationships/image" Target="../media/image2.png"/><Relationship Id="rId4" Type="http://schemas.openxmlformats.org/officeDocument/2006/relationships/image" Target="../media/image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21.png"/><Relationship Id="rId4" Type="http://schemas.openxmlformats.org/officeDocument/2006/relationships/image" Target="../media/image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6109156" y="19192875"/>
          <a:ext cx="6239746" cy="31417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321469</xdr:colOff>
      <xdr:row>108</xdr:row>
      <xdr:rowOff>59532</xdr:rowOff>
    </xdr:from>
    <xdr:to>
      <xdr:col>14</xdr:col>
      <xdr:colOff>1082916</xdr:colOff>
      <xdr:row>127</xdr:row>
      <xdr:rowOff>130024</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stretch>
          <a:fillRect/>
        </a:stretch>
      </xdr:blipFill>
      <xdr:spPr>
        <a:xfrm>
          <a:off x="16037719" y="19431001"/>
          <a:ext cx="6277851" cy="3456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4040"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6</xdr:col>
      <xdr:colOff>171450</xdr:colOff>
      <xdr:row>111</xdr:row>
      <xdr:rowOff>66675</xdr:rowOff>
    </xdr:from>
    <xdr:ext cx="5144218" cy="470600"/>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768090" y="20152995"/>
          <a:ext cx="5144218" cy="470600"/>
        </a:xfrm>
        <a:prstGeom prst="rect">
          <a:avLst/>
        </a:prstGeom>
      </xdr:spPr>
    </xdr:pic>
    <xdr:clientData/>
  </xdr:oneCellAnchor>
  <xdr:oneCellAnchor>
    <xdr:from>
      <xdr:col>6</xdr:col>
      <xdr:colOff>133350</xdr:colOff>
      <xdr:row>107</xdr:row>
      <xdr:rowOff>171450</xdr:rowOff>
    </xdr:from>
    <xdr:ext cx="5182322" cy="510612"/>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3729990" y="19531965"/>
          <a:ext cx="5182322" cy="510612"/>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9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5"/>
        <a:stretch>
          <a:fillRect/>
        </a:stretch>
      </xdr:blipFill>
      <xdr:spPr>
        <a:xfrm>
          <a:off x="10336105" y="18501572"/>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98541</xdr:rowOff>
    </xdr:to>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6"/>
        <a:stretch>
          <a:fillRect/>
        </a:stretch>
      </xdr:blipFill>
      <xdr:spPr>
        <a:xfrm>
          <a:off x="14827250" y="18679585"/>
          <a:ext cx="4532489" cy="7479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879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B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5"/>
        <a:stretch>
          <a:fillRect/>
        </a:stretch>
      </xdr:blipFill>
      <xdr:spPr>
        <a:xfrm>
          <a:off x="10839448" y="18605077"/>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94731</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6"/>
        <a:stretch>
          <a:fillRect/>
        </a:stretch>
      </xdr:blipFill>
      <xdr:spPr>
        <a:xfrm>
          <a:off x="15324455" y="18784148"/>
          <a:ext cx="4533759" cy="74158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76200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62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965200</xdr:colOff>
      <xdr:row>107</xdr:row>
      <xdr:rowOff>0</xdr:rowOff>
    </xdr:from>
    <xdr:ext cx="952500" cy="0"/>
    <xdr:pic>
      <xdr:nvPicPr>
        <xdr:cNvPr id="5" name="Picture 4" descr="page100image657222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61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174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9" name="Picture 8" descr="page100image657692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10" name="Picture 9" descr="page100image162471232">
          <a:extLst>
            <a:ext uri="{FF2B5EF4-FFF2-40B4-BE49-F238E27FC236}">
              <a16:creationId xmlns:a16="http://schemas.microsoft.com/office/drawing/2014/main" id="{00000000-0008-0000-1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20320"/>
    <xdr:pic>
      <xdr:nvPicPr>
        <xdr:cNvPr id="11" name="Picture 10" descr="page100image162478144">
          <a:extLst>
            <a:ext uri="{FF2B5EF4-FFF2-40B4-BE49-F238E27FC236}">
              <a16:creationId xmlns:a16="http://schemas.microsoft.com/office/drawing/2014/main" id="{00000000-0008-0000-1C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20320" cy="20320"/>
    <xdr:pic>
      <xdr:nvPicPr>
        <xdr:cNvPr id="12" name="Picture 11" descr="page100image162475648">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107</xdr:row>
      <xdr:rowOff>0</xdr:rowOff>
    </xdr:from>
    <xdr:ext cx="6375021" cy="1320350"/>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5"/>
        <a:stretch>
          <a:fillRect/>
        </a:stretch>
      </xdr:blipFill>
      <xdr:spPr>
        <a:xfrm>
          <a:off x="4800600" y="19364325"/>
          <a:ext cx="6375021" cy="1320350"/>
        </a:xfrm>
        <a:prstGeom prst="rect">
          <a:avLst/>
        </a:prstGeom>
      </xdr:spPr>
    </xdr:pic>
    <xdr:clientData/>
  </xdr:oneCellAnchor>
  <xdr:oneCellAnchor>
    <xdr:from>
      <xdr:col>8</xdr:col>
      <xdr:colOff>0</xdr:colOff>
      <xdr:row>115</xdr:row>
      <xdr:rowOff>0</xdr:rowOff>
    </xdr:from>
    <xdr:ext cx="6506483" cy="1215560"/>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6"/>
        <a:stretch>
          <a:fillRect/>
        </a:stretch>
      </xdr:blipFill>
      <xdr:spPr>
        <a:xfrm>
          <a:off x="4800600" y="20812125"/>
          <a:ext cx="6506483" cy="121556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217170</xdr:colOff>
      <xdr:row>107</xdr:row>
      <xdr:rowOff>133350</xdr:rowOff>
    </xdr:from>
    <xdr:ext cx="4420475" cy="1995158"/>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5015865" y="19493865"/>
          <a:ext cx="4420475" cy="1995158"/>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20955</xdr:colOff>
      <xdr:row>103</xdr:row>
      <xdr:rowOff>100965</xdr:rowOff>
    </xdr:from>
    <xdr:ext cx="5932997" cy="537284"/>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4"/>
        <a:stretch>
          <a:fillRect/>
        </a:stretch>
      </xdr:blipFill>
      <xdr:spPr>
        <a:xfrm>
          <a:off x="617220" y="18737580"/>
          <a:ext cx="5932997" cy="537284"/>
        </a:xfrm>
        <a:prstGeom prst="rect">
          <a:avLst/>
        </a:prstGeom>
      </xdr:spPr>
    </xdr:pic>
    <xdr:clientData/>
  </xdr:oneCellAnchor>
  <xdr:twoCellAnchor editAs="oneCell">
    <xdr:from>
      <xdr:col>5</xdr:col>
      <xdr:colOff>287655</xdr:colOff>
      <xdr:row>103</xdr:row>
      <xdr:rowOff>57150</xdr:rowOff>
    </xdr:from>
    <xdr:to>
      <xdr:col>8</xdr:col>
      <xdr:colOff>1486736</xdr:colOff>
      <xdr:row>107</xdr:row>
      <xdr:rowOff>168457</xdr:rowOff>
    </xdr:to>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5"/>
        <a:stretch>
          <a:fillRect/>
        </a:stretch>
      </xdr:blipFill>
      <xdr:spPr>
        <a:xfrm>
          <a:off x="6764655" y="18754725"/>
          <a:ext cx="5142431" cy="83139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25574625"/>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754352">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3" name="Picture 12" descr="page100image6576256">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4" name="Picture 13" descr="page100image6572224">
          <a:extLst>
            <a:ext uri="{FF2B5EF4-FFF2-40B4-BE49-F238E27FC236}">
              <a16:creationId xmlns:a16="http://schemas.microsoft.com/office/drawing/2014/main" id="{00000000-0008-0000-2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5" name="Picture 14" descr="page100image162475648">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35934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6" name="Picture 15" descr="page100image6553712">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7" name="Picture 16" descr="page100image6674784">
          <a:extLst>
            <a:ext uri="{FF2B5EF4-FFF2-40B4-BE49-F238E27FC236}">
              <a16:creationId xmlns:a16="http://schemas.microsoft.com/office/drawing/2014/main" id="{00000000-0008-0000-2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504825</xdr:colOff>
      <xdr:row>107</xdr:row>
      <xdr:rowOff>19050</xdr:rowOff>
    </xdr:from>
    <xdr:to>
      <xdr:col>10</xdr:col>
      <xdr:colOff>720378</xdr:colOff>
      <xdr:row>109</xdr:row>
      <xdr:rowOff>98673</xdr:rowOff>
    </xdr:to>
    <xdr:pic>
      <xdr:nvPicPr>
        <xdr:cNvPr id="18" name="Picture 17">
          <a:extLst>
            <a:ext uri="{FF2B5EF4-FFF2-40B4-BE49-F238E27FC236}">
              <a16:creationId xmlns:a16="http://schemas.microsoft.com/office/drawing/2014/main" id="{00000000-0008-0000-2100-000012000000}"/>
            </a:ext>
          </a:extLst>
        </xdr:cNvPr>
        <xdr:cNvPicPr>
          <a:picLocks noChangeAspect="1"/>
        </xdr:cNvPicPr>
      </xdr:nvPicPr>
      <xdr:blipFill>
        <a:blip xmlns:r="http://schemas.openxmlformats.org/officeDocument/2006/relationships" r:embed="rId5"/>
        <a:stretch>
          <a:fillRect/>
        </a:stretch>
      </xdr:blipFill>
      <xdr:spPr>
        <a:xfrm>
          <a:off x="8543925" y="19450050"/>
          <a:ext cx="5301903" cy="44157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2</xdr:col>
      <xdr:colOff>0</xdr:colOff>
      <xdr:row>141</xdr:row>
      <xdr:rowOff>0</xdr:rowOff>
    </xdr:from>
    <xdr:ext cx="952500" cy="0"/>
    <xdr:pic>
      <xdr:nvPicPr>
        <xdr:cNvPr id="2" name="Picture 1" descr="page100image6754352">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3" name="Picture 2" descr="page100image6576928">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4" name="Picture 3" descr="page100image6576256">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5" name="Picture 4" descr="page100image657222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6" name="Picture 5" descr="page100image162471232">
          <a:extLst>
            <a:ext uri="{FF2B5EF4-FFF2-40B4-BE49-F238E27FC236}">
              <a16:creationId xmlns:a16="http://schemas.microsoft.com/office/drawing/2014/main" id="{00000000-0008-0000-2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141</xdr:row>
      <xdr:rowOff>0</xdr:rowOff>
    </xdr:from>
    <xdr:ext cx="16510" cy="19685"/>
    <xdr:pic>
      <xdr:nvPicPr>
        <xdr:cNvPr id="7" name="Picture 6" descr="page100image16247814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53365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19685" cy="19685"/>
    <xdr:pic>
      <xdr:nvPicPr>
        <xdr:cNvPr id="8" name="Picture 7" descr="page100image162475648">
          <a:extLst>
            <a:ext uri="{FF2B5EF4-FFF2-40B4-BE49-F238E27FC236}">
              <a16:creationId xmlns:a16="http://schemas.microsoft.com/office/drawing/2014/main" id="{00000000-0008-0000-2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9" name="Picture 8" descr="page100image6553712">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10" name="Picture 9" descr="page100image6674784">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1104611</xdr:colOff>
      <xdr:row>112</xdr:row>
      <xdr:rowOff>85537</xdr:rowOff>
    </xdr:from>
    <xdr:ext cx="6604663" cy="3238724"/>
    <xdr:pic>
      <xdr:nvPicPr>
        <xdr:cNvPr id="11" name="Picture 10">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39229" y="20244919"/>
          <a:ext cx="6604663" cy="3238724"/>
        </a:xfrm>
        <a:prstGeom prst="rect">
          <a:avLst/>
        </a:prstGeom>
        <a:solidFill>
          <a:schemeClr val="bg1"/>
        </a:solidFill>
      </xdr:spPr>
    </xdr:pic>
    <xdr:clientData/>
  </xdr:oneCellAnchor>
  <xdr:oneCellAnchor>
    <xdr:from>
      <xdr:col>2</xdr:col>
      <xdr:colOff>0</xdr:colOff>
      <xdr:row>131</xdr:row>
      <xdr:rowOff>0</xdr:rowOff>
    </xdr:from>
    <xdr:ext cx="952500" cy="0"/>
    <xdr:pic>
      <xdr:nvPicPr>
        <xdr:cNvPr id="12" name="Picture 11" descr="page100image675435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3" name="Picture 12" descr="page100image6576256">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4" name="Picture 13" descr="page100image6572224">
          <a:extLst>
            <a:ext uri="{FF2B5EF4-FFF2-40B4-BE49-F238E27FC236}">
              <a16:creationId xmlns:a16="http://schemas.microsoft.com/office/drawing/2014/main" id="{00000000-0008-0000-22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19685" cy="19685"/>
    <xdr:pic>
      <xdr:nvPicPr>
        <xdr:cNvPr id="15" name="Picture 14" descr="page100image162475648">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35267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6" name="Picture 15" descr="page100image6553712">
          <a:extLst>
            <a:ext uri="{FF2B5EF4-FFF2-40B4-BE49-F238E27FC236}">
              <a16:creationId xmlns:a16="http://schemas.microsoft.com/office/drawing/2014/main" id="{00000000-0008-0000-22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7" name="Picture 16" descr="page100image6674784">
          <a:extLst>
            <a:ext uri="{FF2B5EF4-FFF2-40B4-BE49-F238E27FC236}">
              <a16:creationId xmlns:a16="http://schemas.microsoft.com/office/drawing/2014/main" id="{00000000-0008-0000-22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91441</xdr:colOff>
      <xdr:row>103</xdr:row>
      <xdr:rowOff>176689</xdr:rowOff>
    </xdr:from>
    <xdr:to>
      <xdr:col>10</xdr:col>
      <xdr:colOff>1141774</xdr:colOff>
      <xdr:row>116</xdr:row>
      <xdr:rowOff>58886</xdr:rowOff>
    </xdr:to>
    <xdr:pic>
      <xdr:nvPicPr>
        <xdr:cNvPr id="3" name="Picture 2">
          <a:extLst>
            <a:ext uri="{FF2B5EF4-FFF2-40B4-BE49-F238E27FC236}">
              <a16:creationId xmlns:a16="http://schemas.microsoft.com/office/drawing/2014/main" id="{00000000-0008-0000-2E00-000003000000}"/>
            </a:ext>
          </a:extLst>
        </xdr:cNvPr>
        <xdr:cNvPicPr>
          <a:picLocks noChangeAspect="1"/>
        </xdr:cNvPicPr>
      </xdr:nvPicPr>
      <xdr:blipFill>
        <a:blip xmlns:r="http://schemas.openxmlformats.org/officeDocument/2006/relationships" r:embed="rId1"/>
        <a:stretch>
          <a:fillRect/>
        </a:stretch>
      </xdr:blipFill>
      <xdr:spPr>
        <a:xfrm>
          <a:off x="11592879" y="18643283"/>
          <a:ext cx="4856523" cy="220820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742785</xdr:colOff>
      <xdr:row>135</xdr:row>
      <xdr:rowOff>59173</xdr:rowOff>
    </xdr:to>
    <xdr:pic>
      <xdr:nvPicPr>
        <xdr:cNvPr id="3" name="Picture 2">
          <a:extLst>
            <a:ext uri="{FF2B5EF4-FFF2-40B4-BE49-F238E27FC236}">
              <a16:creationId xmlns:a16="http://schemas.microsoft.com/office/drawing/2014/main" id="{00000000-0008-0000-2F00-000003000000}"/>
            </a:ext>
          </a:extLst>
        </xdr:cNvPr>
        <xdr:cNvPicPr>
          <a:picLocks noChangeAspect="1"/>
        </xdr:cNvPicPr>
      </xdr:nvPicPr>
      <xdr:blipFill>
        <a:blip xmlns:r="http://schemas.openxmlformats.org/officeDocument/2006/relationships" r:embed="rId1"/>
        <a:stretch>
          <a:fillRect/>
        </a:stretch>
      </xdr:blipFill>
      <xdr:spPr>
        <a:xfrm>
          <a:off x="18345152" y="19992497"/>
          <a:ext cx="5614821" cy="426589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746595</xdr:colOff>
      <xdr:row>135</xdr:row>
      <xdr:rowOff>55363</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18342294" y="20242052"/>
          <a:ext cx="5616726" cy="431161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3" name="Picture 2">
          <a:extLst>
            <a:ext uri="{FF2B5EF4-FFF2-40B4-BE49-F238E27FC236}">
              <a16:creationId xmlns:a16="http://schemas.microsoft.com/office/drawing/2014/main" id="{00000000-0008-0000-3200-000003000000}"/>
            </a:ext>
          </a:extLst>
        </xdr:cNvPr>
        <xdr:cNvPicPr>
          <a:picLocks noChangeAspect="1"/>
        </xdr:cNvPicPr>
      </xdr:nvPicPr>
      <xdr:blipFill>
        <a:blip xmlns:r="http://schemas.openxmlformats.org/officeDocument/2006/relationships" r:embed="rId1"/>
        <a:stretch>
          <a:fillRect/>
        </a:stretch>
      </xdr:blipFill>
      <xdr:spPr>
        <a:xfrm>
          <a:off x="9071301" y="19288125"/>
          <a:ext cx="5741617" cy="77581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7910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168115</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80057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3</xdr:col>
      <xdr:colOff>0</xdr:colOff>
      <xdr:row>136</xdr:row>
      <xdr:rowOff>0</xdr:rowOff>
    </xdr:from>
    <xdr:ext cx="15240" cy="15240"/>
    <xdr:pic>
      <xdr:nvPicPr>
        <xdr:cNvPr id="2" name="Picture 1" descr="page100image6576928">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3" name="Picture 2" descr="page100image6572224">
          <a:extLst>
            <a:ext uri="{FF2B5EF4-FFF2-40B4-BE49-F238E27FC236}">
              <a16:creationId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xdr:row>
      <xdr:rowOff>0</xdr:rowOff>
    </xdr:from>
    <xdr:ext cx="15240" cy="15240"/>
    <xdr:pic>
      <xdr:nvPicPr>
        <xdr:cNvPr id="4" name="Picture 3" descr="page100image162471232">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136</xdr:row>
      <xdr:rowOff>0</xdr:rowOff>
    </xdr:from>
    <xdr:ext cx="16510" cy="15240"/>
    <xdr:pic>
      <xdr:nvPicPr>
        <xdr:cNvPr id="5" name="Picture 4" descr="page100image162478144">
          <a:extLst>
            <a:ext uri="{FF2B5EF4-FFF2-40B4-BE49-F238E27FC236}">
              <a16:creationId xmlns:a16="http://schemas.microsoft.com/office/drawing/2014/main" id="{00000000-0008-0000-5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4612600"/>
          <a:ext cx="1651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136</xdr:row>
      <xdr:rowOff>0</xdr:rowOff>
    </xdr:from>
    <xdr:ext cx="15240" cy="15240"/>
    <xdr:pic>
      <xdr:nvPicPr>
        <xdr:cNvPr id="6" name="Picture 5" descr="page100image162475648">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7" name="Picture 6" descr="page100image6674784">
          <a:extLst>
            <a:ext uri="{FF2B5EF4-FFF2-40B4-BE49-F238E27FC236}">
              <a16:creationId xmlns:a16="http://schemas.microsoft.com/office/drawing/2014/main" id="{00000000-0008-0000-5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6119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3" name="Picture 2" descr="page100image6576928">
          <a:extLst>
            <a:ext uri="{FF2B5EF4-FFF2-40B4-BE49-F238E27FC236}">
              <a16:creationId xmlns:a16="http://schemas.microsoft.com/office/drawing/2014/main" id="{00000000-0008-0000-5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5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5" name="Picture 4" descr="page100image6572224">
          <a:extLst>
            <a:ext uri="{FF2B5EF4-FFF2-40B4-BE49-F238E27FC236}">
              <a16:creationId xmlns:a16="http://schemas.microsoft.com/office/drawing/2014/main" id="{00000000-0008-0000-5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6" name="Picture 5" descr="page100image162471232">
          <a:extLst>
            <a:ext uri="{FF2B5EF4-FFF2-40B4-BE49-F238E27FC236}">
              <a16:creationId xmlns:a16="http://schemas.microsoft.com/office/drawing/2014/main" id="{00000000-0008-0000-58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5875"/>
    <xdr:pic>
      <xdr:nvPicPr>
        <xdr:cNvPr id="7" name="Picture 6" descr="page100image162478144">
          <a:extLst>
            <a:ext uri="{FF2B5EF4-FFF2-40B4-BE49-F238E27FC236}">
              <a16:creationId xmlns:a16="http://schemas.microsoft.com/office/drawing/2014/main" id="{00000000-0008-0000-5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5875" cy="15875"/>
    <xdr:pic>
      <xdr:nvPicPr>
        <xdr:cNvPr id="8" name="Picture 7" descr="page100image162475648">
          <a:extLst>
            <a:ext uri="{FF2B5EF4-FFF2-40B4-BE49-F238E27FC236}">
              <a16:creationId xmlns:a16="http://schemas.microsoft.com/office/drawing/2014/main" id="{00000000-0008-0000-58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58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10" name="Picture 9" descr="page100image6674784">
          <a:extLst>
            <a:ext uri="{FF2B5EF4-FFF2-40B4-BE49-F238E27FC236}">
              <a16:creationId xmlns:a16="http://schemas.microsoft.com/office/drawing/2014/main" id="{00000000-0008-0000-58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59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5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59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59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59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5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5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5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59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5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59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434340</xdr:colOff>
      <xdr:row>107</xdr:row>
      <xdr:rowOff>53340</xdr:rowOff>
    </xdr:from>
    <xdr:to>
      <xdr:col>10</xdr:col>
      <xdr:colOff>800859</xdr:colOff>
      <xdr:row>118</xdr:row>
      <xdr:rowOff>129830</xdr:rowOff>
    </xdr:to>
    <xdr:pic>
      <xdr:nvPicPr>
        <xdr:cNvPr id="17" name="Picture 16">
          <a:extLst>
            <a:ext uri="{FF2B5EF4-FFF2-40B4-BE49-F238E27FC236}">
              <a16:creationId xmlns:a16="http://schemas.microsoft.com/office/drawing/2014/main" id="{00000000-0008-0000-5900-000011000000}"/>
            </a:ext>
          </a:extLst>
        </xdr:cNvPr>
        <xdr:cNvPicPr>
          <a:picLocks noChangeAspect="1"/>
        </xdr:cNvPicPr>
      </xdr:nvPicPr>
      <xdr:blipFill>
        <a:blip xmlns:r="http://schemas.openxmlformats.org/officeDocument/2006/relationships" r:embed="rId5"/>
        <a:stretch>
          <a:fillRect/>
        </a:stretch>
      </xdr:blipFill>
      <xdr:spPr>
        <a:xfrm>
          <a:off x="8473440" y="19484340"/>
          <a:ext cx="5452869" cy="209007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oneCellAnchor>
    <xdr:from>
      <xdr:col>1</xdr:col>
      <xdr:colOff>56029</xdr:colOff>
      <xdr:row>104</xdr:row>
      <xdr:rowOff>56029</xdr:rowOff>
    </xdr:from>
    <xdr:ext cx="4481185" cy="291506"/>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a:stretch>
          <a:fillRect/>
        </a:stretch>
      </xdr:blipFill>
      <xdr:spPr>
        <a:xfrm>
          <a:off x="659914" y="18881239"/>
          <a:ext cx="4481185" cy="291506"/>
        </a:xfrm>
        <a:prstGeom prst="rect">
          <a:avLst/>
        </a:prstGeom>
      </xdr:spPr>
    </xdr:pic>
    <xdr:clientData/>
  </xdr:oneCellAnchor>
  <xdr:oneCellAnchor>
    <xdr:from>
      <xdr:col>1</xdr:col>
      <xdr:colOff>44823</xdr:colOff>
      <xdr:row>106</xdr:row>
      <xdr:rowOff>33618</xdr:rowOff>
    </xdr:from>
    <xdr:ext cx="4725059" cy="603970"/>
    <xdr:pic>
      <xdr:nvPicPr>
        <xdr:cNvPr id="3" name="Picture 2">
          <a:extLst>
            <a:ext uri="{FF2B5EF4-FFF2-40B4-BE49-F238E27FC236}">
              <a16:creationId xmlns:a16="http://schemas.microsoft.com/office/drawing/2014/main" id="{00000000-0008-0000-5B00-000003000000}"/>
            </a:ext>
          </a:extLst>
        </xdr:cNvPr>
        <xdr:cNvPicPr>
          <a:picLocks noChangeAspect="1"/>
        </xdr:cNvPicPr>
      </xdr:nvPicPr>
      <xdr:blipFill>
        <a:blip xmlns:r="http://schemas.openxmlformats.org/officeDocument/2006/relationships" r:embed="rId2"/>
        <a:stretch>
          <a:fillRect/>
        </a:stretch>
      </xdr:blipFill>
      <xdr:spPr>
        <a:xfrm>
          <a:off x="646803" y="19215063"/>
          <a:ext cx="4725059" cy="603970"/>
        </a:xfrm>
        <a:prstGeom prst="rect">
          <a:avLst/>
        </a:prstGeom>
      </xdr:spPr>
    </xdr:pic>
    <xdr:clientData/>
  </xdr:oneCellAnchor>
  <xdr:oneCellAnchor>
    <xdr:from>
      <xdr:col>6</xdr:col>
      <xdr:colOff>235323</xdr:colOff>
      <xdr:row>105</xdr:row>
      <xdr:rowOff>134471</xdr:rowOff>
    </xdr:from>
    <xdr:ext cx="4406882" cy="3562846"/>
    <xdr:pic>
      <xdr:nvPicPr>
        <xdr:cNvPr id="4" name="Picture 3">
          <a:extLst>
            <a:ext uri="{FF2B5EF4-FFF2-40B4-BE49-F238E27FC236}">
              <a16:creationId xmlns:a16="http://schemas.microsoft.com/office/drawing/2014/main" id="{00000000-0008-0000-5B00-000004000000}"/>
            </a:ext>
          </a:extLst>
        </xdr:cNvPr>
        <xdr:cNvPicPr>
          <a:picLocks noChangeAspect="1"/>
        </xdr:cNvPicPr>
      </xdr:nvPicPr>
      <xdr:blipFill>
        <a:blip xmlns:r="http://schemas.openxmlformats.org/officeDocument/2006/relationships" r:embed="rId3"/>
        <a:stretch>
          <a:fillRect/>
        </a:stretch>
      </xdr:blipFill>
      <xdr:spPr>
        <a:xfrm>
          <a:off x="3837678" y="19133036"/>
          <a:ext cx="4406882" cy="3562846"/>
        </a:xfrm>
        <a:prstGeom prst="rect">
          <a:avLst/>
        </a:prstGeom>
      </xdr:spPr>
    </xdr:pic>
    <xdr:clientData/>
  </xdr:oneCellAnchor>
  <xdr:oneCellAnchor>
    <xdr:from>
      <xdr:col>11</xdr:col>
      <xdr:colOff>0</xdr:colOff>
      <xdr:row>106</xdr:row>
      <xdr:rowOff>0</xdr:rowOff>
    </xdr:from>
    <xdr:ext cx="2770258" cy="4284943"/>
    <xdr:pic>
      <xdr:nvPicPr>
        <xdr:cNvPr id="5" name="Picture 4">
          <a:extLst>
            <a:ext uri="{FF2B5EF4-FFF2-40B4-BE49-F238E27FC236}">
              <a16:creationId xmlns:a16="http://schemas.microsoft.com/office/drawing/2014/main" id="{00000000-0008-0000-5B00-000005000000}"/>
            </a:ext>
          </a:extLst>
        </xdr:cNvPr>
        <xdr:cNvPicPr>
          <a:picLocks noChangeAspect="1"/>
        </xdr:cNvPicPr>
      </xdr:nvPicPr>
      <xdr:blipFill>
        <a:blip xmlns:r="http://schemas.openxmlformats.org/officeDocument/2006/relationships" r:embed="rId4"/>
        <a:stretch>
          <a:fillRect/>
        </a:stretch>
      </xdr:blipFill>
      <xdr:spPr>
        <a:xfrm>
          <a:off x="6600825" y="19183350"/>
          <a:ext cx="2770258" cy="4284943"/>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3" name="Picture 2" descr="page100image6576928">
          <a:extLst>
            <a:ext uri="{FF2B5EF4-FFF2-40B4-BE49-F238E27FC236}">
              <a16:creationId xmlns:a16="http://schemas.microsoft.com/office/drawing/2014/main" id="{00000000-0008-0000-6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6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5" name="Picture 4" descr="page100image6572224">
          <a:extLst>
            <a:ext uri="{FF2B5EF4-FFF2-40B4-BE49-F238E27FC236}">
              <a16:creationId xmlns:a16="http://schemas.microsoft.com/office/drawing/2014/main" id="{00000000-0008-0000-6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6" name="Picture 5" descr="page100image162471232">
          <a:extLst>
            <a:ext uri="{FF2B5EF4-FFF2-40B4-BE49-F238E27FC236}">
              <a16:creationId xmlns:a16="http://schemas.microsoft.com/office/drawing/2014/main" id="{00000000-0008-0000-6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6510"/>
    <xdr:pic>
      <xdr:nvPicPr>
        <xdr:cNvPr id="7" name="Picture 6" descr="page100image162478144">
          <a:extLst>
            <a:ext uri="{FF2B5EF4-FFF2-40B4-BE49-F238E27FC236}">
              <a16:creationId xmlns:a16="http://schemas.microsoft.com/office/drawing/2014/main" id="{00000000-0008-0000-6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6510" cy="16510"/>
    <xdr:pic>
      <xdr:nvPicPr>
        <xdr:cNvPr id="8" name="Picture 7" descr="page100image162475648">
          <a:extLst>
            <a:ext uri="{FF2B5EF4-FFF2-40B4-BE49-F238E27FC236}">
              <a16:creationId xmlns:a16="http://schemas.microsoft.com/office/drawing/2014/main" id="{00000000-0008-0000-63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63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10" name="Picture 9" descr="page100image6674784">
          <a:extLst>
            <a:ext uri="{FF2B5EF4-FFF2-40B4-BE49-F238E27FC236}">
              <a16:creationId xmlns:a16="http://schemas.microsoft.com/office/drawing/2014/main" id="{00000000-0008-0000-63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1" name="Picture 10" descr="page100image6576928">
          <a:extLst>
            <a:ext uri="{FF2B5EF4-FFF2-40B4-BE49-F238E27FC236}">
              <a16:creationId xmlns:a16="http://schemas.microsoft.com/office/drawing/2014/main" id="{00000000-0008-0000-6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2" name="Picture 11" descr="page100image162471232">
          <a:extLst>
            <a:ext uri="{FF2B5EF4-FFF2-40B4-BE49-F238E27FC236}">
              <a16:creationId xmlns:a16="http://schemas.microsoft.com/office/drawing/2014/main" id="{00000000-0008-0000-63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3" name="Picture 12" descr="page100image162478144">
          <a:extLst>
            <a:ext uri="{FF2B5EF4-FFF2-40B4-BE49-F238E27FC236}">
              <a16:creationId xmlns:a16="http://schemas.microsoft.com/office/drawing/2014/main" id="{00000000-0008-0000-63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4" name="Picture 13" descr="page100image162475648">
          <a:extLst>
            <a:ext uri="{FF2B5EF4-FFF2-40B4-BE49-F238E27FC236}">
              <a16:creationId xmlns:a16="http://schemas.microsoft.com/office/drawing/2014/main" id="{00000000-0008-0000-63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5" name="Picture 14" descr="page100image6576928">
          <a:extLst>
            <a:ext uri="{FF2B5EF4-FFF2-40B4-BE49-F238E27FC236}">
              <a16:creationId xmlns:a16="http://schemas.microsoft.com/office/drawing/2014/main" id="{00000000-0008-0000-63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6" name="Picture 15" descr="page100image162471232">
          <a:extLst>
            <a:ext uri="{FF2B5EF4-FFF2-40B4-BE49-F238E27FC236}">
              <a16:creationId xmlns:a16="http://schemas.microsoft.com/office/drawing/2014/main" id="{00000000-0008-0000-6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7" name="Picture 16" descr="page100image162478144">
          <a:extLst>
            <a:ext uri="{FF2B5EF4-FFF2-40B4-BE49-F238E27FC236}">
              <a16:creationId xmlns:a16="http://schemas.microsoft.com/office/drawing/2014/main" id="{00000000-0008-0000-63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8" name="Picture 17" descr="page100image162475648">
          <a:extLst>
            <a:ext uri="{FF2B5EF4-FFF2-40B4-BE49-F238E27FC236}">
              <a16:creationId xmlns:a16="http://schemas.microsoft.com/office/drawing/2014/main" id="{00000000-0008-0000-6300-00001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PROJECTS/Active/Minnesota/MN%20CARD%20Potential%20Study%20Project/Report/Methodology/Appendix%20A/MeasureChars%20MN%20WORKING%20VERSION%20Appendix%20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1.eere.energy.gov/femp/docs/calc_condensing_waterheater.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nv5inc-my.sharepoint.com/personal/samartha_mohan_nv5_com/Documents/Desktop/Projects/PR/MeasureChars%20PR%2020231117.xlsm" TargetMode="External"/><Relationship Id="rId1" Type="http://schemas.openxmlformats.org/officeDocument/2006/relationships/externalLinkPath" Target="/personal/samartha_mohan_nv5_com/Documents/Desktop/Projects/PR/MeasureChars%20PR%2020231117.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mutations"/>
      <sheetName val="Intro"/>
      <sheetName val="Abbr"/>
      <sheetName val="Citations"/>
      <sheetName val="Lookups"/>
      <sheetName val="RegionTable"/>
      <sheetName val="Measures"/>
      <sheetName val="MeasChars"/>
      <sheetName val="MeasListVBA"/>
      <sheetName val="Measure Characteristics"/>
      <sheetName val="MeasChar Template Lkps"/>
      <sheetName val="ES Clothes Washer - E,E - App"/>
      <sheetName val="ES Clothes Washer - E,E - WH"/>
      <sheetName val="ES Clothes Washer - E,G - App"/>
      <sheetName val="ES Clothes Washer - E,G - WH"/>
      <sheetName val="ES Clothes Washer - G,E"/>
      <sheetName val="ES Clothes Washer - G,G - App"/>
      <sheetName val="ES Clothes Washer - G,G - WH"/>
      <sheetName val="ES Dishwasher, E - App"/>
      <sheetName val="ES Dishwasher, E - WH"/>
      <sheetName val="ES Dishwasher, G"/>
      <sheetName val="MD ES Refrigerator &amp; Freezer"/>
      <sheetName val="RET ES Refrigerator &amp; Freezer"/>
      <sheetName val="Fridge&amp;Freezer Removal"/>
      <sheetName val="ES Dehumidifier"/>
      <sheetName val="Central AC"/>
      <sheetName val="Central AC, Early Rep"/>
      <sheetName val="Central AC w QI"/>
      <sheetName val="Central AC w QI, Early Rep"/>
      <sheetName val="ASHP (Cool)"/>
      <sheetName val="ASHP (Heat)"/>
      <sheetName val="ASHP Rep ElecH,AC (Cool)"/>
      <sheetName val="ASHP Rep ElecH,AC (Heat)"/>
      <sheetName val="ASHP, Early Rep (Cool)"/>
      <sheetName val="ASHP, Early Rep (Heat)"/>
      <sheetName val="ASHP w QI (Cool)"/>
      <sheetName val="ASHP w QI (Heat)"/>
      <sheetName val="ASHP Rep ElecH,AC w QI (Cool)"/>
      <sheetName val="ASHP Rep ElecH,AC w QI (Heat)"/>
      <sheetName val="ASHP w QI, Early Rep (Cool)"/>
      <sheetName val="ASHP w QI, Early Rep (Heat)"/>
      <sheetName val="CAC Tune"/>
      <sheetName val="ASHP Tune - Cool"/>
      <sheetName val="ASHP Tune - Heat"/>
      <sheetName val="CAC Recommissioning"/>
      <sheetName val="ASHP Recommissioning - Cool"/>
      <sheetName val="ASHP Recommissioning - Heat"/>
      <sheetName val="ES Room AC"/>
      <sheetName val="GSHP Rep ElecH,AC (Cool)"/>
      <sheetName val="GSHP Rep ElecH,AC (Heat)"/>
      <sheetName val="GSHP Early Rep ElecH,AC (Cool)"/>
      <sheetName val="GSHP Early Rep ElecH,AC (Heat)"/>
      <sheetName val="DMSAC"/>
      <sheetName val="DMSAC, Early Rep"/>
      <sheetName val="DMSHP Rep ASHP (Cool)"/>
      <sheetName val="DMSHP Rep ASHP (Heat)"/>
      <sheetName val="DMSHP Early Rep ASHP (Cool)"/>
      <sheetName val="DMSHP Early Rep ASHP (Heat)"/>
      <sheetName val="DMSHP Rep ERH,AC (Cool)"/>
      <sheetName val="DMSHP Rep ERH,AC (Heat)"/>
      <sheetName val="DMSHP Early Rep ERH,AC (Cool)"/>
      <sheetName val="DMSHP Early Rep ERH,AC (Heat)"/>
      <sheetName val="ECM Circulators, DHW"/>
      <sheetName val="ECM Circulators, Cooling Water"/>
      <sheetName val="ECM Circulators, Heating Water"/>
      <sheetName val="MD-ECM Blower Motor"/>
      <sheetName val="RET-ECM Blower Motor"/>
      <sheetName val="Duct Sealing, E (Cool)"/>
      <sheetName val="Duct Sealing, E (Heat)"/>
      <sheetName val="Duct Sealing, G (Cool)"/>
      <sheetName val="Duct Sealing, G (Heat)"/>
      <sheetName val="Wall Insulation, Ext - Heat,G"/>
      <sheetName val="Wall Insulation, Ext - Cool,G"/>
      <sheetName val="Wall Insulation, Int - Heat,G"/>
      <sheetName val="Wall Insulation, Int - Cool,G"/>
      <sheetName val="Wall Insulation, Ext - Heat,E"/>
      <sheetName val="Wall Insulation, Ext - Cool,E"/>
      <sheetName val="Wall Insulation, Int - Heat,E"/>
      <sheetName val="Wall Insulation, Int - Cool,E"/>
      <sheetName val="Attic Insulation - Heat, G"/>
      <sheetName val="Attic Insulation - Cool, G"/>
      <sheetName val="Air Sealing, G"/>
      <sheetName val="Attic Insulation - Heat, E"/>
      <sheetName val="Attic Insulation - Cool, E"/>
      <sheetName val="Air Sealing, E"/>
      <sheetName val="Electronic Ignition Hearth"/>
      <sheetName val="REPL-Furnace (90-94%)"/>
      <sheetName val="RET-Furnace (90-94%)"/>
      <sheetName val="REPL-Furnace (94%+)"/>
      <sheetName val="RET-Furnace (94%+)"/>
      <sheetName val="Boiler (84-90%)"/>
      <sheetName val="RET-Boiler (84-90%)"/>
      <sheetName val="Boiler (90%+)"/>
      <sheetName val="RET-Boiler (90%+)"/>
      <sheetName val="Furnace QM"/>
      <sheetName val="Furnace Tune Up"/>
      <sheetName val="Boiler Tune Up"/>
      <sheetName val="Tier 1 Tstat, E - Cool"/>
      <sheetName val="Tier 1 Tstat, E - Heat"/>
      <sheetName val="Tier 1 Tstat, G"/>
      <sheetName val="Tier 2 Tstat, E - Cool"/>
      <sheetName val="Tier 2 Tstat, E - Heat"/>
      <sheetName val="NC Tier 2 Tstat, E - Cool"/>
      <sheetName val="NC Tier 2 Tstat, E - Heat"/>
      <sheetName val="Tier 2 Tstat, G"/>
      <sheetName val="NC Tier 2 Tstat, G"/>
      <sheetName val="Tier 3 Tstat, E - Cool"/>
      <sheetName val="Tier 3 Tstat, E - Heat"/>
      <sheetName val="NC Tier 3 Tstat, E - Cool"/>
      <sheetName val="NC Tier 3 Tstat, E - Heat"/>
      <sheetName val="Tier 3 Tstat, G"/>
      <sheetName val="NC Tier 3 Tstat, G"/>
      <sheetName val="Dmnd Ctrl Recirc Pump"/>
      <sheetName val="MD Variable Speed Pool Pump"/>
      <sheetName val="RET Variable Speed Pool Pump"/>
      <sheetName val="Advanced Tier 2 Power Strips"/>
      <sheetName val="ES LED A-Line Lamp, Int"/>
      <sheetName val="ES LED A-Line Lamp, MF Com"/>
      <sheetName val="ES LED A-Line Lamp, Ext"/>
      <sheetName val="ES LED Globe Lamp, Int"/>
      <sheetName val="ES LED Globe Lamp, MF Com"/>
      <sheetName val="ES LED Globe Lamp, Ext"/>
      <sheetName val="ES LED PAR|Flood Lamp, Int"/>
      <sheetName val="ES LED PAR|Flood Lamp, MF Com"/>
      <sheetName val="ES LED PAR|Flood Lamp, Ext"/>
      <sheetName val="ES LED Downlight Fixture, Int"/>
      <sheetName val="ES LED Downlight Fixture, MFCom"/>
      <sheetName val="ES LED Outdoor Fixture"/>
      <sheetName val="ES Ceiling Fan w Lights"/>
      <sheetName val="ES Ceiling Fan"/>
      <sheetName val="Ext Lighting Controls"/>
      <sheetName val="LED Holiday Lights - Int"/>
      <sheetName val="LED Holiday Lights - Ext"/>
      <sheetName val="LED Tube Replacement Lamps"/>
      <sheetName val="WH Jacket Insulation, E"/>
      <sheetName val="WH Drainpipe Heat Exchange, E"/>
      <sheetName val="WH Drainpipe Heat Exchange, G"/>
      <sheetName val="WH Setback, E"/>
      <sheetName val="WH Setback, G"/>
      <sheetName val="1.5 GPM Faucet Aerator, E"/>
      <sheetName val="1.5 GPM Faucet Aerator, G"/>
      <sheetName val="MD HPWH &lt;55 Gal, E"/>
      <sheetName val="RET HPWH &lt;55 Gal, E"/>
      <sheetName val="MD HPWH &lt;55 Gal, G"/>
      <sheetName val="RET HPWH &lt;55 Gal, G"/>
      <sheetName val="MD HPWH &gt;55 Gal, E"/>
      <sheetName val="RET HPWH &gt;55 Gal, E"/>
      <sheetName val="MD HPWH &gt;55 Gal, G"/>
      <sheetName val="RET HPWH &gt;55 Gal, G"/>
      <sheetName val="1.5 GPM LowFlow Showerhead, E"/>
      <sheetName val="1.5 GPM LowFlow Showerhead, G"/>
      <sheetName val="Therm Restrict Valve, E"/>
      <sheetName val="Therm Restrict Valve, G"/>
      <sheetName val="Pipe Insulation, E"/>
      <sheetName val="Pipe Insulation, G"/>
      <sheetName val="MD Gas Water Heater, Storage"/>
      <sheetName val="RET Gas Water Heater, Storage"/>
      <sheetName val="MD Gas Water Heater, Instant"/>
      <sheetName val="RET Gas Water Heater, Instant"/>
      <sheetName val="FL Hour Adjustments"/>
      <sheetName val="Int Lgt Controls"/>
      <sheetName val="Exit Sign Retrofit"/>
      <sheetName val="Exterior Canopy_Soffit LED-MD"/>
      <sheetName val="Exterior Canopy_Soffit LED-RET"/>
      <sheetName val="Exterior Wall Pack LED-MD"/>
      <sheetName val="Exterior Wall Pack LED-RET"/>
      <sheetName val="High Bay LED"/>
      <sheetName val="Incand. Over 100W, Fixt."/>
      <sheetName val="Incand. Over 100W, Lamp"/>
      <sheetName val="Incand. Up to 100W, Fixt."/>
      <sheetName val="Incand. Up to 100W, Lamp"/>
      <sheetName val="LED Screw-In for Refrigeration"/>
      <sheetName val="LED Troffers"/>
      <sheetName val="LED Troffer Retrofit Kits"/>
      <sheetName val="Com LED Tube Replacement Lamps"/>
      <sheetName val="Pin-Based LED"/>
      <sheetName val="New Construction"/>
      <sheetName val="Refrigerated Case LED"/>
      <sheetName val="Refrigerated Case Ltg Controls"/>
      <sheetName val="Stairwell Fixtures"/>
      <sheetName val="Interior Delamping"/>
      <sheetName val="Ext Lgt Controls"/>
      <sheetName val="Int Lgt Design"/>
      <sheetName val="Ext Lgt Design"/>
      <sheetName val="LED Street Lighting"/>
      <sheetName val="Motors, Fans-MD"/>
      <sheetName val="Motors, Fans-RET"/>
      <sheetName val="Motors, Pumps-MD"/>
      <sheetName val="Motors, Pumps-RET"/>
      <sheetName val="Tier 1 Advanced Power Strip-MD"/>
      <sheetName val="Tier 1 Advanced Power Strip-RET"/>
      <sheetName val="Tier 2 Advanced Power Strip-MD"/>
      <sheetName val="Tier 2 Advanced Power Strip-RET"/>
      <sheetName val="Beverage Machine Controls"/>
      <sheetName val="Computer Power Mgmt"/>
      <sheetName val="Snack Machine Controls"/>
      <sheetName val="Add Doors to Open Case"/>
      <sheetName val="Anti-Sweat Heat Control-MD"/>
      <sheetName val="Anti-Sweat Heat Control-RET"/>
      <sheetName val="Case Night Covers"/>
      <sheetName val="Loading Dock Pit Seals-MD"/>
      <sheetName val="Loading Dock Pit Seals-RET"/>
      <sheetName val="ECM Comp_Cond Fan Motor-MD"/>
      <sheetName val="ECM Comp_Cond Fan Motor-RET"/>
      <sheetName val="ES Refrigerator and Freezer"/>
      <sheetName val="Evap Fan Motor Retrofit-MD"/>
      <sheetName val="Evap Fan Motor Retrofit-RET"/>
      <sheetName val="Evap Fan Speed Controls-MD"/>
      <sheetName val="Evap Fan Speed Controls-RET"/>
      <sheetName val="Low-Heat and No-Heat Doors-MD"/>
      <sheetName val="Low-Heat and No-Heat Doors-RET"/>
      <sheetName val="Refrigerated Vending Machine"/>
      <sheetName val="Reach-In Freezer"/>
      <sheetName val="Reach-In Refrigerator"/>
      <sheetName val="Walk-in Cooler"/>
      <sheetName val="Refrigeration Tune-Up"/>
      <sheetName val="Walk-in Cooler Retrofit"/>
      <sheetName val="Faucet Aerator (Electric)"/>
      <sheetName val="Heat Pump Water Heater-MD"/>
      <sheetName val="Pre-Rinse Sprayer (Electric WH)"/>
      <sheetName val="Fast Acting Doors-MD"/>
      <sheetName val="Fast Acting Doors-RET"/>
      <sheetName val="Chiller Systems"/>
      <sheetName val="Chiller Tune-Up"/>
      <sheetName val="CRAC"/>
      <sheetName val="Com ECM Circulators, DHW"/>
      <sheetName val="Com ECM Circulators, HHW"/>
      <sheetName val="Com ECM Circulators, CW"/>
      <sheetName val="ECM Blower Motors"/>
      <sheetName val="ECM Fan Motors"/>
      <sheetName val="Unitary Packaged HP System-Cool"/>
      <sheetName val="Unitary Packaged HP System-Heat"/>
      <sheetName val="PTHP-Cool"/>
      <sheetName val="PTHP-Heat"/>
      <sheetName val="High Volume Low Speed Fans"/>
      <sheetName val="MS Ductless AC-MD"/>
      <sheetName val="MS Ductless AC-RET"/>
      <sheetName val="MS Ductless HP-MD-Cool"/>
      <sheetName val="MS Ductless HP-MD-Heat"/>
      <sheetName val="MS Ductless HP-RET-Cool"/>
      <sheetName val="MS Ductless HP-RET-Heat"/>
      <sheetName val="Prog Thermostat w Elec Heat"/>
      <sheetName val="Smart Thermostat w Elec Heat"/>
      <sheetName val="Unitary Packaged AC Systems"/>
      <sheetName val="Unitary Split AC Systems"/>
      <sheetName val="PTAC"/>
      <sheetName val="Unitary Equipment Economizer"/>
      <sheetName val="VSD, CW Pump"/>
      <sheetName val="VSD, HHW Pump"/>
      <sheetName val="VSD, Condenser Water Pump"/>
      <sheetName val="VSD, HVAC Fan"/>
      <sheetName val="VSD, Cooling Tower Fan"/>
      <sheetName val="VSD_Custom, Other"/>
      <sheetName val="Garage Exhaust Ctrl"/>
      <sheetName val="EMS -Cool MD"/>
      <sheetName val="EMS -Vent MD"/>
      <sheetName val="EMS -Cool RET"/>
      <sheetName val="EMS -Vent RET"/>
      <sheetName val="Electric Oven and Range"/>
      <sheetName val="ES Electric Combination Oven"/>
      <sheetName val="ES Electric Convection Oven"/>
      <sheetName val="ES Electric Fryer"/>
      <sheetName val="ES Electric Griddle"/>
      <sheetName val="ES Elec Hot Food Holdng Cabinet"/>
      <sheetName val="ES Electric Steamer"/>
      <sheetName val="ES Ice Machine"/>
      <sheetName val="Kitchen Demand Ctrl Vent-MD"/>
      <sheetName val="Kitchen Demand Ctrl Vent-RET"/>
      <sheetName val="COM ES Dishwasher, E,G"/>
      <sheetName val="COM ES Dishwasher, E,E-App"/>
      <sheetName val="COM ES Dishwasher, E,E-DHW"/>
      <sheetName val="ES Gas Combination Oven"/>
      <sheetName val="ES Gas Convection Oven"/>
      <sheetName val="ES Gas Fryer"/>
      <sheetName val="ES Gas Griddle"/>
      <sheetName val="ES Gas Steamer"/>
      <sheetName val="Gas Conveyor Oven"/>
      <sheetName val="Gas Oven, Broiler, Pasta Cooker"/>
      <sheetName val="Gas Rack Oven"/>
      <sheetName val="DCV-Cool"/>
      <sheetName val="DCV-Heat"/>
      <sheetName val="DCV-Vent"/>
      <sheetName val="Boiler Blowdown Controls"/>
      <sheetName val="Boiler Modifications"/>
      <sheetName val="Boilers"/>
      <sheetName val="Condensing Furnaces-MD"/>
      <sheetName val="Condensing Furnaces-RET"/>
      <sheetName val="Condensing RTUs-MD"/>
      <sheetName val="Condensing Unit Heaters"/>
      <sheetName val="Destratification Fan-MD"/>
      <sheetName val="Destratification Fan-RET"/>
      <sheetName val="ERV-RET"/>
      <sheetName val="ERV-MD"/>
      <sheetName val="Exhaust Energy Recovery"/>
      <sheetName val="Forced-Air Heating Maintenance"/>
      <sheetName val="Infrared Heater"/>
      <sheetName val="Prog Thermostat w Gas Heat"/>
      <sheetName val="Smart Thermostat w Gas Heat"/>
      <sheetName val="Steam Trap"/>
      <sheetName val="Guestrm EM-PTAC,Elec Res-Cool"/>
      <sheetName val="Guestrm EM-PTAC,Elec Res-Heat"/>
      <sheetName val="Guestrm EM,PTHP-Cool"/>
      <sheetName val="Guestrm EM,PTHP-Heat"/>
      <sheetName val="Guestrm EM,FanCl"/>
      <sheetName val="Loading Dock Door and Pit Seals"/>
      <sheetName val="Faucet Aerator (Gas)"/>
      <sheetName val="Gas Water Heater, Storage"/>
      <sheetName val="Gas Water Heater, Instantaneous"/>
      <sheetName val="Pre-Rinse Sprayers (Gas)"/>
      <sheetName val="Poultry Farm LED"/>
      <sheetName val="Dairy Farm Long Daylighting"/>
      <sheetName val="HighBay LED"/>
      <sheetName val="Screw-based LED"/>
      <sheetName val="Ag Lighting Controls"/>
      <sheetName val="Engine Block Heater Timer"/>
      <sheetName val="Livestock Waterer"/>
      <sheetName val="High Efficiency Fan"/>
      <sheetName val="Milk Pre-Cooler"/>
      <sheetName val="VSD Milk Pump"/>
      <sheetName val="VSD Vacuum Dairy Pump"/>
      <sheetName val="Scroll Compressor"/>
      <sheetName val="Refrigeration Heat Recovery"/>
      <sheetName val="HP Water Heater"/>
      <sheetName val="Ventilation Fan VFD"/>
      <sheetName val="Heat Mat for Piglets"/>
      <sheetName val="Low Energy Spray Application"/>
      <sheetName val="Irrigation Pressure Reduction"/>
      <sheetName val="VFD for Irrigation"/>
      <sheetName val="Ag Compressed Air"/>
      <sheetName val="Grain Dryer"/>
      <sheetName val="Refrigeration Heat Recovery Gas"/>
      <sheetName val="Instantaneous Water Heater"/>
      <sheetName val="Greenhouse Unit Heater"/>
      <sheetName val="Thermal Curtain"/>
      <sheetName val="Double PlyEth Film"/>
      <sheetName val="Space Cooling_MD"/>
      <sheetName val="Space Cooling_RET"/>
      <sheetName val="Process Heating_MD"/>
      <sheetName val="Process Heating_RET"/>
      <sheetName val="Process Cooling_Refrig_MD"/>
      <sheetName val="Process Cooling_Refrig_RET"/>
      <sheetName val="Motors - Compressed Air_MD"/>
      <sheetName val="Motors - Compressed Air_RET"/>
      <sheetName val="Motors - Fans_Blowers_MD"/>
      <sheetName val="Motors - Fans_Blowers_RET"/>
      <sheetName val="Motors - Pumps_MD"/>
      <sheetName val="Motors - Pumps_RET"/>
      <sheetName val="Motors - Drives_MD"/>
      <sheetName val="Motors - Drives_RET"/>
      <sheetName val="Other_MD"/>
      <sheetName val="Other_RET"/>
      <sheetName val="Lighting_RET"/>
      <sheetName val="SEM1"/>
      <sheetName val="SEM2"/>
      <sheetName val="SEM3"/>
      <sheetName val="Process Heating_NG"/>
      <sheetName val="Space Heating_NG"/>
      <sheetName val="Other_NG"/>
      <sheetName val="CO2 HPWH - base ER"/>
      <sheetName val="Gas HPWH"/>
      <sheetName val="Gas Combi HP - heat"/>
      <sheetName val="Gas Combi HP - dhw"/>
      <sheetName val="ASHP14 - cool"/>
      <sheetName val="ASHP14 - partial heat"/>
      <sheetName val="ASHP21 - cool"/>
      <sheetName val="ASHP21 - full heat"/>
      <sheetName val="IHP24 - heat"/>
      <sheetName val="IHP24 - cool"/>
      <sheetName val="IHP24 - DHW"/>
      <sheetName val="PTAC Condensing"/>
      <sheetName val="Modulating condensing"/>
      <sheetName val="Transport Membrane Humidifier"/>
      <sheetName val="R HVAC Data outputs "/>
      <sheetName val="Retrofit duct sealing - Fan"/>
      <sheetName val="Retrofit duct sealing - Heat"/>
      <sheetName val="Retrofit duct sealing - Cool"/>
      <sheetName val="Retrofit duct sealing HS -  Fan"/>
      <sheetName val="Retrofit duct sealing HS - Heat"/>
      <sheetName val="Retrofit duct sealing HS -  Coo"/>
      <sheetName val="Envelope sealing - MF - NC "/>
      <sheetName val="Envelope sealing - MF - RET"/>
      <sheetName val="Envelope sealing - SF - NC"/>
      <sheetName val="Envelope sealing - SF - RET"/>
      <sheetName val="Premium evaporator Fan motor"/>
      <sheetName val="Data center recovery - heat"/>
      <sheetName val="Data center recovery - dhw"/>
      <sheetName val="HER Q2, E"/>
      <sheetName val="HER Q3, E"/>
      <sheetName val="HER Q4, E"/>
      <sheetName val="HER Q5, E"/>
      <sheetName val="HER Q2, G"/>
      <sheetName val="HER Q3, G"/>
      <sheetName val="HER Q4, G"/>
      <sheetName val="HER Q5, G"/>
      <sheetName val="Smartphone app - elec"/>
      <sheetName val="Smartphone app - gas"/>
      <sheetName val="OSB-wA (elec)"/>
      <sheetName val="OSB-woA (elec)"/>
      <sheetName val="OSB-wA (gas)"/>
      <sheetName val="OSB-woA (gas)"/>
      <sheetName val="RTU Tune-Up, ACOnly"/>
      <sheetName val="RTU Tune-Up, GasHeat"/>
      <sheetName val="RTU Advanced Controls, ACOnly"/>
      <sheetName val="RTU Advanced Controls, GasHeat"/>
      <sheetName val="Com Compressed Air"/>
      <sheetName val="MF Clths Wash - E,E - App"/>
      <sheetName val="MF Clths Wash - E,E - WH"/>
      <sheetName val="MF Clths Wash - E,G - App"/>
      <sheetName val="MF Clths Wash - E,G - WH"/>
      <sheetName val="MF Clths Wash - G,E"/>
      <sheetName val="MF Clths Wash - G,G - App"/>
      <sheetName val="MF Clths Wash - G,G - WH"/>
      <sheetName val="Pipe Insulation, Space Heat"/>
      <sheetName val="Pipe Insulation, DHW"/>
      <sheetName val="Opt Unitary HVAC Dist_Ctrl"/>
      <sheetName val="Opt Chiller Dist_Ctrl"/>
      <sheetName val="Deep Energy Retrofit, E"/>
      <sheetName val="Deep Energy Retrofit, G"/>
      <sheetName val="HE Built-up Refrig, MD"/>
      <sheetName val="HE Built-up Refrig, RET"/>
      <sheetName val="Commissioning, E"/>
      <sheetName val="Commissioning, G"/>
      <sheetName val="Integrated Bldg Design, E"/>
      <sheetName val="Integrated Bldg Design, G"/>
      <sheetName val="Appendix A Table"/>
    </sheetNames>
    <sheetDataSet>
      <sheetData sheetId="0"/>
      <sheetData sheetId="1"/>
      <sheetData sheetId="2"/>
      <sheetData sheetId="3"/>
      <sheetData sheetId="4">
        <row r="5">
          <cell r="B5">
            <v>2018</v>
          </cell>
        </row>
        <row r="22">
          <cell r="B22">
            <v>10</v>
          </cell>
        </row>
        <row r="27">
          <cell r="B27" t="str">
            <v>Convert From</v>
          </cell>
          <cell r="C27">
            <v>2007</v>
          </cell>
          <cell r="D27">
            <v>2008</v>
          </cell>
          <cell r="E27">
            <v>2009</v>
          </cell>
          <cell r="F27">
            <v>2010</v>
          </cell>
          <cell r="G27">
            <v>2011</v>
          </cell>
          <cell r="H27">
            <v>2012</v>
          </cell>
          <cell r="I27">
            <v>2013</v>
          </cell>
          <cell r="J27">
            <v>2014</v>
          </cell>
          <cell r="K27">
            <v>2015</v>
          </cell>
        </row>
        <row r="28">
          <cell r="B28">
            <v>2015</v>
          </cell>
          <cell r="C28">
            <v>0</v>
          </cell>
          <cell r="D28">
            <v>0</v>
          </cell>
          <cell r="E28">
            <v>0</v>
          </cell>
          <cell r="F28">
            <v>0</v>
          </cell>
          <cell r="G28">
            <v>0</v>
          </cell>
          <cell r="H28">
            <v>0</v>
          </cell>
          <cell r="I28">
            <v>0</v>
          </cell>
          <cell r="J28">
            <v>0</v>
          </cell>
          <cell r="K28">
            <v>1</v>
          </cell>
        </row>
        <row r="29">
          <cell r="B29">
            <v>2014</v>
          </cell>
          <cell r="C29">
            <v>0</v>
          </cell>
          <cell r="D29">
            <v>0</v>
          </cell>
          <cell r="E29">
            <v>0</v>
          </cell>
          <cell r="F29">
            <v>0</v>
          </cell>
          <cell r="G29">
            <v>0</v>
          </cell>
          <cell r="H29">
            <v>0</v>
          </cell>
          <cell r="I29">
            <v>0</v>
          </cell>
          <cell r="J29">
            <v>1</v>
          </cell>
          <cell r="K29">
            <v>1.0184799999999998</v>
          </cell>
        </row>
        <row r="30">
          <cell r="B30">
            <v>2013</v>
          </cell>
          <cell r="C30">
            <v>0</v>
          </cell>
          <cell r="D30">
            <v>0</v>
          </cell>
          <cell r="E30">
            <v>0</v>
          </cell>
          <cell r="F30">
            <v>0</v>
          </cell>
          <cell r="G30">
            <v>0</v>
          </cell>
          <cell r="H30">
            <v>0</v>
          </cell>
          <cell r="I30">
            <v>1</v>
          </cell>
          <cell r="J30">
            <v>1.0184799999999998</v>
          </cell>
          <cell r="K30">
            <v>1.0373868879999999</v>
          </cell>
        </row>
        <row r="31">
          <cell r="B31">
            <v>2012</v>
          </cell>
          <cell r="C31">
            <v>0</v>
          </cell>
          <cell r="D31">
            <v>0</v>
          </cell>
          <cell r="E31">
            <v>0</v>
          </cell>
          <cell r="F31">
            <v>0</v>
          </cell>
          <cell r="G31">
            <v>0</v>
          </cell>
          <cell r="H31">
            <v>1</v>
          </cell>
          <cell r="I31">
            <v>1.008</v>
          </cell>
          <cell r="J31">
            <v>1.0266648</v>
          </cell>
          <cell r="K31">
            <v>1.0457607568799998</v>
          </cell>
        </row>
        <row r="32">
          <cell r="B32">
            <v>2011</v>
          </cell>
          <cell r="C32">
            <v>0</v>
          </cell>
          <cell r="D32">
            <v>0</v>
          </cell>
          <cell r="E32">
            <v>0</v>
          </cell>
          <cell r="F32">
            <v>0</v>
          </cell>
          <cell r="G32">
            <v>1</v>
          </cell>
          <cell r="H32">
            <v>1.016</v>
          </cell>
          <cell r="I32">
            <v>1.024</v>
          </cell>
          <cell r="J32">
            <v>1.0430344</v>
          </cell>
          <cell r="K32">
            <v>1.0625084946399999</v>
          </cell>
        </row>
        <row r="33">
          <cell r="B33">
            <v>2010</v>
          </cell>
          <cell r="C33">
            <v>0</v>
          </cell>
          <cell r="D33">
            <v>0</v>
          </cell>
          <cell r="E33">
            <v>0</v>
          </cell>
          <cell r="F33">
            <v>1</v>
          </cell>
          <cell r="G33">
            <v>1.0208003625186497</v>
          </cell>
          <cell r="H33">
            <v>1.04</v>
          </cell>
          <cell r="I33">
            <v>1.048</v>
          </cell>
          <cell r="J33">
            <v>1.0675887999999998</v>
          </cell>
          <cell r="K33">
            <v>1.0876301012799998</v>
          </cell>
        </row>
        <row r="34">
          <cell r="B34">
            <v>2009</v>
          </cell>
          <cell r="C34">
            <v>0</v>
          </cell>
          <cell r="D34">
            <v>0</v>
          </cell>
          <cell r="E34">
            <v>1</v>
          </cell>
          <cell r="F34">
            <v>1.0159621178758456</v>
          </cell>
          <cell r="G34">
            <v>1.0371775026924737</v>
          </cell>
          <cell r="H34">
            <v>1.056</v>
          </cell>
          <cell r="I34">
            <v>1.0640000000000001</v>
          </cell>
          <cell r="J34">
            <v>1.0839584</v>
          </cell>
          <cell r="K34">
            <v>1.1043778390400001</v>
          </cell>
        </row>
        <row r="35">
          <cell r="B35">
            <v>2008</v>
          </cell>
          <cell r="C35">
            <v>0</v>
          </cell>
          <cell r="D35">
            <v>1</v>
          </cell>
          <cell r="E35">
            <v>1.0001290851525908</v>
          </cell>
          <cell r="F35">
            <v>1.0160937786189632</v>
          </cell>
          <cell r="G35">
            <v>1.0373125866745745</v>
          </cell>
          <cell r="H35">
            <v>1.056</v>
          </cell>
          <cell r="I35">
            <v>1.0640000000000001</v>
          </cell>
          <cell r="J35">
            <v>1.0839584</v>
          </cell>
          <cell r="K35">
            <v>1.1043778390400001</v>
          </cell>
        </row>
        <row r="36">
          <cell r="B36">
            <v>2007</v>
          </cell>
          <cell r="C36">
            <v>1</v>
          </cell>
          <cell r="D36">
            <v>1.0319039326657959</v>
          </cell>
          <cell r="E36">
            <v>1.0320381657234072</v>
          </cell>
          <cell r="F36">
            <v>1.0486395298215063</v>
          </cell>
          <cell r="G36">
            <v>1.0707045421564358</v>
          </cell>
          <cell r="H36">
            <v>1.0880000000000001</v>
          </cell>
          <cell r="I36">
            <v>1.0960000000000001</v>
          </cell>
          <cell r="J36">
            <v>1.1166976</v>
          </cell>
          <cell r="K36">
            <v>1.1378733145599997</v>
          </cell>
        </row>
        <row r="37">
          <cell r="B37">
            <v>2006</v>
          </cell>
          <cell r="C37">
            <v>1.0205097674418604</v>
          </cell>
          <cell r="D37">
            <v>1.0532316279069769</v>
          </cell>
          <cell r="E37">
            <v>1.0533693023255812</v>
          </cell>
          <cell r="F37">
            <v>1.0703962790697674</v>
          </cell>
          <cell r="G37">
            <v>1.093026976744186</v>
          </cell>
          <cell r="H37">
            <v>1.1119999999999999</v>
          </cell>
          <cell r="I37">
            <v>1.1199999999999999</v>
          </cell>
          <cell r="J37">
            <v>1.1412519999999999</v>
          </cell>
          <cell r="K37">
            <v>1.1629949211999997</v>
          </cell>
        </row>
        <row r="38">
          <cell r="B38">
            <v>2005</v>
          </cell>
          <cell r="C38">
            <v>1.0501667469879519</v>
          </cell>
          <cell r="D38">
            <v>1.0840713253012049</v>
          </cell>
          <cell r="E38">
            <v>1.0842139759036145</v>
          </cell>
          <cell r="F38">
            <v>1.1018563855421688</v>
          </cell>
          <cell r="G38">
            <v>1.1253050602409638</v>
          </cell>
          <cell r="H38">
            <v>1.1439999999999999</v>
          </cell>
          <cell r="I38">
            <v>1.1519999999999999</v>
          </cell>
          <cell r="J38">
            <v>1.1739911999999999</v>
          </cell>
          <cell r="K38">
            <v>1.1964903967199998</v>
          </cell>
        </row>
        <row r="39">
          <cell r="B39">
            <v>2004</v>
          </cell>
          <cell r="C39">
            <v>1.0811668331668334</v>
          </cell>
          <cell r="D39">
            <v>1.1163076923076924</v>
          </cell>
          <cell r="E39">
            <v>1.1164555444555444</v>
          </cell>
          <cell r="F39">
            <v>1.1347412587412589</v>
          </cell>
          <cell r="G39">
            <v>1.1590449550449551</v>
          </cell>
          <cell r="H39">
            <v>1.1759999999999999</v>
          </cell>
          <cell r="I39">
            <v>1.1839999999999999</v>
          </cell>
          <cell r="J39">
            <v>1.2067303999999999</v>
          </cell>
          <cell r="K39">
            <v>1.2299858722399999</v>
          </cell>
        </row>
        <row r="40">
          <cell r="B40">
            <v>2003</v>
          </cell>
          <cell r="C40">
            <v>1.1116775193798449</v>
          </cell>
          <cell r="D40">
            <v>1.148035142118863</v>
          </cell>
          <cell r="E40">
            <v>1.1481881136950904</v>
          </cell>
          <cell r="F40">
            <v>1.167106976744186</v>
          </cell>
          <cell r="G40">
            <v>1.1922521963824289</v>
          </cell>
          <cell r="H40">
            <v>1.2</v>
          </cell>
          <cell r="I40">
            <v>1.208</v>
          </cell>
          <cell r="J40">
            <v>1.2312847999999998</v>
          </cell>
          <cell r="K40">
            <v>1.2551074788799998</v>
          </cell>
        </row>
        <row r="41">
          <cell r="B41">
            <v>2002</v>
          </cell>
          <cell r="C41">
            <v>1.1373517534537725</v>
          </cell>
          <cell r="D41">
            <v>1.1747332624867164</v>
          </cell>
          <cell r="E41">
            <v>1.1748905419766207</v>
          </cell>
          <cell r="F41">
            <v>1.1943421891604677</v>
          </cell>
          <cell r="G41">
            <v>1.2201955366631245</v>
          </cell>
          <cell r="H41">
            <v>1.224</v>
          </cell>
          <cell r="I41">
            <v>1.232</v>
          </cell>
          <cell r="J41">
            <v>1.2558392</v>
          </cell>
          <cell r="K41">
            <v>1.2802290855199998</v>
          </cell>
        </row>
        <row r="42">
          <cell r="B42">
            <v>2001</v>
          </cell>
          <cell r="C42">
            <v>1.1566681127982645</v>
          </cell>
          <cell r="D42">
            <v>1.194819956616052</v>
          </cell>
          <cell r="E42">
            <v>1.1949804772234274</v>
          </cell>
          <cell r="F42">
            <v>1.2148329718004338</v>
          </cell>
          <cell r="G42">
            <v>1.2412190889370933</v>
          </cell>
          <cell r="H42">
            <v>1.24</v>
          </cell>
          <cell r="I42">
            <v>1.248</v>
          </cell>
          <cell r="J42">
            <v>1.2722088</v>
          </cell>
          <cell r="K42">
            <v>1.2969768232799999</v>
          </cell>
        </row>
        <row r="43">
          <cell r="B43">
            <v>2000</v>
          </cell>
          <cell r="C43">
            <v>1.1833311036789298</v>
          </cell>
          <cell r="D43">
            <v>1.2225462653288741</v>
          </cell>
          <cell r="E43">
            <v>1.2227112597547378</v>
          </cell>
          <cell r="F43">
            <v>1.2431170568561873</v>
          </cell>
          <cell r="G43">
            <v>1.2702385730211818</v>
          </cell>
          <cell r="H43">
            <v>1.264</v>
          </cell>
          <cell r="I43">
            <v>1.28</v>
          </cell>
          <cell r="J43">
            <v>1.304948</v>
          </cell>
          <cell r="K43">
            <v>1.3304722987999997</v>
          </cell>
        </row>
        <row r="44">
          <cell r="B44">
            <v>1999</v>
          </cell>
          <cell r="C44">
            <v>1.2167700288184438</v>
          </cell>
          <cell r="D44">
            <v>1.2573187319884727</v>
          </cell>
          <cell r="E44">
            <v>1.2574893371757925</v>
          </cell>
          <cell r="F44">
            <v>1.2785890489913545</v>
          </cell>
          <cell r="G44">
            <v>1.3066328530259366</v>
          </cell>
          <cell r="H44">
            <v>1.3039999999999998</v>
          </cell>
          <cell r="I44">
            <v>1.3119999999999998</v>
          </cell>
          <cell r="J44">
            <v>1.3376872</v>
          </cell>
          <cell r="K44">
            <v>1.3639677743199998</v>
          </cell>
        </row>
        <row r="45">
          <cell r="B45">
            <v>1998</v>
          </cell>
          <cell r="C45">
            <v>1.2377035294117646</v>
          </cell>
          <cell r="D45">
            <v>1.2790870588235295</v>
          </cell>
          <cell r="E45">
            <v>1.2792611764705881</v>
          </cell>
          <cell r="F45">
            <v>1.300795294117647</v>
          </cell>
          <cell r="G45">
            <v>1.3294164705882354</v>
          </cell>
          <cell r="H45">
            <v>1.3279999999999998</v>
          </cell>
          <cell r="I45">
            <v>1.3359999999999999</v>
          </cell>
          <cell r="J45">
            <v>1.3622415999999997</v>
          </cell>
          <cell r="K45">
            <v>0</v>
          </cell>
        </row>
        <row r="46">
          <cell r="B46">
            <v>1997</v>
          </cell>
          <cell r="C46">
            <v>1.2525632458233891</v>
          </cell>
          <cell r="D46">
            <v>1.2945393794749405</v>
          </cell>
          <cell r="E46">
            <v>1.2947159904534606</v>
          </cell>
          <cell r="F46">
            <v>1.3165584725536994</v>
          </cell>
          <cell r="G46">
            <v>1.3455894988066828</v>
          </cell>
          <cell r="H46">
            <v>1.3439999999999999</v>
          </cell>
          <cell r="I46">
            <v>1.3599999999999999</v>
          </cell>
          <cell r="J46">
            <v>0</v>
          </cell>
          <cell r="K46">
            <v>0</v>
          </cell>
        </row>
        <row r="47">
          <cell r="B47">
            <v>1996</v>
          </cell>
          <cell r="C47">
            <v>1.2782982885085574</v>
          </cell>
          <cell r="D47">
            <v>1.3213007334963325</v>
          </cell>
          <cell r="E47">
            <v>1.3214816625916872</v>
          </cell>
          <cell r="F47">
            <v>1.3438581907090466</v>
          </cell>
          <cell r="G47">
            <v>1.3735990220048901</v>
          </cell>
          <cell r="H47">
            <v>1.3679999999999999</v>
          </cell>
          <cell r="K47">
            <v>0</v>
          </cell>
        </row>
        <row r="48">
          <cell r="B48">
            <v>1995</v>
          </cell>
          <cell r="C48">
            <v>1.3087969830295412</v>
          </cell>
          <cell r="D48">
            <v>1.3530157133878065</v>
          </cell>
          <cell r="E48">
            <v>1.3532017598994344</v>
          </cell>
          <cell r="F48">
            <v>1.3762111879321182</v>
          </cell>
          <cell r="G48">
            <v>1.4067932118164677</v>
          </cell>
          <cell r="H48">
            <v>0</v>
          </cell>
          <cell r="I48">
            <v>0</v>
          </cell>
          <cell r="J48">
            <v>0</v>
          </cell>
          <cell r="K48">
            <v>0</v>
          </cell>
        </row>
        <row r="128">
          <cell r="B128" t="str">
            <v>Placeholder</v>
          </cell>
        </row>
        <row r="129">
          <cell r="B129" t="str">
            <v>In Process</v>
          </cell>
        </row>
        <row r="130">
          <cell r="B130" t="str">
            <v>In Process -Easy</v>
          </cell>
        </row>
        <row r="131">
          <cell r="B131" t="str">
            <v>In Process -Hard</v>
          </cell>
        </row>
        <row r="132">
          <cell r="B132" t="str">
            <v>Ready for Review</v>
          </cell>
        </row>
        <row r="133">
          <cell r="B133" t="str">
            <v>Reviewed</v>
          </cell>
        </row>
        <row r="134">
          <cell r="B134" t="str">
            <v>Finished</v>
          </cell>
        </row>
        <row r="135">
          <cell r="B135" t="str">
            <v>Dropped</v>
          </cell>
        </row>
      </sheetData>
      <sheetData sheetId="5">
        <row r="2">
          <cell r="A2">
            <v>3</v>
          </cell>
        </row>
        <row r="4">
          <cell r="C4">
            <v>0</v>
          </cell>
        </row>
        <row r="9">
          <cell r="B9">
            <v>1</v>
          </cell>
          <cell r="C9">
            <v>1</v>
          </cell>
          <cell r="D9">
            <v>1</v>
          </cell>
          <cell r="E9">
            <v>0</v>
          </cell>
          <cell r="F9">
            <v>0</v>
          </cell>
          <cell r="G9">
            <v>0</v>
          </cell>
          <cell r="H9">
            <v>2000</v>
          </cell>
          <cell r="I9">
            <v>3000</v>
          </cell>
          <cell r="J9">
            <v>0</v>
          </cell>
          <cell r="K9">
            <v>0</v>
          </cell>
          <cell r="L9">
            <v>1000</v>
          </cell>
          <cell r="M9">
            <v>1000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0.2</v>
          </cell>
          <cell r="AF9">
            <v>0.8</v>
          </cell>
          <cell r="AG9">
            <v>0</v>
          </cell>
          <cell r="AH9">
            <v>0</v>
          </cell>
          <cell r="AI9">
            <v>0</v>
          </cell>
          <cell r="AJ9">
            <v>0</v>
          </cell>
          <cell r="AK9">
            <v>0</v>
          </cell>
          <cell r="AL9">
            <v>0</v>
          </cell>
          <cell r="AM9">
            <v>0</v>
          </cell>
          <cell r="AN9">
            <v>0</v>
          </cell>
          <cell r="AO9">
            <v>0</v>
          </cell>
          <cell r="AP9">
            <v>0</v>
          </cell>
        </row>
        <row r="10">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row>
        <row r="11">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row>
      </sheetData>
      <sheetData sheetId="6">
        <row r="3">
          <cell r="A3">
            <v>0</v>
          </cell>
        </row>
      </sheetData>
      <sheetData sheetId="7">
        <row r="5">
          <cell r="A5">
            <v>0</v>
          </cell>
        </row>
      </sheetData>
      <sheetData sheetId="8"/>
      <sheetData sheetId="9"/>
      <sheetData sheetId="10">
        <row r="4">
          <cell r="B4" t="str">
            <v>Residential</v>
          </cell>
          <cell r="D4" t="str">
            <v>RET</v>
          </cell>
        </row>
        <row r="5">
          <cell r="B5" t="str">
            <v>Commercial</v>
          </cell>
          <cell r="D5" t="str">
            <v>MD</v>
          </cell>
        </row>
        <row r="6">
          <cell r="B6" t="str">
            <v>Industrial</v>
          </cell>
        </row>
        <row r="9">
          <cell r="B9" t="str">
            <v>E</v>
          </cell>
        </row>
        <row r="10">
          <cell r="B10" t="str">
            <v>G</v>
          </cell>
        </row>
        <row r="20">
          <cell r="B20" t="str">
            <v>Indoor Lighting</v>
          </cell>
        </row>
        <row r="21">
          <cell r="B21" t="str">
            <v>Exterior Lighting</v>
          </cell>
        </row>
        <row r="22">
          <cell r="B22" t="str">
            <v>Space Heating</v>
          </cell>
        </row>
        <row r="23">
          <cell r="B23" t="str">
            <v>Cooling</v>
          </cell>
        </row>
        <row r="24">
          <cell r="B24" t="str">
            <v>Ventilation</v>
          </cell>
        </row>
        <row r="25">
          <cell r="B25" t="str">
            <v>Water Heating</v>
          </cell>
        </row>
        <row r="26">
          <cell r="B26" t="str">
            <v>Refrigeration</v>
          </cell>
        </row>
        <row r="27">
          <cell r="B27" t="str">
            <v>Cooking</v>
          </cell>
        </row>
        <row r="28">
          <cell r="B28" t="str">
            <v>Appliances</v>
          </cell>
        </row>
        <row r="29">
          <cell r="B29" t="str">
            <v>Plug Loads</v>
          </cell>
        </row>
        <row r="30">
          <cell r="B30" t="str">
            <v>Data Center</v>
          </cell>
        </row>
        <row r="31">
          <cell r="B31" t="str">
            <v>Pools/Hot Tubs</v>
          </cell>
        </row>
        <row r="32">
          <cell r="B32" t="str">
            <v>Process Heating</v>
          </cell>
        </row>
        <row r="33">
          <cell r="B33" t="str">
            <v>Process Cooling and Refrigeration</v>
          </cell>
        </row>
        <row r="34">
          <cell r="B34" t="str">
            <v>Motors - Compressed Air</v>
          </cell>
        </row>
        <row r="35">
          <cell r="B35" t="str">
            <v>Motors - Fans/Blowers</v>
          </cell>
        </row>
        <row r="36">
          <cell r="B36" t="str">
            <v>Motors - Pumps</v>
          </cell>
        </row>
        <row r="37">
          <cell r="B37" t="str">
            <v>Motors - Drives</v>
          </cell>
        </row>
        <row r="38">
          <cell r="B38" t="str">
            <v>Electrochemical</v>
          </cell>
        </row>
        <row r="39">
          <cell r="B39" t="str">
            <v>Other</v>
          </cell>
        </row>
        <row r="40">
          <cell r="B40" t="str">
            <v>Total Electric</v>
          </cell>
        </row>
        <row r="41">
          <cell r="B41" t="str">
            <v>Total Gas</v>
          </cell>
        </row>
        <row r="44">
          <cell r="B44" t="str">
            <v>Single Family</v>
          </cell>
        </row>
        <row r="45">
          <cell r="B45" t="str">
            <v>Multifamily (2-4 units)</v>
          </cell>
        </row>
        <row r="46">
          <cell r="B46" t="str">
            <v>Multifamily (5+ units)</v>
          </cell>
        </row>
        <row r="47">
          <cell r="B47" t="str">
            <v>LI Single Family</v>
          </cell>
        </row>
        <row r="48">
          <cell r="B48" t="str">
            <v>LI Multifamily (2-4 units)</v>
          </cell>
        </row>
        <row r="49">
          <cell r="B49" t="str">
            <v>LI Multifamily (5+ units)</v>
          </cell>
        </row>
        <row r="50">
          <cell r="B50" t="str">
            <v>Small Office</v>
          </cell>
        </row>
        <row r="51">
          <cell r="B51" t="str">
            <v>Large Office</v>
          </cell>
        </row>
        <row r="52">
          <cell r="B52" t="str">
            <v>Small Retail</v>
          </cell>
        </row>
        <row r="53">
          <cell r="B53" t="str">
            <v>Large Retail</v>
          </cell>
        </row>
        <row r="54">
          <cell r="B54" t="str">
            <v>Warehouse</v>
          </cell>
        </row>
        <row r="55">
          <cell r="B55" t="str">
            <v>Education</v>
          </cell>
        </row>
        <row r="56">
          <cell r="B56" t="str">
            <v>Street Lighting</v>
          </cell>
        </row>
        <row r="57">
          <cell r="B57" t="str">
            <v>Healthcare</v>
          </cell>
        </row>
        <row r="58">
          <cell r="B58" t="str">
            <v>Lodging</v>
          </cell>
        </row>
        <row r="59">
          <cell r="B59" t="str">
            <v>Food Sales</v>
          </cell>
        </row>
        <row r="60">
          <cell r="B60" t="str">
            <v>Food Service</v>
          </cell>
        </row>
        <row r="61">
          <cell r="B61" t="str">
            <v>Data Center</v>
          </cell>
        </row>
        <row r="62">
          <cell r="B62" t="str">
            <v>Public Assembly</v>
          </cell>
        </row>
        <row r="63">
          <cell r="B63" t="str">
            <v>Agriculture</v>
          </cell>
        </row>
        <row r="64">
          <cell r="B64" t="str">
            <v>Other</v>
          </cell>
        </row>
        <row r="65">
          <cell r="B65" t="str">
            <v>Industrial</v>
          </cell>
        </row>
        <row r="66">
          <cell r="B66" t="str">
            <v>Bldg23</v>
          </cell>
        </row>
        <row r="67">
          <cell r="B67" t="str">
            <v>Bldg24</v>
          </cell>
        </row>
        <row r="68">
          <cell r="B68" t="str">
            <v>Bldg25</v>
          </cell>
        </row>
        <row r="69">
          <cell r="B69" t="str">
            <v>Bldg26</v>
          </cell>
        </row>
        <row r="70">
          <cell r="B70" t="str">
            <v>Bldg27</v>
          </cell>
        </row>
        <row r="71">
          <cell r="B71" t="str">
            <v>Bldg28</v>
          </cell>
        </row>
        <row r="72">
          <cell r="B72" t="str">
            <v>Bldg29</v>
          </cell>
        </row>
        <row r="73">
          <cell r="B73" t="str">
            <v>Bldg30</v>
          </cell>
        </row>
        <row r="74">
          <cell r="B74" t="str">
            <v>All</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Chart - First Cost"/>
      <sheetName val="Chart - Energy Cost"/>
      <sheetName val="Chart - PV of Costs"/>
      <sheetName val="HeaterData"/>
      <sheetName val="StatesTable"/>
      <sheetName val="ListCost"/>
      <sheetName val="NPVTable"/>
      <sheetName val="Figure 1"/>
    </sheetNames>
    <sheetDataSet>
      <sheetData sheetId="0"/>
      <sheetData sheetId="1" refreshError="1"/>
      <sheetData sheetId="2" refreshError="1"/>
      <sheetData sheetId="3" refreshError="1"/>
      <sheetData sheetId="4">
        <row r="7">
          <cell r="A7" t="str">
            <v>Field1</v>
          </cell>
          <cell r="B7" t="str">
            <v>Field2</v>
          </cell>
          <cell r="C7" t="str">
            <v>Field3</v>
          </cell>
          <cell r="D7" t="str">
            <v>Field4</v>
          </cell>
          <cell r="E7" t="str">
            <v>Field5</v>
          </cell>
          <cell r="F7" t="str">
            <v>Field6</v>
          </cell>
          <cell r="G7" t="str">
            <v>Field7</v>
          </cell>
          <cell r="H7" t="str">
            <v>Field8</v>
          </cell>
          <cell r="I7" t="str">
            <v>Field9</v>
          </cell>
          <cell r="J7" t="str">
            <v>Field10</v>
          </cell>
          <cell r="K7" t="str">
            <v>Field11</v>
          </cell>
          <cell r="L7" t="str">
            <v>Field12</v>
          </cell>
          <cell r="M7" t="str">
            <v>Field13</v>
          </cell>
          <cell r="N7" t="str">
            <v>Field14</v>
          </cell>
          <cell r="O7" t="str">
            <v>Field15</v>
          </cell>
          <cell r="P7" t="str">
            <v>Field16</v>
          </cell>
          <cell r="Q7" t="str">
            <v>Field17</v>
          </cell>
          <cell r="R7" t="str">
            <v>Field18</v>
          </cell>
          <cell r="S7" t="str">
            <v>Field19</v>
          </cell>
          <cell r="T7" t="str">
            <v>Field20</v>
          </cell>
          <cell r="U7" t="str">
            <v>Field21</v>
          </cell>
          <cell r="V7" t="str">
            <v>Field22</v>
          </cell>
          <cell r="W7" t="str">
            <v>Field23</v>
          </cell>
          <cell r="X7" t="str">
            <v>Field24</v>
          </cell>
          <cell r="Y7" t="str">
            <v>Field25</v>
          </cell>
          <cell r="Z7" t="str">
            <v>Field26</v>
          </cell>
          <cell r="AA7" t="str">
            <v>Field27</v>
          </cell>
          <cell r="AB7" t="str">
            <v>Field28</v>
          </cell>
          <cell r="AC7" t="str">
            <v>Field29</v>
          </cell>
          <cell r="AD7" t="str">
            <v>Field30</v>
          </cell>
          <cell r="AE7" t="str">
            <v>Field31</v>
          </cell>
          <cell r="AF7" t="str">
            <v>Field32</v>
          </cell>
          <cell r="AG7" t="str">
            <v>Field33</v>
          </cell>
          <cell r="AH7" t="str">
            <v>Field34</v>
          </cell>
          <cell r="AI7" t="str">
            <v>Field35</v>
          </cell>
        </row>
        <row r="8">
          <cell r="A8" t="str">
            <v>Water Heater Technology</v>
          </cell>
          <cell r="B8" t="str">
            <v>Energy Type</v>
          </cell>
          <cell r="C8" t="str">
            <v>Minimum Size Comment</v>
          </cell>
          <cell r="D8" t="str">
            <v>Thermal Efficiency</v>
          </cell>
          <cell r="E8" t="str">
            <v>Minimum Technology Demand</v>
          </cell>
          <cell r="F8">
            <v>0</v>
          </cell>
          <cell r="G8" t="str">
            <v>Cost Comment</v>
          </cell>
          <cell r="H8" t="str">
            <v>Cost Reference</v>
          </cell>
          <cell r="I8" t="str">
            <v>Model Reference</v>
          </cell>
          <cell r="J8" t="str">
            <v>Cost Regression Coefficient
 for Intercept</v>
          </cell>
          <cell r="K8" t="str">
            <v>Cost Regression Coefficient for Gallons</v>
          </cell>
          <cell r="L8" t="str">
            <v>Cost Regression Coefficient for BTUH</v>
          </cell>
          <cell r="M8" t="str">
            <v>Installation Cost</v>
          </cell>
          <cell r="N8" t="str">
            <v>O&amp;M Cost</v>
          </cell>
          <cell r="O8" t="str">
            <v>Energy Conversion By Fuel Type</v>
          </cell>
          <cell r="P8">
            <v>0</v>
          </cell>
          <cell r="Q8" t="str">
            <v>Annual Energy Cost</v>
          </cell>
          <cell r="R8" t="str">
            <v>Chart X Axis</v>
          </cell>
          <cell r="S8" t="str">
            <v>Annual Energy Cost</v>
          </cell>
          <cell r="T8" t="str">
            <v>Chart X Axis</v>
          </cell>
          <cell r="U8" t="str">
            <v>First Cost</v>
          </cell>
          <cell r="V8" t="str">
            <v>NPV Energy Cost</v>
          </cell>
          <cell r="W8" t="str">
            <v>NPV O&amp;M</v>
          </cell>
          <cell r="X8">
            <v>0</v>
          </cell>
          <cell r="Y8" t="str">
            <v>Number of Heaters</v>
          </cell>
          <cell r="Z8" t="str">
            <v>Equpment Cost LookUp</v>
          </cell>
          <cell r="AA8" t="str">
            <v>Total Heater Storage Gallons</v>
          </cell>
          <cell r="AB8">
            <v>0</v>
          </cell>
          <cell r="AC8" t="str">
            <v>Selected Energy Rates</v>
          </cell>
          <cell r="AD8" t="str">
            <v>Energy Units</v>
          </cell>
          <cell r="AE8" t="str">
            <v>Btu per Unit of Energy</v>
          </cell>
          <cell r="AF8" t="str">
            <v>Field26</v>
          </cell>
          <cell r="AG8" t="str">
            <v>Field27</v>
          </cell>
          <cell r="AH8" t="str">
            <v>Field28</v>
          </cell>
          <cell r="AI8" t="str">
            <v>Field29</v>
          </cell>
        </row>
        <row r="9">
          <cell r="A9" t="str">
            <v>Electric Standard Tank</v>
          </cell>
          <cell r="B9" t="str">
            <v>Electric</v>
          </cell>
          <cell r="C9" t="str">
            <v>"This scenario's demand is "&amp;Demand Recovery&amp;" and appears to be a poor fit for this water heater technology"</v>
          </cell>
          <cell r="D9">
            <v>0.98</v>
          </cell>
          <cell r="E9">
            <v>0</v>
          </cell>
          <cell r="F9">
            <v>0</v>
          </cell>
          <cell r="G9">
            <v>0</v>
          </cell>
          <cell r="H9" t="str">
            <v>Lochinvar</v>
          </cell>
          <cell r="I9" t="str">
            <v>Standard Hi-Power Electric Water Heaters</v>
          </cell>
          <cell r="J9" t="str">
            <v>reg. not used</v>
          </cell>
          <cell r="K9" t="str">
            <v>reg. not used</v>
          </cell>
          <cell r="L9" t="str">
            <v>reg. not used</v>
          </cell>
          <cell r="M9">
            <v>800</v>
          </cell>
          <cell r="N9">
            <v>200</v>
          </cell>
          <cell r="O9">
            <v>2.4413833528722159E-3</v>
          </cell>
          <cell r="P9">
            <v>0</v>
          </cell>
          <cell r="Q9">
            <v>636.50351699882776</v>
          </cell>
          <cell r="R9" t="str">
            <v>Electric Standard Tank</v>
          </cell>
          <cell r="S9">
            <v>636.50351699882776</v>
          </cell>
          <cell r="T9" t="str">
            <v>Electric Standard Tank</v>
          </cell>
          <cell r="U9">
            <v>9629</v>
          </cell>
          <cell r="V9">
            <v>7638.0422039859332</v>
          </cell>
          <cell r="W9">
            <v>2400</v>
          </cell>
          <cell r="X9">
            <v>0</v>
          </cell>
          <cell r="Y9">
            <v>1</v>
          </cell>
          <cell r="Z9">
            <v>8829</v>
          </cell>
          <cell r="AA9">
            <v>119</v>
          </cell>
          <cell r="AB9">
            <v>0</v>
          </cell>
          <cell r="AC9">
            <v>0.1</v>
          </cell>
          <cell r="AD9" t="str">
            <v>kWh</v>
          </cell>
          <cell r="AE9">
            <v>3412</v>
          </cell>
          <cell r="AF9">
            <v>0</v>
          </cell>
          <cell r="AG9">
            <v>0</v>
          </cell>
          <cell r="AH9">
            <v>0</v>
          </cell>
          <cell r="AI9">
            <v>0</v>
          </cell>
        </row>
        <row r="10">
          <cell r="A10" t="str">
            <v>Nat. Gas Standard Tank</v>
          </cell>
          <cell r="B10" t="str">
            <v>Natural Gas</v>
          </cell>
          <cell r="C10">
            <v>0</v>
          </cell>
          <cell r="D10">
            <v>0.85</v>
          </cell>
          <cell r="E10">
            <v>0</v>
          </cell>
          <cell r="F10">
            <v>0</v>
          </cell>
          <cell r="G10">
            <v>0</v>
          </cell>
          <cell r="H10" t="str">
            <v>A. O. Smith</v>
          </cell>
          <cell r="I10">
            <v>0</v>
          </cell>
          <cell r="J10" t="str">
            <v>reg. not used</v>
          </cell>
          <cell r="K10" t="str">
            <v>reg. not used</v>
          </cell>
          <cell r="L10" t="str">
            <v>reg. not used</v>
          </cell>
          <cell r="M10">
            <v>1000</v>
          </cell>
          <cell r="N10">
            <v>200</v>
          </cell>
          <cell r="O10">
            <v>8.3300000000000005E-5</v>
          </cell>
          <cell r="P10">
            <v>0</v>
          </cell>
          <cell r="Q10">
            <v>250.39</v>
          </cell>
          <cell r="R10" t="str">
            <v>Nat. Gas Standard Tank</v>
          </cell>
          <cell r="S10">
            <v>250.39</v>
          </cell>
          <cell r="T10" t="str">
            <v>Nat. Gas Standard Tank</v>
          </cell>
          <cell r="U10">
            <v>7187.23</v>
          </cell>
          <cell r="V10">
            <v>3004.68</v>
          </cell>
          <cell r="W10">
            <v>2400</v>
          </cell>
          <cell r="X10">
            <v>0</v>
          </cell>
          <cell r="Y10">
            <v>1</v>
          </cell>
          <cell r="Z10">
            <v>6187.23</v>
          </cell>
          <cell r="AA10">
            <v>71</v>
          </cell>
          <cell r="AB10">
            <v>0</v>
          </cell>
          <cell r="AC10">
            <v>1</v>
          </cell>
          <cell r="AD10" t="str">
            <v>Therms</v>
          </cell>
          <cell r="AE10">
            <v>100000</v>
          </cell>
          <cell r="AF10">
            <v>0</v>
          </cell>
          <cell r="AG10">
            <v>0</v>
          </cell>
          <cell r="AH10">
            <v>0</v>
          </cell>
          <cell r="AI10">
            <v>0</v>
          </cell>
        </row>
        <row r="11">
          <cell r="A11" t="str">
            <v>Nat. Gas Condensing Tank</v>
          </cell>
          <cell r="B11" t="str">
            <v>Natural Gas</v>
          </cell>
          <cell r="C11">
            <v>0</v>
          </cell>
          <cell r="D11">
            <v>0.95</v>
          </cell>
          <cell r="E11">
            <v>0</v>
          </cell>
          <cell r="F11">
            <v>0</v>
          </cell>
          <cell r="G11">
            <v>0</v>
          </cell>
          <cell r="H11" t="str">
            <v>A. O. Smith</v>
          </cell>
          <cell r="I11">
            <v>0</v>
          </cell>
          <cell r="J11" t="str">
            <v>reg. not used</v>
          </cell>
          <cell r="K11" t="str">
            <v>reg. not used</v>
          </cell>
          <cell r="L11" t="str">
            <v>reg. not used</v>
          </cell>
          <cell r="M11">
            <v>2000</v>
          </cell>
          <cell r="N11">
            <v>200</v>
          </cell>
          <cell r="O11">
            <v>2.4413833528722159E-3</v>
          </cell>
          <cell r="P11">
            <v>0</v>
          </cell>
          <cell r="Q11">
            <v>224.03315789473686</v>
          </cell>
          <cell r="R11" t="str">
            <v>Nat. Gas Condensing Tank</v>
          </cell>
          <cell r="S11">
            <v>224.03315789473686</v>
          </cell>
          <cell r="T11" t="str">
            <v>Nat. Gas Condensing Tank</v>
          </cell>
          <cell r="U11">
            <v>5268.3</v>
          </cell>
          <cell r="V11">
            <v>2688.3978947368423</v>
          </cell>
          <cell r="W11">
            <v>2400</v>
          </cell>
          <cell r="X11">
            <v>0</v>
          </cell>
          <cell r="Y11">
            <v>1</v>
          </cell>
          <cell r="Z11">
            <v>3268.3</v>
          </cell>
          <cell r="AA11">
            <v>50</v>
          </cell>
          <cell r="AB11">
            <v>0</v>
          </cell>
          <cell r="AC11">
            <v>1</v>
          </cell>
          <cell r="AD11" t="str">
            <v>Therms</v>
          </cell>
          <cell r="AE11">
            <v>100000</v>
          </cell>
          <cell r="AF11">
            <v>0</v>
          </cell>
          <cell r="AG11">
            <v>0</v>
          </cell>
          <cell r="AH11">
            <v>0</v>
          </cell>
          <cell r="AI11">
            <v>0</v>
          </cell>
        </row>
        <row r="12">
          <cell r="A12" t="str">
            <v>Nat. Gas CWH No Storage</v>
          </cell>
          <cell r="B12" t="str">
            <v>Natural Gas</v>
          </cell>
          <cell r="C12">
            <v>0</v>
          </cell>
          <cell r="D12">
            <v>0.95</v>
          </cell>
          <cell r="E12">
            <v>0</v>
          </cell>
          <cell r="F12">
            <v>0</v>
          </cell>
          <cell r="G12">
            <v>0</v>
          </cell>
          <cell r="H12" t="str">
            <v>A. O. Smith</v>
          </cell>
          <cell r="I12">
            <v>0</v>
          </cell>
          <cell r="J12" t="str">
            <v>reg. not used</v>
          </cell>
          <cell r="K12" t="str">
            <v>reg. not used</v>
          </cell>
          <cell r="L12" t="str">
            <v>reg. not used</v>
          </cell>
          <cell r="M12">
            <v>1000</v>
          </cell>
          <cell r="N12">
            <v>200</v>
          </cell>
          <cell r="O12">
            <v>2.4413833528722159E-3</v>
          </cell>
          <cell r="P12">
            <v>0</v>
          </cell>
          <cell r="Q12">
            <v>224.03315789473686</v>
          </cell>
          <cell r="R12" t="str">
            <v>Nat. Gas CWH No Storage</v>
          </cell>
          <cell r="S12">
            <v>224.03315789473686</v>
          </cell>
          <cell r="T12" t="str">
            <v>Nat. Gas CWH No Storage</v>
          </cell>
          <cell r="U12">
            <v>4268.3</v>
          </cell>
          <cell r="V12">
            <v>2688.3978947368423</v>
          </cell>
          <cell r="W12">
            <v>2400</v>
          </cell>
          <cell r="X12">
            <v>0</v>
          </cell>
          <cell r="Y12">
            <v>1</v>
          </cell>
          <cell r="Z12">
            <v>3268.3</v>
          </cell>
          <cell r="AA12">
            <v>50</v>
          </cell>
          <cell r="AB12">
            <v>0</v>
          </cell>
          <cell r="AC12">
            <v>1</v>
          </cell>
          <cell r="AD12" t="str">
            <v>Therms</v>
          </cell>
          <cell r="AE12">
            <v>100000</v>
          </cell>
          <cell r="AF12">
            <v>0</v>
          </cell>
          <cell r="AG12">
            <v>0</v>
          </cell>
          <cell r="AH12">
            <v>0</v>
          </cell>
          <cell r="AI12">
            <v>0</v>
          </cell>
        </row>
        <row r="13">
          <cell r="A13" t="str">
            <v>Steam Indirect HX Tank</v>
          </cell>
          <cell r="B13" t="str">
            <v>Steam</v>
          </cell>
          <cell r="C13">
            <v>0</v>
          </cell>
          <cell r="D13">
            <v>0.85</v>
          </cell>
          <cell r="E13">
            <v>0</v>
          </cell>
          <cell r="F13">
            <v>0</v>
          </cell>
          <cell r="G13">
            <v>0</v>
          </cell>
          <cell r="H13" t="str">
            <v>Lochinvar</v>
          </cell>
          <cell r="I13" t="str">
            <v>Glass lined tank + double walled tube  bundle</v>
          </cell>
          <cell r="J13">
            <v>10468.88739655929</v>
          </cell>
          <cell r="K13">
            <v>23.622449294319178</v>
          </cell>
          <cell r="L13">
            <v>5.6394188008879126E-3</v>
          </cell>
          <cell r="M13">
            <v>2000</v>
          </cell>
          <cell r="N13">
            <v>200</v>
          </cell>
          <cell r="O13">
            <v>2.4413833528722159E-3</v>
          </cell>
          <cell r="P13">
            <v>0</v>
          </cell>
          <cell r="Q13" t="str">
            <v>N/A</v>
          </cell>
          <cell r="R13" t="str">
            <v>Steam Indirect HX Tank</v>
          </cell>
          <cell r="S13" t="str">
            <v>N/A</v>
          </cell>
          <cell r="T13" t="str">
            <v>Steam Indirect HX Tank</v>
          </cell>
          <cell r="U13" t="str">
            <v>N/A</v>
          </cell>
          <cell r="V13" t="str">
            <v>N/A</v>
          </cell>
          <cell r="W13" t="e">
            <v>#VALUE!</v>
          </cell>
          <cell r="X13">
            <v>0</v>
          </cell>
          <cell r="Y13">
            <v>1</v>
          </cell>
          <cell r="Z13" t="str">
            <v>N/A</v>
          </cell>
          <cell r="AA13" t="e">
            <v>#REF!</v>
          </cell>
          <cell r="AB13">
            <v>0</v>
          </cell>
          <cell r="AC13">
            <v>1.1764705882352942</v>
          </cell>
          <cell r="AD13" t="str">
            <v>100 lbs</v>
          </cell>
          <cell r="AE13">
            <v>100000</v>
          </cell>
          <cell r="AF13">
            <v>0</v>
          </cell>
          <cell r="AG13">
            <v>0</v>
          </cell>
          <cell r="AH13">
            <v>0</v>
          </cell>
          <cell r="AI13">
            <v>0</v>
          </cell>
        </row>
        <row r="14">
          <cell r="A14" t="str">
            <v>Electric Tankless</v>
          </cell>
          <cell r="B14" t="str">
            <v>Electric</v>
          </cell>
          <cell r="C14">
            <v>0</v>
          </cell>
          <cell r="D14">
            <v>0.99</v>
          </cell>
          <cell r="E14">
            <v>0</v>
          </cell>
          <cell r="F14">
            <v>0</v>
          </cell>
          <cell r="G14">
            <v>0</v>
          </cell>
          <cell r="H14" t="str">
            <v>Stielbel Eltron 36 Plus Electric 3gpm@82deltaT</v>
          </cell>
          <cell r="I14" t="str">
            <v>Tempra 36 Plus Electric 3gpm@82deltaT</v>
          </cell>
          <cell r="J14" t="str">
            <v>reg. not used</v>
          </cell>
          <cell r="K14" t="str">
            <v>reg. not used</v>
          </cell>
          <cell r="L14" t="str">
            <v>reg. not used</v>
          </cell>
          <cell r="M14">
            <v>800</v>
          </cell>
          <cell r="N14">
            <v>50</v>
          </cell>
          <cell r="O14">
            <v>2.4413833528722159E-3</v>
          </cell>
          <cell r="P14">
            <v>0</v>
          </cell>
          <cell r="Q14">
            <v>630.07418854429409</v>
          </cell>
          <cell r="R14" t="str">
            <v>Electric Tankless</v>
          </cell>
          <cell r="S14">
            <v>630.07418854429409</v>
          </cell>
          <cell r="T14" t="str">
            <v>Electric Tankless</v>
          </cell>
          <cell r="U14">
            <v>1529</v>
          </cell>
          <cell r="V14">
            <v>7560.8902625315295</v>
          </cell>
          <cell r="W14">
            <v>600</v>
          </cell>
          <cell r="X14">
            <v>0</v>
          </cell>
          <cell r="Y14">
            <v>1</v>
          </cell>
          <cell r="Z14">
            <v>729</v>
          </cell>
          <cell r="AA14">
            <v>0</v>
          </cell>
          <cell r="AB14">
            <v>0</v>
          </cell>
          <cell r="AC14">
            <v>0.1</v>
          </cell>
          <cell r="AD14" t="str">
            <v>kWh</v>
          </cell>
          <cell r="AE14">
            <v>3412</v>
          </cell>
          <cell r="AF14">
            <v>0</v>
          </cell>
          <cell r="AG14">
            <v>0</v>
          </cell>
          <cell r="AH14">
            <v>0</v>
          </cell>
          <cell r="AI14">
            <v>0</v>
          </cell>
        </row>
        <row r="15">
          <cell r="A15" t="str">
            <v>Nat. Gas Tankless</v>
          </cell>
          <cell r="B15" t="str">
            <v>Natural Gas</v>
          </cell>
          <cell r="C15">
            <v>0</v>
          </cell>
          <cell r="D15">
            <v>0.93</v>
          </cell>
          <cell r="E15">
            <v>0</v>
          </cell>
          <cell r="F15">
            <v>0</v>
          </cell>
          <cell r="G15">
            <v>0</v>
          </cell>
          <cell r="H15" t="str">
            <v>Noritz</v>
          </cell>
          <cell r="I15" t="str">
            <v>CWHeater  199,000 but/hr Model NCC199 SV NG</v>
          </cell>
          <cell r="J15" t="str">
            <v>reg. not used</v>
          </cell>
          <cell r="K15" t="str">
            <v>reg. not used</v>
          </cell>
          <cell r="L15" t="str">
            <v>reg. not used</v>
          </cell>
          <cell r="M15">
            <v>1000</v>
          </cell>
          <cell r="N15">
            <v>50</v>
          </cell>
          <cell r="O15">
            <v>2.4413833528722159E-3</v>
          </cell>
          <cell r="P15">
            <v>0</v>
          </cell>
          <cell r="Q15">
            <v>228.8510752688172</v>
          </cell>
          <cell r="R15" t="str">
            <v>Nat. Gas Tankless</v>
          </cell>
          <cell r="S15">
            <v>228.8510752688172</v>
          </cell>
          <cell r="T15" t="str">
            <v>Nat. Gas Tankless</v>
          </cell>
          <cell r="U15">
            <v>1637.75</v>
          </cell>
          <cell r="V15">
            <v>2746.2129032258063</v>
          </cell>
          <cell r="W15">
            <v>600</v>
          </cell>
          <cell r="X15">
            <v>0</v>
          </cell>
          <cell r="Y15">
            <v>1</v>
          </cell>
          <cell r="Z15">
            <v>637.75</v>
          </cell>
          <cell r="AA15">
            <v>0</v>
          </cell>
          <cell r="AB15">
            <v>0</v>
          </cell>
          <cell r="AC15">
            <v>1</v>
          </cell>
          <cell r="AD15" t="str">
            <v>Therms</v>
          </cell>
          <cell r="AE15">
            <v>100000</v>
          </cell>
          <cell r="AF15">
            <v>0</v>
          </cell>
          <cell r="AG15">
            <v>0</v>
          </cell>
          <cell r="AH15">
            <v>0</v>
          </cell>
          <cell r="AI15">
            <v>0</v>
          </cell>
        </row>
        <row r="33">
          <cell r="B33">
            <v>3412</v>
          </cell>
        </row>
        <row r="37">
          <cell r="B37">
            <v>0.75</v>
          </cell>
        </row>
      </sheetData>
      <sheetData sheetId="5"/>
      <sheetData sheetId="6"/>
      <sheetData sheetId="7">
        <row r="3">
          <cell r="J3">
            <v>12</v>
          </cell>
          <cell r="K3">
            <v>12</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estions"/>
      <sheetName val="Appendix Table"/>
      <sheetName val="Appendix Table Source"/>
      <sheetName val="NJ to PA Mapping"/>
      <sheetName val="MeasureListReport"/>
      <sheetName val="MeasNum Convention"/>
      <sheetName val="SheetOrder"/>
      <sheetName val="MeasureNaming"/>
      <sheetName val="Instructions"/>
      <sheetName val="Citations"/>
      <sheetName val="Citations OLD"/>
      <sheetName val="RegionTable"/>
      <sheetName val="Measures"/>
      <sheetName val="MeasChars"/>
      <sheetName val="Measure Template"/>
      <sheetName val="Ceiling fan"/>
      <sheetName val="ES Clothes Washer MF"/>
      <sheetName val="DSAC"/>
      <sheetName val="QI CAC"/>
      <sheetName val="CAC Tune Up"/>
      <sheetName val="CAC Recommissioning"/>
      <sheetName val="ASHP"/>
      <sheetName val="QI ASHP"/>
      <sheetName val="ASHP Tune Up"/>
      <sheetName val="DMSHP"/>
      <sheetName val="GSHP"/>
      <sheetName val="Smart Thermostat"/>
      <sheetName val="Duct Sealing"/>
      <sheetName val="Air Sealing"/>
      <sheetName val="Wall Insulation"/>
      <sheetName val="Attic Insulation"/>
      <sheetName val="ES Windows"/>
      <sheetName val="ES LED"/>
      <sheetName val="ES LED A-Line Lamp, Ext"/>
      <sheetName val="ES LED PAR|Flood Lamp, Ext"/>
      <sheetName val="ES LED Globe Lamp, Ext"/>
      <sheetName val="ES LED Outdoor Fixture"/>
      <sheetName val="LED Holiday Lights"/>
      <sheetName val="Lighting Controls"/>
      <sheetName val="ES LED A-Line Lamp, Int"/>
      <sheetName val="ES LED A-Line Lamp, MF Com"/>
      <sheetName val="ES LED PAR|Flood Lamp, Int"/>
      <sheetName val="ES LED PAR|Flood, MF Com"/>
      <sheetName val="ES LED Globe Lamp, Int"/>
      <sheetName val="ES LED Globe Lamp, MF Com"/>
      <sheetName val="ES LED Downlight Fixture, Int"/>
      <sheetName val="ES LED Downlight Fixture, MF"/>
      <sheetName val="LED Tube Replacement Lamps"/>
      <sheetName val="ES Ceiling Fan w Lights"/>
      <sheetName val="ECM Circ Pump"/>
      <sheetName val="ECM Blower Motor"/>
      <sheetName val="ES Office Equipment Res"/>
      <sheetName val="HE Furnace"/>
      <sheetName val="Furnace Tune Up"/>
      <sheetName val="Boiler Tune Up"/>
      <sheetName val="Boiler Reset Controls"/>
      <sheetName val="Fuel Switch Elec to FF Heat"/>
      <sheetName val="Fuel Switch Elec to FF WH Res"/>
      <sheetName val="Electronic Ignition Hearth"/>
      <sheetName val="Window Repair"/>
      <sheetName val="Storage Gas Water Heater"/>
      <sheetName val="HPWH"/>
      <sheetName val="Water Heater Setback, Gas DHW"/>
      <sheetName val="Therm Restrict Valve, Gas DHW"/>
      <sheetName val="WH Drainpipe Heat Exchange, Gas"/>
      <sheetName val="Pipe Insulation, Gas DHW"/>
      <sheetName val="Low Flow Showerhead, Gas DHW"/>
      <sheetName val="Faucet Aerator, Gas DHW"/>
      <sheetName val="Demand Control Recirc Pump"/>
      <sheetName val="ES Homes"/>
      <sheetName val="HER"/>
      <sheetName val="Eff Unitary AC"/>
      <sheetName val="AC Tuneup"/>
      <sheetName val="Unitary HP"/>
      <sheetName val="HVAC Refrigerant Charge"/>
      <sheetName val="Refrigerant Charge Correction"/>
      <sheetName val="Minisplit Ductless AC"/>
      <sheetName val="Minisplit Ductless HP"/>
      <sheetName val="PTAC"/>
      <sheetName val="PTHP"/>
      <sheetName val="VRF Heat Pump"/>
      <sheetName val="Com Room AC"/>
      <sheetName val="Computer Room Air Conditioner"/>
      <sheetName val="Com GSHP"/>
      <sheetName val="Chiller Systems"/>
      <sheetName val="Chiller Tuneup"/>
      <sheetName val="Unitary Equipment Economizer"/>
      <sheetName val="DCV - Regulated Fuels"/>
      <sheetName val="Controls for Unitary AC"/>
      <sheetName val="Optimized Unitary AC Sys"/>
      <sheetName val="Optimized Chiller Sys"/>
      <sheetName val="Guest Room EM"/>
      <sheetName val="Programmable TStat - MD"/>
      <sheetName val="Programmable TStat - RET"/>
      <sheetName val="Smart TStat - MD"/>
      <sheetName val="Smart TStat - RET"/>
      <sheetName val="Duct Sealing Regulated"/>
      <sheetName val="Commercial Air Sealing"/>
      <sheetName val="Windows"/>
      <sheetName val="Window Film"/>
      <sheetName val="Fast Acting Doors"/>
      <sheetName val="Cool Roof - MD"/>
      <sheetName val="Cool Roof - Ret"/>
      <sheetName val="ECM Circulators"/>
      <sheetName val="Ext Area Ltg"/>
      <sheetName val="Ext Ltg Dsgn"/>
      <sheetName val="Ext Ltg Ctrls"/>
      <sheetName val="Repl Screw-in LED"/>
      <sheetName val="Repl pin CFL wLED"/>
      <sheetName val="Lin LED Fixture"/>
      <sheetName val="LED Tube Repl"/>
      <sheetName val="LED HiLo Bay"/>
      <sheetName val="Refrig Case LED"/>
      <sheetName val="Int Ltg Ctrls"/>
      <sheetName val="Stair Occ Sensor"/>
      <sheetName val="Refrig Case Ctrls"/>
      <sheetName val="Int Ltg Dsgn"/>
      <sheetName val="Clothes Washer Gas WH"/>
      <sheetName val="Indus Pro Elec Other"/>
      <sheetName val="Clothes Washer Elec WH"/>
      <sheetName val="Indus Non Pro Ele Other"/>
      <sheetName val="Com ES Dehumidifier"/>
      <sheetName val="Clothes Dryer"/>
      <sheetName val="VFDs on HVAC Pumps"/>
      <sheetName val="Motors"/>
      <sheetName val="ES Office Equipment Com"/>
      <sheetName val="Evap Fan Motor Replacement"/>
      <sheetName val="Evaporator Coil Defrost Ctrl"/>
      <sheetName val="Suction Pipe Insulation"/>
      <sheetName val="Anti Sweat Heat Control"/>
      <sheetName val="Door Gasket Replacement"/>
      <sheetName val="Replace Open Display to Doored"/>
      <sheetName val="LowHeat NoHeat Doors"/>
      <sheetName val="Refrigeration Tune Up"/>
      <sheetName val="Walk In Refrigeration"/>
      <sheetName val="Walk In Cooler Retroft"/>
      <sheetName val="Loading Dock Pit Seals"/>
      <sheetName val="Furnace"/>
      <sheetName val="Forced Air Heating Maintenance"/>
      <sheetName val="Boilers"/>
      <sheetName val="Boiler Blowdown Controls"/>
      <sheetName val="Boiler Modifications"/>
      <sheetName val="Unit Heater"/>
      <sheetName val="Infrared Heater"/>
      <sheetName val="Destratification Fans"/>
      <sheetName val="Energy Recovery Ventilator"/>
      <sheetName val="Kitchen DCV - MD"/>
      <sheetName val="Kitchen DCV - RET"/>
      <sheetName val="Steam Trap Maintenance"/>
      <sheetName val="Motors and Fans"/>
      <sheetName val="VFD on HVAC System"/>
      <sheetName val="ECM Furnace Motors"/>
      <sheetName val="ECM Circulator Fan"/>
      <sheetName val="CI Water Heater"/>
      <sheetName val="Ozone Laundry"/>
      <sheetName val="MF DHW Plants"/>
      <sheetName val="Tank Insulation"/>
      <sheetName val="Heat Pump Water Heater"/>
      <sheetName val="Com Pipe Insulation, Gas DHW"/>
      <sheetName val="Indus Pro Drives"/>
      <sheetName val="Indus Pro Motors and VSDs"/>
      <sheetName val="Indus Pro Air Compressor System"/>
      <sheetName val="Indus Pro Ele Process Cooling"/>
      <sheetName val="Indus Pro Ele Process Heat"/>
      <sheetName val="Indus SEM"/>
      <sheetName val="Integrated Building Design"/>
      <sheetName val="Deep Energy Retrofit"/>
      <sheetName val="Commissioning"/>
      <sheetName val="RCx"/>
      <sheetName val="Pnemautic to DDC - MD"/>
      <sheetName val="Pnemautic to DDC - RET"/>
      <sheetName val="Data Center - MD"/>
      <sheetName val="Data Center - RET"/>
      <sheetName val="EMS - MD"/>
      <sheetName val="EMS - RET"/>
      <sheetName val="Wall Insulation, Gas Heating"/>
      <sheetName val="Attic Insulation, Gas Heating"/>
      <sheetName val="Pipe Insulation, Space Heat"/>
      <sheetName val="Air Sealing, Gas Heating"/>
      <sheetName val="HE Boiler"/>
      <sheetName val="Therm Restrict Val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9">
          <cell r="A9" t="str">
            <v>Duquesne</v>
          </cell>
        </row>
        <row r="10">
          <cell r="A10" t="str">
            <v>Met-Ed</v>
          </cell>
        </row>
        <row r="11">
          <cell r="A11" t="str">
            <v>Penelec</v>
          </cell>
        </row>
        <row r="12">
          <cell r="A12" t="str">
            <v>Penn Power</v>
          </cell>
        </row>
        <row r="13">
          <cell r="A13" t="str">
            <v>West Penn Power</v>
          </cell>
        </row>
        <row r="14">
          <cell r="A14" t="str">
            <v>PECO</v>
          </cell>
        </row>
        <row r="15">
          <cell r="A15" t="str">
            <v>PPL</v>
          </cell>
        </row>
        <row r="16">
          <cell r="A16" t="str">
            <v>Last Region Row</v>
          </cell>
        </row>
      </sheetData>
      <sheetData sheetId="12" refreshError="1"/>
      <sheetData sheetId="13" refreshError="1">
        <row r="5">
          <cell r="B5" t="str">
            <v>Meas#</v>
          </cell>
          <cell r="C5" t="str">
            <v>Mkt</v>
          </cell>
          <cell r="D5" t="str">
            <v>EndUse</v>
          </cell>
          <cell r="E5" t="str">
            <v>MeasLongName</v>
          </cell>
          <cell r="I5" t="str">
            <v>Status</v>
          </cell>
          <cell r="J5" t="str">
            <v>Notes</v>
          </cell>
          <cell r="M5" t="str">
            <v>TargetMkts</v>
          </cell>
          <cell r="N5" t="str">
            <v>Baseline</v>
          </cell>
          <cell r="O5" t="str">
            <v>StartYr</v>
          </cell>
          <cell r="P5" t="str">
            <v>EndYr</v>
          </cell>
          <cell r="Q5" t="str">
            <v>BldgTypeForChar</v>
          </cell>
          <cell r="R5" t="str">
            <v>Units</v>
          </cell>
          <cell r="S5" t="str">
            <v>EffKw</v>
          </cell>
          <cell r="T5" t="str">
            <v>BaseKw</v>
          </cell>
          <cell r="U5" t="str">
            <v>FLH</v>
          </cell>
          <cell r="V5" t="str">
            <v>AnnKWh</v>
          </cell>
          <cell r="W5" t="str">
            <v>PctSavings</v>
          </cell>
          <cell r="X5" t="str">
            <v>FLHSrc</v>
          </cell>
          <cell r="Y5" t="str">
            <v>SavingsSrc</v>
          </cell>
          <cell r="Z5" t="str">
            <v>SavingsSrc#</v>
          </cell>
          <cell r="AA5" t="str">
            <v>EffCost</v>
          </cell>
          <cell r="AB5" t="str">
            <v>BaseCost</v>
          </cell>
          <cell r="AC5" t="str">
            <v>IncCost</v>
          </cell>
          <cell r="AD5" t="str">
            <v>IncCostPerKwh</v>
          </cell>
          <cell r="AE5" t="str">
            <v>IncCostSrc</v>
          </cell>
          <cell r="AF5" t="str">
            <v>CostsSrc#</v>
          </cell>
          <cell r="AG5" t="str">
            <v>BaseLife</v>
          </cell>
          <cell r="AH5" t="str">
            <v>BaseAge</v>
          </cell>
          <cell r="AI5" t="str">
            <v>BaseCostRet</v>
          </cell>
          <cell r="AJ5" t="str">
            <v>BaseCostPerKwh</v>
          </cell>
          <cell r="AK5" t="str">
            <v>BaseShift</v>
          </cell>
          <cell r="AL5" t="str">
            <v>BaseShiftSrc</v>
          </cell>
          <cell r="AM5" t="str">
            <v>BaseCostRetSrc</v>
          </cell>
          <cell r="AN5" t="str">
            <v>EffComp1</v>
          </cell>
          <cell r="AO5" t="str">
            <v>EffComp1Life</v>
          </cell>
          <cell r="AP5" t="str">
            <v>EffComp1LifeSrc</v>
          </cell>
          <cell r="AQ5" t="str">
            <v>EffComp1Cost</v>
          </cell>
          <cell r="AR5" t="str">
            <v>EffComp1CostSrc</v>
          </cell>
          <cell r="AS5" t="str">
            <v>EffComp1CostPerKwh</v>
          </cell>
          <cell r="AT5" t="str">
            <v>EffComp2</v>
          </cell>
          <cell r="AU5" t="str">
            <v>EffComp2Life</v>
          </cell>
          <cell r="AV5" t="str">
            <v>EffComp2LifeSrc</v>
          </cell>
          <cell r="AW5" t="str">
            <v>EffComp2Cost</v>
          </cell>
          <cell r="AX5" t="str">
            <v>EffComp2CostSrc</v>
          </cell>
          <cell r="AY5" t="str">
            <v>EffComp2CostPerKwh</v>
          </cell>
          <cell r="AZ5" t="str">
            <v>BaseComp1</v>
          </cell>
          <cell r="BA5" t="str">
            <v>BaseComp1Life</v>
          </cell>
          <cell r="BB5" t="str">
            <v>BaseComp1LifeSrc</v>
          </cell>
          <cell r="BC5" t="str">
            <v>BaseComp1Cost</v>
          </cell>
          <cell r="BD5" t="str">
            <v>BaseComp1CostSrc</v>
          </cell>
          <cell r="BE5" t="str">
            <v>BaseComp1CostPerKwh</v>
          </cell>
          <cell r="BF5" t="str">
            <v>BaseComp2</v>
          </cell>
          <cell r="BG5" t="str">
            <v>BaseComp2Life</v>
          </cell>
          <cell r="BH5" t="str">
            <v>BaseComp2LifeSrc</v>
          </cell>
          <cell r="BI5" t="str">
            <v>BaseComp2Cost</v>
          </cell>
          <cell r="BJ5" t="str">
            <v>BaseComp2CostSrc</v>
          </cell>
          <cell r="BK5" t="str">
            <v>BaseComp2CostPerKwh</v>
          </cell>
          <cell r="BL5" t="str">
            <v>LevCostOM</v>
          </cell>
          <cell r="BN5" t="str">
            <v>MeasLife</v>
          </cell>
          <cell r="BO5" t="str">
            <v>Fuel1Type</v>
          </cell>
          <cell r="BP5" t="str">
            <v>Fuel1Sav</v>
          </cell>
          <cell r="BQ5" t="str">
            <v>Fuel1SavPerKwh</v>
          </cell>
          <cell r="BR5" t="str">
            <v>Fuel1SavPerKwhSrc</v>
          </cell>
          <cell r="BS5" t="str">
            <v>Water</v>
          </cell>
          <cell r="BT5" t="str">
            <v>WaterPerKwh</v>
          </cell>
          <cell r="BU5" t="str">
            <v>WaterSrc</v>
          </cell>
          <cell r="BY5" t="str">
            <v>---</v>
          </cell>
        </row>
        <row r="6">
          <cell r="A6" t="str">
            <v>10101MD</v>
          </cell>
          <cell r="B6">
            <v>10101</v>
          </cell>
          <cell r="C6" t="str">
            <v>MD</v>
          </cell>
          <cell r="D6" t="e">
            <v>#REF!</v>
          </cell>
          <cell r="E6" t="e">
            <v>#REF!</v>
          </cell>
          <cell r="F6" t="e">
            <v>#REF!</v>
          </cell>
          <cell r="G6" t="str">
            <v>Y</v>
          </cell>
          <cell r="M6" t="e">
            <v>#REF!</v>
          </cell>
          <cell r="N6" t="e">
            <v>#REF!</v>
          </cell>
          <cell r="O6" t="e">
            <v>#REF!</v>
          </cell>
          <cell r="P6" t="e">
            <v>#REF!</v>
          </cell>
          <cell r="Q6" t="e">
            <v>#REF!</v>
          </cell>
          <cell r="R6" t="e">
            <v>#REF!</v>
          </cell>
          <cell r="S6" t="e">
            <v>#REF!</v>
          </cell>
          <cell r="T6" t="e">
            <v>#REF!</v>
          </cell>
          <cell r="U6" t="e">
            <v>#REF!</v>
          </cell>
          <cell r="V6" t="e">
            <v>#REF!</v>
          </cell>
          <cell r="W6" t="e">
            <v>#REF!</v>
          </cell>
          <cell r="X6" t="e">
            <v>#REF!</v>
          </cell>
          <cell r="Y6" t="e">
            <v>#REF!</v>
          </cell>
          <cell r="Z6" t="e">
            <v>#REF!</v>
          </cell>
          <cell r="AA6" t="e">
            <v>#REF!</v>
          </cell>
          <cell r="AB6" t="e">
            <v>#REF!</v>
          </cell>
          <cell r="AC6" t="e">
            <v>#REF!</v>
          </cell>
          <cell r="AD6" t="e">
            <v>#REF!</v>
          </cell>
          <cell r="AE6" t="e">
            <v>#REF!</v>
          </cell>
          <cell r="AF6" t="e">
            <v>#REF!</v>
          </cell>
          <cell r="AG6" t="e">
            <v>#REF!</v>
          </cell>
          <cell r="AH6" t="e">
            <v>#REF!</v>
          </cell>
          <cell r="AI6" t="e">
            <v>#REF!</v>
          </cell>
          <cell r="AJ6" t="e">
            <v>#REF!</v>
          </cell>
          <cell r="AK6" t="e">
            <v>#REF!</v>
          </cell>
          <cell r="AL6" t="e">
            <v>#REF!</v>
          </cell>
          <cell r="AM6" t="e">
            <v>#REF!</v>
          </cell>
          <cell r="AN6" t="e">
            <v>#REF!</v>
          </cell>
          <cell r="AO6" t="e">
            <v>#REF!</v>
          </cell>
          <cell r="AP6" t="e">
            <v>#REF!</v>
          </cell>
          <cell r="AQ6" t="e">
            <v>#REF!</v>
          </cell>
          <cell r="AR6" t="e">
            <v>#REF!</v>
          </cell>
          <cell r="AS6" t="e">
            <v>#REF!</v>
          </cell>
          <cell r="AT6" t="e">
            <v>#REF!</v>
          </cell>
          <cell r="AU6" t="e">
            <v>#REF!</v>
          </cell>
          <cell r="AV6" t="e">
            <v>#REF!</v>
          </cell>
          <cell r="AW6" t="e">
            <v>#REF!</v>
          </cell>
          <cell r="AX6" t="e">
            <v>#REF!</v>
          </cell>
          <cell r="AY6" t="e">
            <v>#REF!</v>
          </cell>
          <cell r="AZ6" t="e">
            <v>#REF!</v>
          </cell>
          <cell r="BA6" t="e">
            <v>#REF!</v>
          </cell>
          <cell r="BB6" t="e">
            <v>#REF!</v>
          </cell>
          <cell r="BC6" t="e">
            <v>#REF!</v>
          </cell>
          <cell r="BD6" t="e">
            <v>#REF!</v>
          </cell>
          <cell r="BE6" t="e">
            <v>#REF!</v>
          </cell>
          <cell r="BF6" t="e">
            <v>#REF!</v>
          </cell>
          <cell r="BG6" t="e">
            <v>#REF!</v>
          </cell>
          <cell r="BH6" t="e">
            <v>#REF!</v>
          </cell>
          <cell r="BI6" t="e">
            <v>#REF!</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row>
        <row r="7">
          <cell r="A7" t="str">
            <v>10102MD</v>
          </cell>
          <cell r="B7">
            <v>10102</v>
          </cell>
          <cell r="C7" t="str">
            <v>MD</v>
          </cell>
          <cell r="D7" t="e">
            <v>#REF!</v>
          </cell>
          <cell r="E7" t="e">
            <v>#REF!</v>
          </cell>
          <cell r="F7" t="e">
            <v>#REF!</v>
          </cell>
          <cell r="G7" t="str">
            <v>Y</v>
          </cell>
          <cell r="M7" t="e">
            <v>#REF!</v>
          </cell>
          <cell r="N7" t="e">
            <v>#REF!</v>
          </cell>
          <cell r="O7" t="e">
            <v>#REF!</v>
          </cell>
          <cell r="P7" t="e">
            <v>#REF!</v>
          </cell>
          <cell r="Q7" t="e">
            <v>#REF!</v>
          </cell>
          <cell r="R7" t="e">
            <v>#REF!</v>
          </cell>
          <cell r="S7" t="e">
            <v>#REF!</v>
          </cell>
          <cell r="T7" t="e">
            <v>#REF!</v>
          </cell>
          <cell r="U7" t="e">
            <v>#REF!</v>
          </cell>
          <cell r="V7" t="e">
            <v>#REF!</v>
          </cell>
          <cell r="W7" t="e">
            <v>#REF!</v>
          </cell>
          <cell r="X7" t="e">
            <v>#REF!</v>
          </cell>
          <cell r="Y7" t="e">
            <v>#REF!</v>
          </cell>
          <cell r="Z7" t="e">
            <v>#REF!</v>
          </cell>
          <cell r="AA7" t="e">
            <v>#REF!</v>
          </cell>
          <cell r="AB7" t="e">
            <v>#REF!</v>
          </cell>
          <cell r="AC7" t="e">
            <v>#REF!</v>
          </cell>
          <cell r="AD7" t="e">
            <v>#REF!</v>
          </cell>
          <cell r="AE7" t="e">
            <v>#REF!</v>
          </cell>
          <cell r="AF7" t="e">
            <v>#REF!</v>
          </cell>
          <cell r="AG7" t="e">
            <v>#REF!</v>
          </cell>
          <cell r="AH7" t="e">
            <v>#REF!</v>
          </cell>
          <cell r="AI7" t="e">
            <v>#REF!</v>
          </cell>
          <cell r="AJ7" t="e">
            <v>#REF!</v>
          </cell>
          <cell r="AK7" t="e">
            <v>#REF!</v>
          </cell>
          <cell r="AL7" t="e">
            <v>#REF!</v>
          </cell>
          <cell r="AM7" t="e">
            <v>#REF!</v>
          </cell>
          <cell r="AN7" t="e">
            <v>#REF!</v>
          </cell>
          <cell r="AO7" t="e">
            <v>#REF!</v>
          </cell>
          <cell r="AP7" t="e">
            <v>#REF!</v>
          </cell>
          <cell r="AQ7" t="e">
            <v>#REF!</v>
          </cell>
          <cell r="AR7" t="e">
            <v>#REF!</v>
          </cell>
          <cell r="AS7" t="e">
            <v>#REF!</v>
          </cell>
          <cell r="AT7" t="e">
            <v>#REF!</v>
          </cell>
          <cell r="AU7" t="e">
            <v>#REF!</v>
          </cell>
          <cell r="AV7" t="e">
            <v>#REF!</v>
          </cell>
          <cell r="AW7" t="e">
            <v>#REF!</v>
          </cell>
          <cell r="AX7" t="e">
            <v>#REF!</v>
          </cell>
          <cell r="AY7" t="e">
            <v>#REF!</v>
          </cell>
          <cell r="AZ7" t="e">
            <v>#REF!</v>
          </cell>
          <cell r="BA7" t="e">
            <v>#REF!</v>
          </cell>
          <cell r="BB7" t="e">
            <v>#REF!</v>
          </cell>
          <cell r="BC7" t="e">
            <v>#REF!</v>
          </cell>
          <cell r="BD7" t="e">
            <v>#REF!</v>
          </cell>
          <cell r="BE7" t="e">
            <v>#REF!</v>
          </cell>
          <cell r="BF7" t="e">
            <v>#REF!</v>
          </cell>
          <cell r="BG7" t="e">
            <v>#REF!</v>
          </cell>
          <cell r="BH7" t="e">
            <v>#REF!</v>
          </cell>
          <cell r="BI7" t="e">
            <v>#REF!</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row>
        <row r="8">
          <cell r="A8" t="str">
            <v>10103MD</v>
          </cell>
          <cell r="B8">
            <v>10103</v>
          </cell>
          <cell r="C8" t="str">
            <v>MD</v>
          </cell>
          <cell r="D8" t="e">
            <v>#REF!</v>
          </cell>
          <cell r="E8" t="e">
            <v>#REF!</v>
          </cell>
          <cell r="F8" t="e">
            <v>#REF!</v>
          </cell>
          <cell r="G8" t="str">
            <v>Y</v>
          </cell>
          <cell r="M8" t="e">
            <v>#REF!</v>
          </cell>
          <cell r="N8" t="e">
            <v>#REF!</v>
          </cell>
          <cell r="O8" t="e">
            <v>#REF!</v>
          </cell>
          <cell r="P8" t="e">
            <v>#REF!</v>
          </cell>
          <cell r="Q8" t="e">
            <v>#REF!</v>
          </cell>
          <cell r="R8" t="e">
            <v>#REF!</v>
          </cell>
          <cell r="S8" t="e">
            <v>#REF!</v>
          </cell>
          <cell r="T8" t="e">
            <v>#REF!</v>
          </cell>
          <cell r="U8" t="e">
            <v>#REF!</v>
          </cell>
          <cell r="V8" t="e">
            <v>#REF!</v>
          </cell>
          <cell r="W8" t="e">
            <v>#REF!</v>
          </cell>
          <cell r="X8" t="e">
            <v>#REF!</v>
          </cell>
          <cell r="Y8" t="e">
            <v>#REF!</v>
          </cell>
          <cell r="Z8" t="e">
            <v>#REF!</v>
          </cell>
          <cell r="AA8" t="e">
            <v>#REF!</v>
          </cell>
          <cell r="AB8" t="e">
            <v>#REF!</v>
          </cell>
          <cell r="AC8" t="e">
            <v>#REF!</v>
          </cell>
          <cell r="AD8" t="e">
            <v>#REF!</v>
          </cell>
          <cell r="AE8" t="e">
            <v>#REF!</v>
          </cell>
          <cell r="AF8" t="e">
            <v>#REF!</v>
          </cell>
          <cell r="AG8" t="e">
            <v>#REF!</v>
          </cell>
          <cell r="AH8" t="e">
            <v>#REF!</v>
          </cell>
          <cell r="AI8" t="e">
            <v>#REF!</v>
          </cell>
          <cell r="AJ8" t="e">
            <v>#REF!</v>
          </cell>
          <cell r="AK8" t="e">
            <v>#REF!</v>
          </cell>
          <cell r="AL8" t="e">
            <v>#REF!</v>
          </cell>
          <cell r="AM8" t="e">
            <v>#REF!</v>
          </cell>
          <cell r="AN8" t="e">
            <v>#REF!</v>
          </cell>
          <cell r="AO8" t="e">
            <v>#REF!</v>
          </cell>
          <cell r="AP8" t="e">
            <v>#REF!</v>
          </cell>
          <cell r="AQ8" t="e">
            <v>#REF!</v>
          </cell>
          <cell r="AR8" t="e">
            <v>#REF!</v>
          </cell>
          <cell r="AS8" t="e">
            <v>#REF!</v>
          </cell>
          <cell r="AT8" t="e">
            <v>#REF!</v>
          </cell>
          <cell r="AU8" t="e">
            <v>#REF!</v>
          </cell>
          <cell r="AV8" t="e">
            <v>#REF!</v>
          </cell>
          <cell r="AW8" t="e">
            <v>#REF!</v>
          </cell>
          <cell r="AX8" t="e">
            <v>#REF!</v>
          </cell>
          <cell r="AY8" t="e">
            <v>#REF!</v>
          </cell>
          <cell r="AZ8" t="e">
            <v>#REF!</v>
          </cell>
          <cell r="BA8" t="e">
            <v>#REF!</v>
          </cell>
          <cell r="BB8" t="e">
            <v>#REF!</v>
          </cell>
          <cell r="BC8" t="e">
            <v>#REF!</v>
          </cell>
          <cell r="BD8" t="e">
            <v>#REF!</v>
          </cell>
          <cell r="BE8" t="e">
            <v>#REF!</v>
          </cell>
          <cell r="BF8" t="e">
            <v>#REF!</v>
          </cell>
          <cell r="BG8" t="e">
            <v>#REF!</v>
          </cell>
          <cell r="BH8" t="e">
            <v>#REF!</v>
          </cell>
          <cell r="BI8" t="e">
            <v>#REF!</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row>
        <row r="9">
          <cell r="A9" t="str">
            <v>10104MD</v>
          </cell>
          <cell r="B9">
            <v>10104</v>
          </cell>
          <cell r="C9" t="str">
            <v>MD</v>
          </cell>
          <cell r="D9" t="e">
            <v>#REF!</v>
          </cell>
          <cell r="E9" t="e">
            <v>#REF!</v>
          </cell>
          <cell r="F9" t="e">
            <v>#REF!</v>
          </cell>
          <cell r="G9" t="str">
            <v>Y</v>
          </cell>
          <cell r="M9" t="e">
            <v>#REF!</v>
          </cell>
          <cell r="N9" t="e">
            <v>#REF!</v>
          </cell>
          <cell r="O9" t="e">
            <v>#REF!</v>
          </cell>
          <cell r="P9" t="e">
            <v>#REF!</v>
          </cell>
          <cell r="Q9" t="e">
            <v>#REF!</v>
          </cell>
          <cell r="R9" t="e">
            <v>#REF!</v>
          </cell>
          <cell r="S9" t="e">
            <v>#REF!</v>
          </cell>
          <cell r="T9" t="e">
            <v>#REF!</v>
          </cell>
          <cell r="U9" t="e">
            <v>#REF!</v>
          </cell>
          <cell r="V9" t="e">
            <v>#REF!</v>
          </cell>
          <cell r="W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row>
        <row r="10">
          <cell r="A10" t="str">
            <v>10105MD</v>
          </cell>
          <cell r="B10">
            <v>10105</v>
          </cell>
          <cell r="C10" t="str">
            <v>MD</v>
          </cell>
          <cell r="D10" t="e">
            <v>#REF!</v>
          </cell>
          <cell r="E10" t="e">
            <v>#REF!</v>
          </cell>
          <cell r="F10" t="e">
            <v>#REF!</v>
          </cell>
          <cell r="G10" t="str">
            <v>Y</v>
          </cell>
          <cell r="M10" t="e">
            <v>#REF!</v>
          </cell>
          <cell r="N10" t="e">
            <v>#REF!</v>
          </cell>
          <cell r="O10" t="e">
            <v>#REF!</v>
          </cell>
          <cell r="P10" t="e">
            <v>#REF!</v>
          </cell>
          <cell r="Q10" t="e">
            <v>#REF!</v>
          </cell>
          <cell r="R10" t="e">
            <v>#REF!</v>
          </cell>
          <cell r="S10" t="e">
            <v>#REF!</v>
          </cell>
          <cell r="T10" t="e">
            <v>#REF!</v>
          </cell>
          <cell r="U10" t="e">
            <v>#REF!</v>
          </cell>
          <cell r="V10" t="e">
            <v>#REF!</v>
          </cell>
          <cell r="W10" t="e">
            <v>#REF!</v>
          </cell>
          <cell r="X10" t="e">
            <v>#REF!</v>
          </cell>
          <cell r="Y10" t="e">
            <v>#REF!</v>
          </cell>
          <cell r="Z10" t="e">
            <v>#REF!</v>
          </cell>
          <cell r="AA10" t="e">
            <v>#REF!</v>
          </cell>
          <cell r="AB10" t="e">
            <v>#REF!</v>
          </cell>
          <cell r="AC10" t="e">
            <v>#REF!</v>
          </cell>
          <cell r="AD10" t="e">
            <v>#REF!</v>
          </cell>
          <cell r="AE10" t="e">
            <v>#REF!</v>
          </cell>
          <cell r="AF10" t="e">
            <v>#REF!</v>
          </cell>
          <cell r="AG10" t="e">
            <v>#REF!</v>
          </cell>
          <cell r="AH10" t="e">
            <v>#REF!</v>
          </cell>
          <cell r="AI10" t="e">
            <v>#REF!</v>
          </cell>
          <cell r="AJ10" t="e">
            <v>#REF!</v>
          </cell>
          <cell r="AK10" t="e">
            <v>#REF!</v>
          </cell>
          <cell r="AL10" t="e">
            <v>#REF!</v>
          </cell>
          <cell r="AM10" t="e">
            <v>#REF!</v>
          </cell>
          <cell r="AN10" t="e">
            <v>#REF!</v>
          </cell>
          <cell r="AO10" t="e">
            <v>#REF!</v>
          </cell>
          <cell r="AP10" t="e">
            <v>#REF!</v>
          </cell>
          <cell r="AQ10" t="e">
            <v>#REF!</v>
          </cell>
          <cell r="AR10" t="e">
            <v>#REF!</v>
          </cell>
          <cell r="AS10" t="e">
            <v>#REF!</v>
          </cell>
          <cell r="AT10" t="e">
            <v>#REF!</v>
          </cell>
          <cell r="AU10" t="e">
            <v>#REF!</v>
          </cell>
          <cell r="AV10" t="e">
            <v>#REF!</v>
          </cell>
          <cell r="AW10" t="e">
            <v>#REF!</v>
          </cell>
          <cell r="AX10" t="e">
            <v>#REF!</v>
          </cell>
          <cell r="AY10" t="e">
            <v>#REF!</v>
          </cell>
          <cell r="AZ10" t="e">
            <v>#REF!</v>
          </cell>
          <cell r="BA10" t="e">
            <v>#REF!</v>
          </cell>
          <cell r="BB10" t="e">
            <v>#REF!</v>
          </cell>
          <cell r="BC10" t="e">
            <v>#REF!</v>
          </cell>
          <cell r="BD10" t="e">
            <v>#REF!</v>
          </cell>
          <cell r="BE10" t="e">
            <v>#REF!</v>
          </cell>
          <cell r="BF10" t="e">
            <v>#REF!</v>
          </cell>
          <cell r="BG10" t="e">
            <v>#REF!</v>
          </cell>
          <cell r="BH10" t="e">
            <v>#REF!</v>
          </cell>
          <cell r="BI10" t="e">
            <v>#REF!</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row>
        <row r="11">
          <cell r="A11" t="str">
            <v>10106MD</v>
          </cell>
          <cell r="B11">
            <v>10106</v>
          </cell>
          <cell r="C11" t="str">
            <v>MD</v>
          </cell>
          <cell r="D11" t="e">
            <v>#REF!</v>
          </cell>
          <cell r="E11" t="e">
            <v>#REF!</v>
          </cell>
          <cell r="F11" t="e">
            <v>#REF!</v>
          </cell>
          <cell r="G11" t="str">
            <v>Y</v>
          </cell>
          <cell r="M11" t="e">
            <v>#REF!</v>
          </cell>
          <cell r="N11" t="e">
            <v>#REF!</v>
          </cell>
          <cell r="O11" t="e">
            <v>#REF!</v>
          </cell>
          <cell r="P11" t="e">
            <v>#REF!</v>
          </cell>
          <cell r="Q11" t="e">
            <v>#REF!</v>
          </cell>
          <cell r="R11" t="e">
            <v>#REF!</v>
          </cell>
          <cell r="S11" t="e">
            <v>#REF!</v>
          </cell>
          <cell r="T11" t="e">
            <v>#REF!</v>
          </cell>
          <cell r="U11" t="e">
            <v>#REF!</v>
          </cell>
          <cell r="V11" t="e">
            <v>#REF!</v>
          </cell>
          <cell r="W11" t="e">
            <v>#REF!</v>
          </cell>
          <cell r="X11" t="e">
            <v>#REF!</v>
          </cell>
          <cell r="Y11" t="e">
            <v>#REF!</v>
          </cell>
          <cell r="Z11" t="e">
            <v>#REF!</v>
          </cell>
          <cell r="AA11" t="e">
            <v>#REF!</v>
          </cell>
          <cell r="AB11" t="e">
            <v>#REF!</v>
          </cell>
          <cell r="AC11" t="e">
            <v>#REF!</v>
          </cell>
          <cell r="AD11" t="e">
            <v>#REF!</v>
          </cell>
          <cell r="AE11" t="e">
            <v>#REF!</v>
          </cell>
          <cell r="AF11" t="e">
            <v>#REF!</v>
          </cell>
          <cell r="AG11" t="e">
            <v>#REF!</v>
          </cell>
          <cell r="AH11" t="e">
            <v>#REF!</v>
          </cell>
          <cell r="AI11" t="e">
            <v>#REF!</v>
          </cell>
          <cell r="AJ11" t="e">
            <v>#REF!</v>
          </cell>
          <cell r="AK11" t="e">
            <v>#REF!</v>
          </cell>
          <cell r="AL11" t="e">
            <v>#REF!</v>
          </cell>
          <cell r="AM11" t="e">
            <v>#REF!</v>
          </cell>
          <cell r="AN11" t="e">
            <v>#REF!</v>
          </cell>
          <cell r="AO11" t="e">
            <v>#REF!</v>
          </cell>
          <cell r="AP11" t="e">
            <v>#REF!</v>
          </cell>
          <cell r="AQ11" t="e">
            <v>#REF!</v>
          </cell>
          <cell r="AR11" t="e">
            <v>#REF!</v>
          </cell>
          <cell r="AS11" t="e">
            <v>#REF!</v>
          </cell>
          <cell r="AT11" t="e">
            <v>#REF!</v>
          </cell>
          <cell r="AU11" t="e">
            <v>#REF!</v>
          </cell>
          <cell r="AV11" t="e">
            <v>#REF!</v>
          </cell>
          <cell r="AW11" t="e">
            <v>#REF!</v>
          </cell>
          <cell r="AX11" t="e">
            <v>#REF!</v>
          </cell>
          <cell r="AY11" t="e">
            <v>#REF!</v>
          </cell>
          <cell r="AZ11" t="e">
            <v>#REF!</v>
          </cell>
          <cell r="BA11" t="e">
            <v>#REF!</v>
          </cell>
          <cell r="BB11" t="e">
            <v>#REF!</v>
          </cell>
          <cell r="BC11" t="e">
            <v>#REF!</v>
          </cell>
          <cell r="BD11" t="e">
            <v>#REF!</v>
          </cell>
          <cell r="BE11" t="e">
            <v>#REF!</v>
          </cell>
          <cell r="BF11" t="e">
            <v>#REF!</v>
          </cell>
          <cell r="BG11" t="e">
            <v>#REF!</v>
          </cell>
          <cell r="BH11" t="e">
            <v>#REF!</v>
          </cell>
          <cell r="BI11" t="e">
            <v>#REF!</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row>
        <row r="12">
          <cell r="A12" t="str">
            <v>10107MD</v>
          </cell>
          <cell r="B12">
            <v>10107</v>
          </cell>
          <cell r="C12" t="str">
            <v>MD</v>
          </cell>
          <cell r="D12" t="e">
            <v>#REF!</v>
          </cell>
          <cell r="E12" t="e">
            <v>#REF!</v>
          </cell>
          <cell r="F12" t="e">
            <v>#REF!</v>
          </cell>
          <cell r="G12" t="str">
            <v>Y</v>
          </cell>
          <cell r="M12" t="e">
            <v>#REF!</v>
          </cell>
          <cell r="N12" t="e">
            <v>#REF!</v>
          </cell>
          <cell r="O12" t="e">
            <v>#REF!</v>
          </cell>
          <cell r="P12" t="e">
            <v>#REF!</v>
          </cell>
          <cell r="Q12" t="e">
            <v>#REF!</v>
          </cell>
          <cell r="R12" t="e">
            <v>#REF!</v>
          </cell>
          <cell r="S12" t="e">
            <v>#REF!</v>
          </cell>
          <cell r="T12" t="e">
            <v>#REF!</v>
          </cell>
          <cell r="U12" t="e">
            <v>#REF!</v>
          </cell>
          <cell r="V12" t="e">
            <v>#REF!</v>
          </cell>
          <cell r="W12" t="e">
            <v>#REF!</v>
          </cell>
          <cell r="X12" t="e">
            <v>#REF!</v>
          </cell>
          <cell r="Y12" t="e">
            <v>#REF!</v>
          </cell>
          <cell r="Z12" t="e">
            <v>#REF!</v>
          </cell>
          <cell r="AA12" t="e">
            <v>#REF!</v>
          </cell>
          <cell r="AB12" t="e">
            <v>#REF!</v>
          </cell>
          <cell r="AC12" t="e">
            <v>#REF!</v>
          </cell>
          <cell r="AD12" t="e">
            <v>#REF!</v>
          </cell>
          <cell r="AE12" t="e">
            <v>#REF!</v>
          </cell>
          <cell r="AF12" t="e">
            <v>#REF!</v>
          </cell>
          <cell r="AG12" t="e">
            <v>#REF!</v>
          </cell>
          <cell r="AH12" t="e">
            <v>#REF!</v>
          </cell>
          <cell r="AI12" t="e">
            <v>#REF!</v>
          </cell>
          <cell r="AJ12" t="e">
            <v>#REF!</v>
          </cell>
          <cell r="AK12" t="e">
            <v>#REF!</v>
          </cell>
          <cell r="AL12" t="e">
            <v>#REF!</v>
          </cell>
          <cell r="AM12" t="e">
            <v>#REF!</v>
          </cell>
          <cell r="AN12" t="e">
            <v>#REF!</v>
          </cell>
          <cell r="AO12" t="e">
            <v>#REF!</v>
          </cell>
          <cell r="AP12" t="e">
            <v>#REF!</v>
          </cell>
          <cell r="AQ12" t="e">
            <v>#REF!</v>
          </cell>
          <cell r="AR12" t="e">
            <v>#REF!</v>
          </cell>
          <cell r="AS12" t="e">
            <v>#REF!</v>
          </cell>
          <cell r="AT12" t="e">
            <v>#REF!</v>
          </cell>
          <cell r="AU12" t="e">
            <v>#REF!</v>
          </cell>
          <cell r="AV12" t="e">
            <v>#REF!</v>
          </cell>
          <cell r="AW12" t="e">
            <v>#REF!</v>
          </cell>
          <cell r="AX12" t="e">
            <v>#REF!</v>
          </cell>
          <cell r="AY12" t="e">
            <v>#REF!</v>
          </cell>
          <cell r="AZ12" t="e">
            <v>#REF!</v>
          </cell>
          <cell r="BA12" t="e">
            <v>#REF!</v>
          </cell>
          <cell r="BB12" t="e">
            <v>#REF!</v>
          </cell>
          <cell r="BC12" t="e">
            <v>#REF!</v>
          </cell>
          <cell r="BD12" t="e">
            <v>#REF!</v>
          </cell>
          <cell r="BE12" t="e">
            <v>#REF!</v>
          </cell>
          <cell r="BF12" t="e">
            <v>#REF!</v>
          </cell>
          <cell r="BG12" t="e">
            <v>#REF!</v>
          </cell>
          <cell r="BH12" t="e">
            <v>#REF!</v>
          </cell>
          <cell r="BI12" t="e">
            <v>#REF!</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row>
        <row r="13">
          <cell r="A13" t="str">
            <v>10108MD</v>
          </cell>
          <cell r="B13">
            <v>10108</v>
          </cell>
          <cell r="C13" t="str">
            <v>MD</v>
          </cell>
          <cell r="D13" t="e">
            <v>#REF!</v>
          </cell>
          <cell r="E13" t="e">
            <v>#REF!</v>
          </cell>
          <cell r="F13" t="e">
            <v>#REF!</v>
          </cell>
          <cell r="G13" t="str">
            <v>Y</v>
          </cell>
          <cell r="M13" t="e">
            <v>#REF!</v>
          </cell>
          <cell r="N13" t="e">
            <v>#REF!</v>
          </cell>
          <cell r="O13" t="e">
            <v>#REF!</v>
          </cell>
          <cell r="P13" t="e">
            <v>#REF!</v>
          </cell>
          <cell r="Q13" t="e">
            <v>#REF!</v>
          </cell>
          <cell r="R13" t="e">
            <v>#REF!</v>
          </cell>
          <cell r="S13" t="e">
            <v>#REF!</v>
          </cell>
          <cell r="T13" t="e">
            <v>#REF!</v>
          </cell>
          <cell r="U13" t="e">
            <v>#REF!</v>
          </cell>
          <cell r="V13" t="e">
            <v>#REF!</v>
          </cell>
          <cell r="W13" t="e">
            <v>#REF!</v>
          </cell>
          <cell r="X13" t="e">
            <v>#REF!</v>
          </cell>
          <cell r="Y13" t="e">
            <v>#REF!</v>
          </cell>
          <cell r="Z13" t="e">
            <v>#REF!</v>
          </cell>
          <cell r="AA13" t="e">
            <v>#REF!</v>
          </cell>
          <cell r="AB13" t="e">
            <v>#REF!</v>
          </cell>
          <cell r="AC13" t="e">
            <v>#REF!</v>
          </cell>
          <cell r="AD13" t="e">
            <v>#REF!</v>
          </cell>
          <cell r="AE13" t="e">
            <v>#REF!</v>
          </cell>
          <cell r="AF13" t="e">
            <v>#REF!</v>
          </cell>
          <cell r="AG13" t="e">
            <v>#REF!</v>
          </cell>
          <cell r="AH13" t="e">
            <v>#REF!</v>
          </cell>
          <cell r="AI13" t="e">
            <v>#REF!</v>
          </cell>
          <cell r="AJ13" t="e">
            <v>#REF!</v>
          </cell>
          <cell r="AK13" t="e">
            <v>#REF!</v>
          </cell>
          <cell r="AL13" t="e">
            <v>#REF!</v>
          </cell>
          <cell r="AM13" t="e">
            <v>#REF!</v>
          </cell>
          <cell r="AN13" t="e">
            <v>#REF!</v>
          </cell>
          <cell r="AO13" t="e">
            <v>#REF!</v>
          </cell>
          <cell r="AP13" t="e">
            <v>#REF!</v>
          </cell>
          <cell r="AQ13" t="e">
            <v>#REF!</v>
          </cell>
          <cell r="AR13" t="e">
            <v>#REF!</v>
          </cell>
          <cell r="AS13" t="e">
            <v>#REF!</v>
          </cell>
          <cell r="AT13" t="e">
            <v>#REF!</v>
          </cell>
          <cell r="AU13" t="e">
            <v>#REF!</v>
          </cell>
          <cell r="AV13" t="e">
            <v>#REF!</v>
          </cell>
          <cell r="AW13" t="e">
            <v>#REF!</v>
          </cell>
          <cell r="AX13" t="e">
            <v>#REF!</v>
          </cell>
          <cell r="AY13" t="e">
            <v>#REF!</v>
          </cell>
          <cell r="AZ13" t="e">
            <v>#REF!</v>
          </cell>
          <cell r="BA13" t="e">
            <v>#REF!</v>
          </cell>
          <cell r="BB13" t="e">
            <v>#REF!</v>
          </cell>
          <cell r="BC13" t="e">
            <v>#REF!</v>
          </cell>
          <cell r="BD13" t="e">
            <v>#REF!</v>
          </cell>
          <cell r="BE13" t="e">
            <v>#REF!</v>
          </cell>
          <cell r="BF13" t="e">
            <v>#REF!</v>
          </cell>
          <cell r="BG13" t="e">
            <v>#REF!</v>
          </cell>
          <cell r="BH13" t="e">
            <v>#REF!</v>
          </cell>
          <cell r="BI13" t="e">
            <v>#REF!</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row>
        <row r="14">
          <cell r="A14" t="str">
            <v>10109MD</v>
          </cell>
          <cell r="B14">
            <v>10109</v>
          </cell>
          <cell r="C14" t="str">
            <v>MD</v>
          </cell>
          <cell r="D14" t="str">
            <v>Appliances</v>
          </cell>
          <cell r="E14" t="str">
            <v>ENERGY STAR Clothes Washer</v>
          </cell>
          <cell r="F14" t="str">
            <v>R</v>
          </cell>
          <cell r="G14" t="str">
            <v>Y</v>
          </cell>
          <cell r="M14" t="str">
            <v>NC, RENO, REPL</v>
          </cell>
          <cell r="N14" t="str">
            <v>Existing or new Non-ENERGY STAR Clothes Washer with electric water heating and electric drying</v>
          </cell>
          <cell r="O14">
            <v>2021</v>
          </cell>
          <cell r="P14">
            <v>2030</v>
          </cell>
          <cell r="Q14" t="str">
            <v>Multifamily</v>
          </cell>
          <cell r="R14" t="str">
            <v>per washer</v>
          </cell>
          <cell r="S14">
            <v>0</v>
          </cell>
          <cell r="T14">
            <v>0</v>
          </cell>
          <cell r="U14">
            <v>0</v>
          </cell>
          <cell r="V14">
            <v>460.77146745749877</v>
          </cell>
          <cell r="W14">
            <v>0.29539986840252597</v>
          </cell>
          <cell r="X14" t="str">
            <v>-</v>
          </cell>
          <cell r="Y14" t="str">
            <v>2,5</v>
          </cell>
          <cell r="Z14" t="str">
            <v>2,5</v>
          </cell>
          <cell r="AA14">
            <v>0</v>
          </cell>
          <cell r="AB14">
            <v>0</v>
          </cell>
          <cell r="AC14">
            <v>0</v>
          </cell>
          <cell r="AD14">
            <v>0.3880620812322671</v>
          </cell>
          <cell r="AE14">
            <v>4</v>
          </cell>
          <cell r="AF14">
            <v>4</v>
          </cell>
          <cell r="AG14">
            <v>0</v>
          </cell>
          <cell r="AH14">
            <v>0</v>
          </cell>
          <cell r="AI14">
            <v>0</v>
          </cell>
          <cell r="AJ14">
            <v>0</v>
          </cell>
          <cell r="AK14">
            <v>0</v>
          </cell>
          <cell r="AL14" t="str">
            <v>-</v>
          </cell>
          <cell r="AM14" t="str">
            <v>-</v>
          </cell>
          <cell r="AN14" t="str">
            <v/>
          </cell>
          <cell r="AO14">
            <v>0</v>
          </cell>
          <cell r="AP14" t="str">
            <v>-</v>
          </cell>
          <cell r="AQ14">
            <v>0</v>
          </cell>
          <cell r="AR14" t="str">
            <v>-</v>
          </cell>
          <cell r="AS14">
            <v>0</v>
          </cell>
          <cell r="AT14" t="str">
            <v/>
          </cell>
          <cell r="AU14">
            <v>0</v>
          </cell>
          <cell r="AV14" t="str">
            <v>-</v>
          </cell>
          <cell r="AW14">
            <v>0</v>
          </cell>
          <cell r="AX14" t="str">
            <v>-</v>
          </cell>
          <cell r="AY14">
            <v>0</v>
          </cell>
          <cell r="AZ14" t="str">
            <v/>
          </cell>
          <cell r="BA14">
            <v>0</v>
          </cell>
          <cell r="BB14" t="str">
            <v>-</v>
          </cell>
          <cell r="BC14">
            <v>0</v>
          </cell>
          <cell r="BD14" t="str">
            <v>-</v>
          </cell>
          <cell r="BE14">
            <v>0</v>
          </cell>
          <cell r="BF14" t="str">
            <v/>
          </cell>
          <cell r="BG14">
            <v>0</v>
          </cell>
          <cell r="BH14" t="str">
            <v>-</v>
          </cell>
          <cell r="BI14">
            <v>0</v>
          </cell>
          <cell r="BJ14" t="str">
            <v>-</v>
          </cell>
          <cell r="BK14">
            <v>0</v>
          </cell>
          <cell r="BL14">
            <v>0</v>
          </cell>
          <cell r="BM14" t="str">
            <v>-</v>
          </cell>
          <cell r="BN14">
            <v>11</v>
          </cell>
          <cell r="BO14" t="str">
            <v/>
          </cell>
          <cell r="BP14">
            <v>0</v>
          </cell>
          <cell r="BQ14">
            <v>0</v>
          </cell>
          <cell r="BR14" t="str">
            <v>-</v>
          </cell>
          <cell r="BS14">
            <v>0</v>
          </cell>
          <cell r="BT14">
            <v>0</v>
          </cell>
          <cell r="BU14" t="str">
            <v>-</v>
          </cell>
        </row>
        <row r="15">
          <cell r="A15" t="str">
            <v>10110MD</v>
          </cell>
          <cell r="B15">
            <v>10110</v>
          </cell>
          <cell r="C15" t="str">
            <v>MD</v>
          </cell>
          <cell r="D15" t="str">
            <v>Appliances</v>
          </cell>
          <cell r="E15" t="str">
            <v>ENERGY STAR Clothes Washer with Gas Secondary Fuel</v>
          </cell>
          <cell r="F15" t="str">
            <v>R</v>
          </cell>
          <cell r="G15" t="str">
            <v>Y</v>
          </cell>
          <cell r="M15" t="str">
            <v>NC, RENO, REPL</v>
          </cell>
          <cell r="N15" t="str">
            <v>Existing or new Non-ENERGY STAR Clothes Washer with electric water heating and gas drying</v>
          </cell>
          <cell r="O15">
            <v>2021</v>
          </cell>
          <cell r="P15">
            <v>2030</v>
          </cell>
          <cell r="Q15" t="str">
            <v>Multifamily</v>
          </cell>
          <cell r="R15" t="str">
            <v>per washer</v>
          </cell>
          <cell r="S15">
            <v>0</v>
          </cell>
          <cell r="T15">
            <v>0</v>
          </cell>
          <cell r="U15">
            <v>0</v>
          </cell>
          <cell r="V15">
            <v>82.221758103610085</v>
          </cell>
          <cell r="W15">
            <v>0.46042550641256152</v>
          </cell>
          <cell r="X15" t="str">
            <v>-</v>
          </cell>
          <cell r="Y15" t="str">
            <v>2,5</v>
          </cell>
          <cell r="Z15" t="str">
            <v>2,5</v>
          </cell>
          <cell r="AA15">
            <v>0</v>
          </cell>
          <cell r="AB15">
            <v>0</v>
          </cell>
          <cell r="AC15">
            <v>0</v>
          </cell>
          <cell r="AD15">
            <v>2.1550396370775</v>
          </cell>
          <cell r="AE15">
            <v>4</v>
          </cell>
          <cell r="AF15">
            <v>4</v>
          </cell>
          <cell r="AG15">
            <v>0</v>
          </cell>
          <cell r="AH15">
            <v>0</v>
          </cell>
          <cell r="AI15">
            <v>0</v>
          </cell>
          <cell r="AJ15">
            <v>0</v>
          </cell>
          <cell r="AK15">
            <v>0</v>
          </cell>
          <cell r="AL15" t="str">
            <v>-</v>
          </cell>
          <cell r="AM15" t="str">
            <v>-</v>
          </cell>
          <cell r="AN15" t="str">
            <v/>
          </cell>
          <cell r="AO15">
            <v>0</v>
          </cell>
          <cell r="AP15" t="str">
            <v>-</v>
          </cell>
          <cell r="AQ15">
            <v>0</v>
          </cell>
          <cell r="AR15" t="str">
            <v>-</v>
          </cell>
          <cell r="AS15">
            <v>0</v>
          </cell>
          <cell r="AT15" t="str">
            <v/>
          </cell>
          <cell r="AU15">
            <v>0</v>
          </cell>
          <cell r="AV15" t="str">
            <v>-</v>
          </cell>
          <cell r="AW15">
            <v>0</v>
          </cell>
          <cell r="AX15" t="str">
            <v>-</v>
          </cell>
          <cell r="AY15">
            <v>0</v>
          </cell>
          <cell r="AZ15" t="str">
            <v/>
          </cell>
          <cell r="BA15">
            <v>0</v>
          </cell>
          <cell r="BB15" t="str">
            <v>-</v>
          </cell>
          <cell r="BC15">
            <v>0</v>
          </cell>
          <cell r="BD15" t="str">
            <v>-</v>
          </cell>
          <cell r="BE15">
            <v>0</v>
          </cell>
          <cell r="BF15" t="str">
            <v/>
          </cell>
          <cell r="BG15">
            <v>0</v>
          </cell>
          <cell r="BH15" t="str">
            <v>-</v>
          </cell>
          <cell r="BI15">
            <v>0</v>
          </cell>
          <cell r="BJ15" t="str">
            <v>-</v>
          </cell>
          <cell r="BK15">
            <v>0</v>
          </cell>
          <cell r="BL15">
            <v>0</v>
          </cell>
          <cell r="BM15" t="str">
            <v>-</v>
          </cell>
          <cell r="BN15">
            <v>11</v>
          </cell>
          <cell r="BO15" t="str">
            <v>G</v>
          </cell>
          <cell r="BP15">
            <v>1.2916116083154687</v>
          </cell>
          <cell r="BQ15">
            <v>1.5708878502547593E-2</v>
          </cell>
          <cell r="BR15" t="str">
            <v>-</v>
          </cell>
          <cell r="BS15">
            <v>0</v>
          </cell>
          <cell r="BT15">
            <v>0</v>
          </cell>
          <cell r="BU15" t="str">
            <v>-</v>
          </cell>
        </row>
        <row r="16">
          <cell r="A16" t="str">
            <v>10111MD</v>
          </cell>
          <cell r="B16">
            <v>10111</v>
          </cell>
          <cell r="C16" t="str">
            <v>MD</v>
          </cell>
          <cell r="D16" t="str">
            <v>Appliances</v>
          </cell>
          <cell r="E16" t="str">
            <v>ENERGY STAR Clothes Washer with Gas Secondary Fuel</v>
          </cell>
          <cell r="F16" t="str">
            <v>R</v>
          </cell>
          <cell r="G16" t="str">
            <v>Y</v>
          </cell>
          <cell r="M16" t="str">
            <v>NC, RENO, REPL</v>
          </cell>
          <cell r="N16" t="str">
            <v>Existing or new Non-ENERGY STAR Clothes Washer with gas water heating and electric drying</v>
          </cell>
          <cell r="O16">
            <v>2021</v>
          </cell>
          <cell r="P16">
            <v>2030</v>
          </cell>
          <cell r="Q16" t="str">
            <v>Multifamily</v>
          </cell>
          <cell r="R16" t="str">
            <v>per washer</v>
          </cell>
          <cell r="S16">
            <v>0</v>
          </cell>
          <cell r="T16">
            <v>0</v>
          </cell>
          <cell r="U16">
            <v>0</v>
          </cell>
          <cell r="V16">
            <v>460.77146745749877</v>
          </cell>
          <cell r="W16">
            <v>0.29539986840252597</v>
          </cell>
          <cell r="X16" t="str">
            <v>-</v>
          </cell>
          <cell r="Y16" t="str">
            <v>2,5</v>
          </cell>
          <cell r="Z16" t="str">
            <v>2,5</v>
          </cell>
          <cell r="AA16">
            <v>0</v>
          </cell>
          <cell r="AB16">
            <v>0</v>
          </cell>
          <cell r="AC16">
            <v>0</v>
          </cell>
          <cell r="AD16">
            <v>0.3880620812322671</v>
          </cell>
          <cell r="AE16">
            <v>4</v>
          </cell>
          <cell r="AF16">
            <v>4</v>
          </cell>
          <cell r="AG16">
            <v>0</v>
          </cell>
          <cell r="AH16">
            <v>0</v>
          </cell>
          <cell r="AI16">
            <v>0</v>
          </cell>
          <cell r="AJ16">
            <v>0</v>
          </cell>
          <cell r="AK16">
            <v>0</v>
          </cell>
          <cell r="AL16" t="str">
            <v>-</v>
          </cell>
          <cell r="AM16" t="str">
            <v>-</v>
          </cell>
          <cell r="AN16" t="str">
            <v/>
          </cell>
          <cell r="AO16">
            <v>0</v>
          </cell>
          <cell r="AP16" t="str">
            <v>-</v>
          </cell>
          <cell r="AQ16">
            <v>0</v>
          </cell>
          <cell r="AR16" t="str">
            <v>-</v>
          </cell>
          <cell r="AS16">
            <v>0</v>
          </cell>
          <cell r="AT16" t="str">
            <v/>
          </cell>
          <cell r="AU16">
            <v>0</v>
          </cell>
          <cell r="AV16" t="str">
            <v>-</v>
          </cell>
          <cell r="AW16">
            <v>0</v>
          </cell>
          <cell r="AX16" t="str">
            <v>-</v>
          </cell>
          <cell r="AY16">
            <v>0</v>
          </cell>
          <cell r="AZ16" t="str">
            <v/>
          </cell>
          <cell r="BA16">
            <v>0</v>
          </cell>
          <cell r="BB16" t="str">
            <v>-</v>
          </cell>
          <cell r="BC16">
            <v>0</v>
          </cell>
          <cell r="BD16" t="str">
            <v>-</v>
          </cell>
          <cell r="BE16">
            <v>0</v>
          </cell>
          <cell r="BF16" t="str">
            <v/>
          </cell>
          <cell r="BG16">
            <v>0</v>
          </cell>
          <cell r="BH16" t="str">
            <v>-</v>
          </cell>
          <cell r="BI16">
            <v>0</v>
          </cell>
          <cell r="BJ16" t="str">
            <v>-</v>
          </cell>
          <cell r="BK16">
            <v>0</v>
          </cell>
          <cell r="BL16">
            <v>0</v>
          </cell>
          <cell r="BM16" t="str">
            <v>-</v>
          </cell>
          <cell r="BN16">
            <v>11</v>
          </cell>
          <cell r="BO16" t="str">
            <v>G</v>
          </cell>
          <cell r="BP16">
            <v>0.22254840095058784</v>
          </cell>
          <cell r="BQ16">
            <v>4.829908461532843E-4</v>
          </cell>
          <cell r="BR16" t="str">
            <v>-</v>
          </cell>
          <cell r="BS16">
            <v>0</v>
          </cell>
          <cell r="BT16">
            <v>0</v>
          </cell>
          <cell r="BU16" t="str">
            <v>-</v>
          </cell>
        </row>
        <row r="17">
          <cell r="A17" t="str">
            <v>10112MD</v>
          </cell>
          <cell r="B17">
            <v>10112</v>
          </cell>
          <cell r="C17" t="str">
            <v>MD</v>
          </cell>
          <cell r="D17" t="str">
            <v>Appliances</v>
          </cell>
          <cell r="E17" t="str">
            <v>ENERGY STAR Clothes Washer with Gas Secondary Fuel</v>
          </cell>
          <cell r="F17" t="str">
            <v>R</v>
          </cell>
          <cell r="G17" t="str">
            <v>Y</v>
          </cell>
          <cell r="M17" t="str">
            <v>NC, RENO, REPL</v>
          </cell>
          <cell r="N17" t="str">
            <v>Existing or new Non-ENERGY STAR Clothes Washer with gas water heating and gas drying</v>
          </cell>
          <cell r="O17">
            <v>2021</v>
          </cell>
          <cell r="P17">
            <v>2030</v>
          </cell>
          <cell r="Q17" t="str">
            <v>Multifamily</v>
          </cell>
          <cell r="R17" t="str">
            <v>per washer</v>
          </cell>
          <cell r="S17">
            <v>0</v>
          </cell>
          <cell r="T17">
            <v>0</v>
          </cell>
          <cell r="U17">
            <v>0</v>
          </cell>
          <cell r="V17">
            <v>82.221758103610085</v>
          </cell>
          <cell r="W17">
            <v>0.46042550641256152</v>
          </cell>
          <cell r="X17" t="str">
            <v>-</v>
          </cell>
          <cell r="Y17" t="str">
            <v>2,5</v>
          </cell>
          <cell r="Z17" t="str">
            <v>2,5</v>
          </cell>
          <cell r="AA17">
            <v>0</v>
          </cell>
          <cell r="AB17">
            <v>0</v>
          </cell>
          <cell r="AC17">
            <v>0</v>
          </cell>
          <cell r="AD17">
            <v>2.1550396370775</v>
          </cell>
          <cell r="AE17">
            <v>4</v>
          </cell>
          <cell r="AF17">
            <v>4</v>
          </cell>
          <cell r="AG17">
            <v>0</v>
          </cell>
          <cell r="AH17">
            <v>0</v>
          </cell>
          <cell r="AI17">
            <v>0</v>
          </cell>
          <cell r="AJ17">
            <v>0</v>
          </cell>
          <cell r="AK17">
            <v>0</v>
          </cell>
          <cell r="AL17" t="str">
            <v>-</v>
          </cell>
          <cell r="AM17" t="str">
            <v>-</v>
          </cell>
          <cell r="AN17" t="str">
            <v/>
          </cell>
          <cell r="AO17">
            <v>0</v>
          </cell>
          <cell r="AP17" t="str">
            <v>-</v>
          </cell>
          <cell r="AQ17">
            <v>0</v>
          </cell>
          <cell r="AR17" t="str">
            <v>-</v>
          </cell>
          <cell r="AS17">
            <v>0</v>
          </cell>
          <cell r="AT17" t="str">
            <v/>
          </cell>
          <cell r="AU17">
            <v>0</v>
          </cell>
          <cell r="AV17" t="str">
            <v>-</v>
          </cell>
          <cell r="AW17">
            <v>0</v>
          </cell>
          <cell r="AX17" t="str">
            <v>-</v>
          </cell>
          <cell r="AY17">
            <v>0</v>
          </cell>
          <cell r="AZ17" t="str">
            <v/>
          </cell>
          <cell r="BA17">
            <v>0</v>
          </cell>
          <cell r="BB17" t="str">
            <v>-</v>
          </cell>
          <cell r="BC17">
            <v>0</v>
          </cell>
          <cell r="BD17" t="str">
            <v>-</v>
          </cell>
          <cell r="BE17">
            <v>0</v>
          </cell>
          <cell r="BF17" t="str">
            <v/>
          </cell>
          <cell r="BG17">
            <v>0</v>
          </cell>
          <cell r="BH17" t="str">
            <v>-</v>
          </cell>
          <cell r="BI17">
            <v>0</v>
          </cell>
          <cell r="BJ17" t="str">
            <v>-</v>
          </cell>
          <cell r="BK17">
            <v>0</v>
          </cell>
          <cell r="BL17">
            <v>0</v>
          </cell>
          <cell r="BM17" t="str">
            <v>-</v>
          </cell>
          <cell r="BN17">
            <v>11</v>
          </cell>
          <cell r="BO17" t="str">
            <v>G</v>
          </cell>
          <cell r="BP17">
            <v>1.2916116083154687</v>
          </cell>
          <cell r="BQ17">
            <v>1.5708878502547593E-2</v>
          </cell>
          <cell r="BR17" t="str">
            <v>-</v>
          </cell>
          <cell r="BS17">
            <v>0</v>
          </cell>
          <cell r="BT17">
            <v>0</v>
          </cell>
          <cell r="BU17" t="str">
            <v>-</v>
          </cell>
        </row>
        <row r="18">
          <cell r="A18" t="str">
            <v>10301MD</v>
          </cell>
          <cell r="B18">
            <v>10301</v>
          </cell>
          <cell r="C18" t="str">
            <v>MD</v>
          </cell>
          <cell r="D18" t="e">
            <v>#REF!</v>
          </cell>
          <cell r="E18" t="e">
            <v>#REF!</v>
          </cell>
          <cell r="F18" t="e">
            <v>#REF!</v>
          </cell>
          <cell r="G18" t="str">
            <v>Y</v>
          </cell>
          <cell r="M18" t="e">
            <v>#REF!</v>
          </cell>
          <cell r="N18" t="e">
            <v>#REF!</v>
          </cell>
          <cell r="O18" t="e">
            <v>#REF!</v>
          </cell>
          <cell r="P18" t="e">
            <v>#REF!</v>
          </cell>
          <cell r="Q18" t="e">
            <v>#REF!</v>
          </cell>
          <cell r="R18" t="e">
            <v>#REF!</v>
          </cell>
          <cell r="S18" t="e">
            <v>#REF!</v>
          </cell>
          <cell r="T18" t="e">
            <v>#REF!</v>
          </cell>
          <cell r="U18" t="e">
            <v>#REF!</v>
          </cell>
          <cell r="V18" t="e">
            <v>#REF!</v>
          </cell>
          <cell r="W18" t="e">
            <v>#REF!</v>
          </cell>
          <cell r="X18" t="e">
            <v>#REF!</v>
          </cell>
          <cell r="Y18" t="e">
            <v>#REF!</v>
          </cell>
          <cell r="Z18" t="e">
            <v>#REF!</v>
          </cell>
          <cell r="AA18" t="e">
            <v>#REF!</v>
          </cell>
          <cell r="AB18" t="e">
            <v>#REF!</v>
          </cell>
          <cell r="AC18" t="e">
            <v>#REF!</v>
          </cell>
          <cell r="AD18" t="e">
            <v>#REF!</v>
          </cell>
          <cell r="AE18" t="e">
            <v>#REF!</v>
          </cell>
          <cell r="AF18" t="e">
            <v>#REF!</v>
          </cell>
          <cell r="AG18" t="e">
            <v>#REF!</v>
          </cell>
          <cell r="AH18" t="e">
            <v>#REF!</v>
          </cell>
          <cell r="AI18" t="e">
            <v>#REF!</v>
          </cell>
          <cell r="AJ18" t="e">
            <v>#REF!</v>
          </cell>
          <cell r="AK18" t="e">
            <v>#REF!</v>
          </cell>
          <cell r="AL18" t="e">
            <v>#REF!</v>
          </cell>
          <cell r="AM18" t="e">
            <v>#REF!</v>
          </cell>
          <cell r="AN18" t="e">
            <v>#REF!</v>
          </cell>
          <cell r="AO18" t="e">
            <v>#REF!</v>
          </cell>
          <cell r="AP18" t="e">
            <v>#REF!</v>
          </cell>
          <cell r="AQ18" t="e">
            <v>#REF!</v>
          </cell>
          <cell r="AR18" t="e">
            <v>#REF!</v>
          </cell>
          <cell r="AS18" t="e">
            <v>#REF!</v>
          </cell>
          <cell r="AT18" t="e">
            <v>#REF!</v>
          </cell>
          <cell r="AU18" t="e">
            <v>#REF!</v>
          </cell>
          <cell r="AV18" t="e">
            <v>#REF!</v>
          </cell>
          <cell r="AW18" t="e">
            <v>#REF!</v>
          </cell>
          <cell r="AX18" t="e">
            <v>#REF!</v>
          </cell>
          <cell r="AY18" t="e">
            <v>#REF!</v>
          </cell>
          <cell r="AZ18" t="e">
            <v>#REF!</v>
          </cell>
          <cell r="BA18" t="e">
            <v>#REF!</v>
          </cell>
          <cell r="BB18" t="e">
            <v>#REF!</v>
          </cell>
          <cell r="BC18" t="e">
            <v>#REF!</v>
          </cell>
          <cell r="BD18" t="e">
            <v>#REF!</v>
          </cell>
          <cell r="BE18" t="e">
            <v>#REF!</v>
          </cell>
          <cell r="BF18" t="e">
            <v>#REF!</v>
          </cell>
          <cell r="BG18" t="e">
            <v>#REF!</v>
          </cell>
          <cell r="BH18" t="e">
            <v>#REF!</v>
          </cell>
          <cell r="BI18" t="e">
            <v>#REF!</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row>
        <row r="19">
          <cell r="A19" t="str">
            <v>10301RET</v>
          </cell>
          <cell r="B19">
            <v>10301</v>
          </cell>
          <cell r="C19" t="str">
            <v>RET</v>
          </cell>
          <cell r="D19" t="e">
            <v>#REF!</v>
          </cell>
          <cell r="E19" t="e">
            <v>#REF!</v>
          </cell>
          <cell r="F19" t="e">
            <v>#REF!</v>
          </cell>
          <cell r="G19" t="str">
            <v>Y</v>
          </cell>
          <cell r="M19" t="e">
            <v>#REF!</v>
          </cell>
          <cell r="N19" t="e">
            <v>#REF!</v>
          </cell>
          <cell r="O19" t="e">
            <v>#REF!</v>
          </cell>
          <cell r="P19" t="e">
            <v>#REF!</v>
          </cell>
          <cell r="Q19" t="e">
            <v>#REF!</v>
          </cell>
          <cell r="R19" t="e">
            <v>#REF!</v>
          </cell>
          <cell r="S19" t="e">
            <v>#REF!</v>
          </cell>
          <cell r="T19" t="e">
            <v>#REF!</v>
          </cell>
          <cell r="U19" t="e">
            <v>#REF!</v>
          </cell>
          <cell r="V19" t="e">
            <v>#REF!</v>
          </cell>
          <cell r="W19" t="e">
            <v>#REF!</v>
          </cell>
          <cell r="X19" t="e">
            <v>#REF!</v>
          </cell>
          <cell r="Y19" t="e">
            <v>#REF!</v>
          </cell>
          <cell r="Z19" t="e">
            <v>#REF!</v>
          </cell>
          <cell r="AA19" t="e">
            <v>#REF!</v>
          </cell>
          <cell r="AB19" t="e">
            <v>#REF!</v>
          </cell>
          <cell r="AC19" t="e">
            <v>#REF!</v>
          </cell>
          <cell r="AD19" t="e">
            <v>#REF!</v>
          </cell>
          <cell r="AE19" t="e">
            <v>#REF!</v>
          </cell>
          <cell r="AF19" t="e">
            <v>#REF!</v>
          </cell>
          <cell r="AG19" t="e">
            <v>#REF!</v>
          </cell>
          <cell r="AH19" t="e">
            <v>#REF!</v>
          </cell>
          <cell r="AI19" t="e">
            <v>#REF!</v>
          </cell>
          <cell r="AJ19" t="e">
            <v>#REF!</v>
          </cell>
          <cell r="AK19" t="e">
            <v>#REF!</v>
          </cell>
          <cell r="AL19" t="e">
            <v>#REF!</v>
          </cell>
          <cell r="AM19" t="e">
            <v>#REF!</v>
          </cell>
          <cell r="AN19" t="e">
            <v>#REF!</v>
          </cell>
          <cell r="AO19" t="e">
            <v>#REF!</v>
          </cell>
          <cell r="AP19" t="e">
            <v>#REF!</v>
          </cell>
          <cell r="AQ19" t="e">
            <v>#REF!</v>
          </cell>
          <cell r="AR19" t="e">
            <v>#REF!</v>
          </cell>
          <cell r="AS19" t="e">
            <v>#REF!</v>
          </cell>
          <cell r="AT19" t="e">
            <v>#REF!</v>
          </cell>
          <cell r="AU19" t="e">
            <v>#REF!</v>
          </cell>
          <cell r="AV19" t="e">
            <v>#REF!</v>
          </cell>
          <cell r="AW19" t="e">
            <v>#REF!</v>
          </cell>
          <cell r="AX19" t="e">
            <v>#REF!</v>
          </cell>
          <cell r="AY19" t="e">
            <v>#REF!</v>
          </cell>
          <cell r="AZ19" t="e">
            <v>#REF!</v>
          </cell>
          <cell r="BA19" t="e">
            <v>#REF!</v>
          </cell>
          <cell r="BB19" t="e">
            <v>#REF!</v>
          </cell>
          <cell r="BC19" t="e">
            <v>#REF!</v>
          </cell>
          <cell r="BD19" t="e">
            <v>#REF!</v>
          </cell>
          <cell r="BE19" t="e">
            <v>#REF!</v>
          </cell>
          <cell r="BF19" t="e">
            <v>#REF!</v>
          </cell>
          <cell r="BG19" t="e">
            <v>#REF!</v>
          </cell>
          <cell r="BH19" t="e">
            <v>#REF!</v>
          </cell>
          <cell r="BI19" t="e">
            <v>#REF!</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row>
        <row r="20">
          <cell r="A20" t="str">
            <v>10302MD</v>
          </cell>
          <cell r="B20">
            <v>10302</v>
          </cell>
          <cell r="C20" t="str">
            <v>MD</v>
          </cell>
          <cell r="D20" t="str">
            <v>Cooling</v>
          </cell>
          <cell r="E20" t="str">
            <v>Quality Install Central Air Conditioner</v>
          </cell>
          <cell r="F20" t="str">
            <v>R</v>
          </cell>
          <cell r="G20" t="str">
            <v>Y</v>
          </cell>
          <cell r="M20" t="str">
            <v>NC, RENO, REPL</v>
          </cell>
          <cell r="N20" t="str">
            <v>Existing or baseline central AC system with SEER 13</v>
          </cell>
          <cell r="O20">
            <v>2021</v>
          </cell>
          <cell r="P20">
            <v>2030</v>
          </cell>
          <cell r="Q20" t="str">
            <v>Single Family</v>
          </cell>
          <cell r="R20" t="str">
            <v>per ton</v>
          </cell>
          <cell r="S20">
            <v>0</v>
          </cell>
          <cell r="T20">
            <v>0</v>
          </cell>
          <cell r="U20">
            <v>0</v>
          </cell>
          <cell r="V20">
            <v>141.36025641025645</v>
          </cell>
          <cell r="W20">
            <v>0.27777777777777785</v>
          </cell>
          <cell r="X20" t="str">
            <v>-</v>
          </cell>
          <cell r="Y20" t="str">
            <v>1,2,8</v>
          </cell>
          <cell r="Z20" t="str">
            <v>1,2,8</v>
          </cell>
          <cell r="AA20">
            <v>0</v>
          </cell>
          <cell r="AB20">
            <v>0</v>
          </cell>
          <cell r="AC20">
            <v>299</v>
          </cell>
          <cell r="AD20">
            <v>2.1151631129773896</v>
          </cell>
          <cell r="AE20">
            <v>9</v>
          </cell>
          <cell r="AF20">
            <v>9</v>
          </cell>
          <cell r="AG20">
            <v>0</v>
          </cell>
          <cell r="AH20">
            <v>0</v>
          </cell>
          <cell r="AI20">
            <v>0</v>
          </cell>
          <cell r="AJ20">
            <v>0</v>
          </cell>
          <cell r="AK20">
            <v>0</v>
          </cell>
          <cell r="AL20" t="str">
            <v>-</v>
          </cell>
          <cell r="AM20" t="str">
            <v>-</v>
          </cell>
          <cell r="AN20" t="str">
            <v/>
          </cell>
          <cell r="AO20">
            <v>0</v>
          </cell>
          <cell r="AP20" t="str">
            <v>-</v>
          </cell>
          <cell r="AQ20">
            <v>0</v>
          </cell>
          <cell r="AR20" t="str">
            <v>-</v>
          </cell>
          <cell r="AS20">
            <v>0</v>
          </cell>
          <cell r="AT20" t="str">
            <v/>
          </cell>
          <cell r="AU20">
            <v>0</v>
          </cell>
          <cell r="AV20" t="str">
            <v>-</v>
          </cell>
          <cell r="AW20">
            <v>0</v>
          </cell>
          <cell r="AX20" t="str">
            <v>-</v>
          </cell>
          <cell r="AY20">
            <v>0</v>
          </cell>
          <cell r="AZ20" t="str">
            <v/>
          </cell>
          <cell r="BA20">
            <v>0</v>
          </cell>
          <cell r="BB20" t="str">
            <v>-</v>
          </cell>
          <cell r="BC20">
            <v>0</v>
          </cell>
          <cell r="BD20" t="str">
            <v>-</v>
          </cell>
          <cell r="BE20">
            <v>0</v>
          </cell>
          <cell r="BF20" t="str">
            <v/>
          </cell>
          <cell r="BG20">
            <v>0</v>
          </cell>
          <cell r="BH20" t="str">
            <v>-</v>
          </cell>
          <cell r="BI20">
            <v>0</v>
          </cell>
          <cell r="BJ20" t="str">
            <v>-</v>
          </cell>
          <cell r="BK20">
            <v>0</v>
          </cell>
          <cell r="BL20">
            <v>0</v>
          </cell>
          <cell r="BM20" t="str">
            <v>-</v>
          </cell>
          <cell r="BN20">
            <v>15</v>
          </cell>
          <cell r="BO20" t="str">
            <v/>
          </cell>
          <cell r="BP20">
            <v>0</v>
          </cell>
          <cell r="BQ20">
            <v>0</v>
          </cell>
          <cell r="BR20" t="str">
            <v>-</v>
          </cell>
          <cell r="BS20">
            <v>0</v>
          </cell>
          <cell r="BT20">
            <v>0</v>
          </cell>
          <cell r="BU20" t="str">
            <v>-</v>
          </cell>
        </row>
        <row r="21">
          <cell r="A21" t="str">
            <v>10302RET</v>
          </cell>
          <cell r="B21">
            <v>10302</v>
          </cell>
          <cell r="C21" t="str">
            <v>RET</v>
          </cell>
          <cell r="D21" t="str">
            <v>Cooling</v>
          </cell>
          <cell r="E21" t="str">
            <v>Quality Install Central Air Conditioner</v>
          </cell>
          <cell r="F21" t="str">
            <v>R</v>
          </cell>
          <cell r="G21" t="str">
            <v>Y</v>
          </cell>
          <cell r="M21" t="str">
            <v>RET</v>
          </cell>
          <cell r="N21" t="str">
            <v>Existing central AC system with SEER 12.1</v>
          </cell>
          <cell r="O21">
            <v>2021</v>
          </cell>
          <cell r="P21">
            <v>2030</v>
          </cell>
          <cell r="Q21" t="str">
            <v>Single Family</v>
          </cell>
          <cell r="R21" t="str">
            <v>per ton</v>
          </cell>
          <cell r="S21">
            <v>0</v>
          </cell>
          <cell r="T21">
            <v>0</v>
          </cell>
          <cell r="U21">
            <v>0</v>
          </cell>
          <cell r="V21">
            <v>179.21209366391184</v>
          </cell>
          <cell r="W21">
            <v>0.32777777777777778</v>
          </cell>
          <cell r="X21" t="str">
            <v>-</v>
          </cell>
          <cell r="Y21" t="str">
            <v>1,2,8</v>
          </cell>
          <cell r="Z21" t="str">
            <v>1,2,8</v>
          </cell>
          <cell r="AA21">
            <v>0</v>
          </cell>
          <cell r="AB21">
            <v>0</v>
          </cell>
          <cell r="AC21">
            <v>1517.01</v>
          </cell>
          <cell r="AD21">
            <v>8.4648863198091302</v>
          </cell>
          <cell r="AE21" t="str">
            <v>9,48</v>
          </cell>
          <cell r="AF21" t="str">
            <v>9,48</v>
          </cell>
          <cell r="AG21">
            <v>15</v>
          </cell>
          <cell r="AH21">
            <v>10</v>
          </cell>
          <cell r="AI21">
            <v>1060.01</v>
          </cell>
          <cell r="AJ21">
            <v>5.9148352007309617</v>
          </cell>
          <cell r="AK21">
            <v>0.84745762711864425</v>
          </cell>
          <cell r="AL21" t="str">
            <v>-</v>
          </cell>
          <cell r="AM21" t="str">
            <v>-</v>
          </cell>
          <cell r="AN21" t="str">
            <v/>
          </cell>
          <cell r="AO21">
            <v>0</v>
          </cell>
          <cell r="AP21" t="str">
            <v>-</v>
          </cell>
          <cell r="AQ21">
            <v>0</v>
          </cell>
          <cell r="AR21" t="str">
            <v>-</v>
          </cell>
          <cell r="AS21">
            <v>0</v>
          </cell>
          <cell r="AT21" t="str">
            <v/>
          </cell>
          <cell r="AU21">
            <v>0</v>
          </cell>
          <cell r="AV21" t="str">
            <v>-</v>
          </cell>
          <cell r="AW21">
            <v>0</v>
          </cell>
          <cell r="AX21" t="str">
            <v>-</v>
          </cell>
          <cell r="AY21">
            <v>0</v>
          </cell>
          <cell r="AZ21" t="str">
            <v/>
          </cell>
          <cell r="BA21">
            <v>0</v>
          </cell>
          <cell r="BB21" t="str">
            <v>-</v>
          </cell>
          <cell r="BC21">
            <v>0</v>
          </cell>
          <cell r="BD21" t="str">
            <v>-</v>
          </cell>
          <cell r="BE21">
            <v>0</v>
          </cell>
          <cell r="BF21" t="str">
            <v/>
          </cell>
          <cell r="BG21">
            <v>0</v>
          </cell>
          <cell r="BH21" t="str">
            <v>-</v>
          </cell>
          <cell r="BI21">
            <v>0</v>
          </cell>
          <cell r="BJ21" t="str">
            <v>-</v>
          </cell>
          <cell r="BK21">
            <v>0</v>
          </cell>
          <cell r="BL21">
            <v>0</v>
          </cell>
          <cell r="BM21" t="str">
            <v>-</v>
          </cell>
          <cell r="BN21">
            <v>15</v>
          </cell>
          <cell r="BO21" t="str">
            <v/>
          </cell>
          <cell r="BP21">
            <v>0</v>
          </cell>
          <cell r="BQ21">
            <v>0</v>
          </cell>
          <cell r="BR21" t="str">
            <v>-</v>
          </cell>
          <cell r="BS21">
            <v>0</v>
          </cell>
          <cell r="BT21">
            <v>0</v>
          </cell>
          <cell r="BU21" t="str">
            <v>-</v>
          </cell>
        </row>
        <row r="22">
          <cell r="A22" t="str">
            <v>10303RET</v>
          </cell>
          <cell r="B22">
            <v>10303</v>
          </cell>
          <cell r="C22" t="str">
            <v>RET</v>
          </cell>
          <cell r="D22" t="str">
            <v>Cooling</v>
          </cell>
          <cell r="E22" t="str">
            <v>Central Air Conditioner Tune Up</v>
          </cell>
          <cell r="F22" t="str">
            <v>R</v>
          </cell>
          <cell r="G22" t="str">
            <v>Y</v>
          </cell>
          <cell r="M22" t="str">
            <v>RET</v>
          </cell>
          <cell r="N22" t="str">
            <v>Existing CAC system that has not received a tune-up within the last 3 years</v>
          </cell>
          <cell r="O22">
            <v>2021</v>
          </cell>
          <cell r="P22">
            <v>2030</v>
          </cell>
          <cell r="Q22" t="str">
            <v>Single Family</v>
          </cell>
          <cell r="R22" t="str">
            <v>per tune up</v>
          </cell>
          <cell r="S22">
            <v>0</v>
          </cell>
          <cell r="T22">
            <v>0</v>
          </cell>
          <cell r="U22">
            <v>0</v>
          </cell>
          <cell r="V22">
            <v>109.34975206611571</v>
          </cell>
          <cell r="W22">
            <v>0.05</v>
          </cell>
          <cell r="X22" t="str">
            <v>-</v>
          </cell>
          <cell r="Y22" t="str">
            <v>1,2</v>
          </cell>
          <cell r="Z22" t="str">
            <v>1,2</v>
          </cell>
          <cell r="AA22">
            <v>0</v>
          </cell>
          <cell r="AB22">
            <v>0</v>
          </cell>
          <cell r="AC22">
            <v>100</v>
          </cell>
          <cell r="AD22">
            <v>0.9144968151325793</v>
          </cell>
          <cell r="AE22">
            <v>4</v>
          </cell>
          <cell r="AF22">
            <v>4</v>
          </cell>
          <cell r="AG22">
            <v>0</v>
          </cell>
          <cell r="AH22">
            <v>0</v>
          </cell>
          <cell r="AI22">
            <v>0</v>
          </cell>
          <cell r="AJ22">
            <v>0</v>
          </cell>
          <cell r="AK22">
            <v>0</v>
          </cell>
          <cell r="AL22" t="str">
            <v>-</v>
          </cell>
          <cell r="AM22" t="str">
            <v>-</v>
          </cell>
          <cell r="AN22" t="str">
            <v/>
          </cell>
          <cell r="AO22">
            <v>0</v>
          </cell>
          <cell r="AP22" t="str">
            <v>-</v>
          </cell>
          <cell r="AQ22">
            <v>0</v>
          </cell>
          <cell r="AR22" t="str">
            <v>-</v>
          </cell>
          <cell r="AS22">
            <v>0</v>
          </cell>
          <cell r="AT22" t="str">
            <v/>
          </cell>
          <cell r="AU22">
            <v>0</v>
          </cell>
          <cell r="AV22" t="str">
            <v>-</v>
          </cell>
          <cell r="AW22">
            <v>0</v>
          </cell>
          <cell r="AX22" t="str">
            <v>-</v>
          </cell>
          <cell r="AY22">
            <v>0</v>
          </cell>
          <cell r="AZ22" t="str">
            <v/>
          </cell>
          <cell r="BA22">
            <v>0</v>
          </cell>
          <cell r="BB22" t="str">
            <v>-</v>
          </cell>
          <cell r="BC22">
            <v>0</v>
          </cell>
          <cell r="BD22" t="str">
            <v>-</v>
          </cell>
          <cell r="BE22">
            <v>0</v>
          </cell>
          <cell r="BF22" t="str">
            <v/>
          </cell>
          <cell r="BG22">
            <v>0</v>
          </cell>
          <cell r="BH22" t="str">
            <v>-</v>
          </cell>
          <cell r="BI22">
            <v>0</v>
          </cell>
          <cell r="BJ22" t="str">
            <v>-</v>
          </cell>
          <cell r="BK22">
            <v>0</v>
          </cell>
          <cell r="BL22">
            <v>0</v>
          </cell>
          <cell r="BM22" t="str">
            <v>-</v>
          </cell>
          <cell r="BN22">
            <v>3</v>
          </cell>
          <cell r="BO22" t="str">
            <v/>
          </cell>
          <cell r="BP22">
            <v>0</v>
          </cell>
          <cell r="BQ22">
            <v>0</v>
          </cell>
          <cell r="BR22" t="str">
            <v>-</v>
          </cell>
          <cell r="BS22">
            <v>0</v>
          </cell>
          <cell r="BT22">
            <v>0</v>
          </cell>
          <cell r="BU22" t="str">
            <v>-</v>
          </cell>
        </row>
        <row r="23">
          <cell r="A23" t="str">
            <v>10304RET</v>
          </cell>
          <cell r="B23">
            <v>10304</v>
          </cell>
          <cell r="C23" t="str">
            <v>RET</v>
          </cell>
          <cell r="D23" t="str">
            <v>Cooling</v>
          </cell>
          <cell r="E23" t="str">
            <v>Central Air Conditioner Recommissioning</v>
          </cell>
          <cell r="F23" t="str">
            <v>R</v>
          </cell>
          <cell r="G23" t="str">
            <v>Y</v>
          </cell>
          <cell r="M23" t="str">
            <v>RET</v>
          </cell>
          <cell r="N23" t="str">
            <v>Existing CAC system that has not been recommissioned</v>
          </cell>
          <cell r="O23">
            <v>2021</v>
          </cell>
          <cell r="P23">
            <v>2030</v>
          </cell>
          <cell r="Q23" t="str">
            <v>Single Family</v>
          </cell>
          <cell r="R23" t="str">
            <v/>
          </cell>
          <cell r="S23">
            <v>0</v>
          </cell>
          <cell r="T23">
            <v>0</v>
          </cell>
          <cell r="U23">
            <v>0</v>
          </cell>
          <cell r="V23">
            <v>136.68719008264466</v>
          </cell>
          <cell r="W23">
            <v>0.1</v>
          </cell>
          <cell r="X23" t="str">
            <v>-</v>
          </cell>
          <cell r="Y23" t="str">
            <v>1,2</v>
          </cell>
          <cell r="Z23" t="str">
            <v>1,2</v>
          </cell>
          <cell r="AA23">
            <v>0</v>
          </cell>
          <cell r="AB23">
            <v>0</v>
          </cell>
          <cell r="AC23">
            <v>100</v>
          </cell>
          <cell r="AD23">
            <v>0.73159745210606331</v>
          </cell>
          <cell r="AE23">
            <v>4</v>
          </cell>
          <cell r="AF23">
            <v>4</v>
          </cell>
          <cell r="AG23">
            <v>0</v>
          </cell>
          <cell r="AH23">
            <v>0</v>
          </cell>
          <cell r="AI23">
            <v>0</v>
          </cell>
          <cell r="AJ23">
            <v>0</v>
          </cell>
          <cell r="AK23">
            <v>0</v>
          </cell>
          <cell r="AL23" t="str">
            <v>-</v>
          </cell>
          <cell r="AM23" t="str">
            <v>-</v>
          </cell>
          <cell r="AN23" t="str">
            <v/>
          </cell>
          <cell r="AO23">
            <v>0</v>
          </cell>
          <cell r="AP23" t="str">
            <v>-</v>
          </cell>
          <cell r="AQ23">
            <v>0</v>
          </cell>
          <cell r="AR23" t="str">
            <v>-</v>
          </cell>
          <cell r="AS23">
            <v>0</v>
          </cell>
          <cell r="AT23" t="str">
            <v/>
          </cell>
          <cell r="AU23">
            <v>0</v>
          </cell>
          <cell r="AV23" t="str">
            <v>-</v>
          </cell>
          <cell r="AW23">
            <v>0</v>
          </cell>
          <cell r="AX23" t="str">
            <v>-</v>
          </cell>
          <cell r="AY23">
            <v>0</v>
          </cell>
          <cell r="AZ23" t="str">
            <v/>
          </cell>
          <cell r="BA23">
            <v>0</v>
          </cell>
          <cell r="BB23" t="str">
            <v>-</v>
          </cell>
          <cell r="BC23">
            <v>0</v>
          </cell>
          <cell r="BD23" t="str">
            <v>-</v>
          </cell>
          <cell r="BE23">
            <v>0</v>
          </cell>
          <cell r="BF23" t="str">
            <v/>
          </cell>
          <cell r="BG23">
            <v>0</v>
          </cell>
          <cell r="BH23" t="str">
            <v>-</v>
          </cell>
          <cell r="BI23">
            <v>0</v>
          </cell>
          <cell r="BJ23" t="str">
            <v>-</v>
          </cell>
          <cell r="BK23">
            <v>0</v>
          </cell>
          <cell r="BL23">
            <v>0</v>
          </cell>
          <cell r="BM23" t="str">
            <v>-</v>
          </cell>
          <cell r="BN23">
            <v>10</v>
          </cell>
          <cell r="BO23" t="str">
            <v/>
          </cell>
          <cell r="BP23">
            <v>0</v>
          </cell>
          <cell r="BQ23">
            <v>0</v>
          </cell>
          <cell r="BR23" t="str">
            <v>-</v>
          </cell>
          <cell r="BS23">
            <v>0</v>
          </cell>
          <cell r="BT23">
            <v>0</v>
          </cell>
          <cell r="BU23" t="str">
            <v>-</v>
          </cell>
        </row>
        <row r="24">
          <cell r="A24" t="str">
            <v>10305MD</v>
          </cell>
          <cell r="B24">
            <v>10305</v>
          </cell>
          <cell r="C24" t="str">
            <v>MD</v>
          </cell>
          <cell r="D24" t="str">
            <v>Cooling</v>
          </cell>
          <cell r="E24" t="str">
            <v>Air Source Heat Pump</v>
          </cell>
          <cell r="F24" t="str">
            <v>R</v>
          </cell>
          <cell r="G24" t="str">
            <v>Y</v>
          </cell>
          <cell r="M24" t="str">
            <v>NC, RENO, REPL</v>
          </cell>
          <cell r="N24" t="str">
            <v>Existing or baseline air source heat pump system with SEER 14</v>
          </cell>
          <cell r="O24">
            <v>2021</v>
          </cell>
          <cell r="P24">
            <v>2030</v>
          </cell>
          <cell r="Q24" t="str">
            <v>Single Family</v>
          </cell>
          <cell r="R24" t="str">
            <v>per ton</v>
          </cell>
          <cell r="S24">
            <v>0</v>
          </cell>
          <cell r="T24">
            <v>0</v>
          </cell>
          <cell r="U24">
            <v>0</v>
          </cell>
          <cell r="V24">
            <v>105.0104761904762</v>
          </cell>
          <cell r="W24">
            <v>0.2472222222222222</v>
          </cell>
          <cell r="X24" t="str">
            <v>-</v>
          </cell>
          <cell r="Y24" t="str">
            <v>1,2</v>
          </cell>
          <cell r="Z24" t="str">
            <v>1,2</v>
          </cell>
          <cell r="AA24">
            <v>0</v>
          </cell>
          <cell r="AB24">
            <v>0</v>
          </cell>
          <cell r="AC24">
            <v>0</v>
          </cell>
          <cell r="AD24">
            <v>0</v>
          </cell>
          <cell r="AE24">
            <v>9</v>
          </cell>
          <cell r="AF24">
            <v>9</v>
          </cell>
          <cell r="AG24">
            <v>0</v>
          </cell>
          <cell r="AH24">
            <v>0</v>
          </cell>
          <cell r="AI24">
            <v>0</v>
          </cell>
          <cell r="AJ24">
            <v>0</v>
          </cell>
          <cell r="AK24">
            <v>0</v>
          </cell>
          <cell r="AL24" t="str">
            <v>-</v>
          </cell>
          <cell r="AM24" t="str">
            <v>-</v>
          </cell>
          <cell r="AN24" t="str">
            <v/>
          </cell>
          <cell r="AO24">
            <v>0</v>
          </cell>
          <cell r="AP24" t="str">
            <v>-</v>
          </cell>
          <cell r="AQ24">
            <v>0</v>
          </cell>
          <cell r="AR24" t="str">
            <v>-</v>
          </cell>
          <cell r="AS24">
            <v>0</v>
          </cell>
          <cell r="AT24" t="str">
            <v/>
          </cell>
          <cell r="AU24">
            <v>0</v>
          </cell>
          <cell r="AV24" t="str">
            <v>-</v>
          </cell>
          <cell r="AW24">
            <v>0</v>
          </cell>
          <cell r="AX24" t="str">
            <v>-</v>
          </cell>
          <cell r="AY24">
            <v>0</v>
          </cell>
          <cell r="AZ24" t="str">
            <v/>
          </cell>
          <cell r="BA24">
            <v>0</v>
          </cell>
          <cell r="BB24" t="str">
            <v>-</v>
          </cell>
          <cell r="BC24">
            <v>0</v>
          </cell>
          <cell r="BD24" t="str">
            <v>-</v>
          </cell>
          <cell r="BE24">
            <v>0</v>
          </cell>
          <cell r="BF24" t="str">
            <v/>
          </cell>
          <cell r="BG24">
            <v>0</v>
          </cell>
          <cell r="BH24" t="str">
            <v>-</v>
          </cell>
          <cell r="BI24">
            <v>0</v>
          </cell>
          <cell r="BJ24" t="str">
            <v>-</v>
          </cell>
          <cell r="BK24">
            <v>0</v>
          </cell>
          <cell r="BL24">
            <v>0</v>
          </cell>
          <cell r="BM24" t="str">
            <v>-</v>
          </cell>
          <cell r="BN24">
            <v>15</v>
          </cell>
          <cell r="BO24" t="str">
            <v/>
          </cell>
          <cell r="BP24">
            <v>0</v>
          </cell>
          <cell r="BQ24">
            <v>0</v>
          </cell>
          <cell r="BR24" t="str">
            <v>-</v>
          </cell>
          <cell r="BS24">
            <v>0</v>
          </cell>
          <cell r="BT24">
            <v>0</v>
          </cell>
          <cell r="BU24" t="str">
            <v>-</v>
          </cell>
        </row>
        <row r="25">
          <cell r="A25" t="str">
            <v>10305RET</v>
          </cell>
          <cell r="B25">
            <v>10305</v>
          </cell>
          <cell r="C25" t="str">
            <v>RET</v>
          </cell>
          <cell r="D25" t="str">
            <v>Cooling</v>
          </cell>
          <cell r="E25" t="str">
            <v>Air Source Heat Pump</v>
          </cell>
          <cell r="F25" t="str">
            <v>R</v>
          </cell>
          <cell r="G25" t="str">
            <v>Y</v>
          </cell>
          <cell r="M25" t="str">
            <v>RET</v>
          </cell>
          <cell r="N25" t="str">
            <v>Existing air source heat pump system with SEER 13.5</v>
          </cell>
          <cell r="O25">
            <v>2021</v>
          </cell>
          <cell r="P25">
            <v>2030</v>
          </cell>
          <cell r="Q25" t="str">
            <v>Single Family</v>
          </cell>
          <cell r="R25" t="str">
            <v>per ton</v>
          </cell>
          <cell r="S25">
            <v>0</v>
          </cell>
          <cell r="T25">
            <v>0</v>
          </cell>
          <cell r="U25">
            <v>0</v>
          </cell>
          <cell r="V25">
            <v>122.51222222222225</v>
          </cell>
          <cell r="W25">
            <v>0.25000000000000006</v>
          </cell>
          <cell r="X25" t="str">
            <v>-</v>
          </cell>
          <cell r="Y25" t="str">
            <v>1,2</v>
          </cell>
          <cell r="Z25" t="str">
            <v>1,2</v>
          </cell>
          <cell r="AA25">
            <v>0</v>
          </cell>
          <cell r="AB25">
            <v>0</v>
          </cell>
          <cell r="AC25">
            <v>0</v>
          </cell>
          <cell r="AD25">
            <v>0</v>
          </cell>
          <cell r="AE25" t="str">
            <v>9,48</v>
          </cell>
          <cell r="AF25" t="str">
            <v>9,48</v>
          </cell>
          <cell r="AG25">
            <v>15</v>
          </cell>
          <cell r="AH25">
            <v>10</v>
          </cell>
          <cell r="AI25">
            <v>0</v>
          </cell>
          <cell r="AJ25">
            <v>0</v>
          </cell>
          <cell r="AK25">
            <v>0.9888888888888886</v>
          </cell>
          <cell r="AL25" t="str">
            <v>-</v>
          </cell>
          <cell r="AM25" t="str">
            <v>-</v>
          </cell>
          <cell r="AN25" t="str">
            <v/>
          </cell>
          <cell r="AO25">
            <v>0</v>
          </cell>
          <cell r="AP25" t="str">
            <v>-</v>
          </cell>
          <cell r="AQ25">
            <v>0</v>
          </cell>
          <cell r="AR25" t="str">
            <v>-</v>
          </cell>
          <cell r="AS25">
            <v>0</v>
          </cell>
          <cell r="AT25" t="str">
            <v/>
          </cell>
          <cell r="AU25">
            <v>0</v>
          </cell>
          <cell r="AV25" t="str">
            <v>-</v>
          </cell>
          <cell r="AW25">
            <v>0</v>
          </cell>
          <cell r="AX25" t="str">
            <v>-</v>
          </cell>
          <cell r="AY25">
            <v>0</v>
          </cell>
          <cell r="AZ25" t="str">
            <v/>
          </cell>
          <cell r="BA25">
            <v>0</v>
          </cell>
          <cell r="BB25" t="str">
            <v>-</v>
          </cell>
          <cell r="BC25">
            <v>0</v>
          </cell>
          <cell r="BD25" t="str">
            <v>-</v>
          </cell>
          <cell r="BE25">
            <v>0</v>
          </cell>
          <cell r="BF25" t="str">
            <v/>
          </cell>
          <cell r="BG25">
            <v>0</v>
          </cell>
          <cell r="BH25" t="str">
            <v>-</v>
          </cell>
          <cell r="BI25">
            <v>0</v>
          </cell>
          <cell r="BJ25" t="str">
            <v>-</v>
          </cell>
          <cell r="BK25">
            <v>0</v>
          </cell>
          <cell r="BL25">
            <v>0</v>
          </cell>
          <cell r="BM25" t="str">
            <v>-</v>
          </cell>
          <cell r="BN25">
            <v>15</v>
          </cell>
          <cell r="BO25" t="str">
            <v/>
          </cell>
          <cell r="BP25">
            <v>0</v>
          </cell>
          <cell r="BQ25">
            <v>0</v>
          </cell>
          <cell r="BR25" t="str">
            <v>-</v>
          </cell>
          <cell r="BS25">
            <v>0</v>
          </cell>
          <cell r="BT25">
            <v>0</v>
          </cell>
          <cell r="BU25" t="str">
            <v>-</v>
          </cell>
        </row>
        <row r="26">
          <cell r="A26" t="str">
            <v>10306MD</v>
          </cell>
          <cell r="B26">
            <v>10306</v>
          </cell>
          <cell r="C26" t="str">
            <v>MD</v>
          </cell>
          <cell r="D26" t="str">
            <v>Cooling</v>
          </cell>
          <cell r="E26" t="str">
            <v>Air Source Heat Pump</v>
          </cell>
          <cell r="F26" t="str">
            <v>R</v>
          </cell>
          <cell r="G26" t="str">
            <v>Y</v>
          </cell>
          <cell r="M26" t="str">
            <v>NC, RENO, REPL</v>
          </cell>
          <cell r="N26" t="str">
            <v>Existing or baseline air source heat pump system with SEER 14</v>
          </cell>
          <cell r="O26">
            <v>2021</v>
          </cell>
          <cell r="P26">
            <v>2030</v>
          </cell>
          <cell r="Q26" t="str">
            <v>Single Family</v>
          </cell>
          <cell r="R26" t="str">
            <v>per ton</v>
          </cell>
          <cell r="S26">
            <v>0</v>
          </cell>
          <cell r="T26">
            <v>0</v>
          </cell>
          <cell r="U26">
            <v>0</v>
          </cell>
          <cell r="V26">
            <v>105.0104761904762</v>
          </cell>
          <cell r="W26">
            <v>0.2472222222222222</v>
          </cell>
          <cell r="X26" t="str">
            <v>-</v>
          </cell>
          <cell r="Y26" t="str">
            <v>1,2</v>
          </cell>
          <cell r="Z26" t="str">
            <v>1,2</v>
          </cell>
          <cell r="AA26">
            <v>0</v>
          </cell>
          <cell r="AB26">
            <v>0</v>
          </cell>
          <cell r="AC26">
            <v>0</v>
          </cell>
          <cell r="AD26">
            <v>0</v>
          </cell>
          <cell r="AE26">
            <v>9</v>
          </cell>
          <cell r="AF26">
            <v>9</v>
          </cell>
          <cell r="AG26">
            <v>0</v>
          </cell>
          <cell r="AH26">
            <v>0</v>
          </cell>
          <cell r="AI26">
            <v>0</v>
          </cell>
          <cell r="AJ26">
            <v>0</v>
          </cell>
          <cell r="AK26">
            <v>0</v>
          </cell>
          <cell r="AL26" t="str">
            <v>-</v>
          </cell>
          <cell r="AM26" t="str">
            <v>-</v>
          </cell>
          <cell r="AN26" t="str">
            <v/>
          </cell>
          <cell r="AO26">
            <v>0</v>
          </cell>
          <cell r="AP26" t="str">
            <v>-</v>
          </cell>
          <cell r="AQ26">
            <v>0</v>
          </cell>
          <cell r="AR26" t="str">
            <v>-</v>
          </cell>
          <cell r="AS26">
            <v>0</v>
          </cell>
          <cell r="AT26" t="str">
            <v/>
          </cell>
          <cell r="AU26">
            <v>0</v>
          </cell>
          <cell r="AV26" t="str">
            <v>-</v>
          </cell>
          <cell r="AW26">
            <v>0</v>
          </cell>
          <cell r="AX26" t="str">
            <v>-</v>
          </cell>
          <cell r="AY26">
            <v>0</v>
          </cell>
          <cell r="AZ26" t="str">
            <v/>
          </cell>
          <cell r="BA26">
            <v>0</v>
          </cell>
          <cell r="BB26" t="str">
            <v>-</v>
          </cell>
          <cell r="BC26">
            <v>0</v>
          </cell>
          <cell r="BD26" t="str">
            <v>-</v>
          </cell>
          <cell r="BE26">
            <v>0</v>
          </cell>
          <cell r="BF26" t="str">
            <v/>
          </cell>
          <cell r="BG26">
            <v>0</v>
          </cell>
          <cell r="BH26" t="str">
            <v>-</v>
          </cell>
          <cell r="BI26">
            <v>0</v>
          </cell>
          <cell r="BJ26" t="str">
            <v>-</v>
          </cell>
          <cell r="BK26">
            <v>0</v>
          </cell>
          <cell r="BL26">
            <v>0</v>
          </cell>
          <cell r="BM26" t="str">
            <v>-</v>
          </cell>
          <cell r="BN26">
            <v>15</v>
          </cell>
          <cell r="BO26" t="str">
            <v/>
          </cell>
          <cell r="BP26">
            <v>0</v>
          </cell>
          <cell r="BQ26">
            <v>0</v>
          </cell>
          <cell r="BR26" t="str">
            <v>-</v>
          </cell>
          <cell r="BS26">
            <v>0</v>
          </cell>
          <cell r="BT26">
            <v>0</v>
          </cell>
          <cell r="BU26" t="str">
            <v>-</v>
          </cell>
        </row>
        <row r="27">
          <cell r="A27" t="str">
            <v>10307MD</v>
          </cell>
          <cell r="B27">
            <v>10307</v>
          </cell>
          <cell r="C27" t="str">
            <v>MD</v>
          </cell>
          <cell r="D27" t="str">
            <v>Cooling</v>
          </cell>
          <cell r="E27" t="str">
            <v>Quality Install Air Source Heat Pump</v>
          </cell>
          <cell r="F27" t="str">
            <v>R</v>
          </cell>
          <cell r="G27" t="str">
            <v>Y</v>
          </cell>
          <cell r="M27" t="str">
            <v>NC, RENO, REPL</v>
          </cell>
          <cell r="N27" t="str">
            <v>Existing or baseline air source heat pump system with SEER 14</v>
          </cell>
          <cell r="O27">
            <v>2021</v>
          </cell>
          <cell r="P27">
            <v>2030</v>
          </cell>
          <cell r="Q27" t="str">
            <v>Single Family</v>
          </cell>
          <cell r="R27" t="str">
            <v>per ton</v>
          </cell>
          <cell r="S27">
            <v>0</v>
          </cell>
          <cell r="T27">
            <v>0</v>
          </cell>
          <cell r="U27">
            <v>0</v>
          </cell>
          <cell r="V27">
            <v>145.84788359788359</v>
          </cell>
          <cell r="W27">
            <v>0.30864197530864196</v>
          </cell>
          <cell r="X27" t="str">
            <v>-</v>
          </cell>
          <cell r="Y27" t="str">
            <v>1,2,8</v>
          </cell>
          <cell r="Z27" t="str">
            <v>1,2,8</v>
          </cell>
          <cell r="AA27">
            <v>0</v>
          </cell>
          <cell r="AB27">
            <v>0</v>
          </cell>
          <cell r="AC27">
            <v>0</v>
          </cell>
          <cell r="AD27">
            <v>0</v>
          </cell>
          <cell r="AE27">
            <v>9</v>
          </cell>
          <cell r="AF27">
            <v>9</v>
          </cell>
          <cell r="AG27">
            <v>0</v>
          </cell>
          <cell r="AH27">
            <v>0</v>
          </cell>
          <cell r="AI27">
            <v>0</v>
          </cell>
          <cell r="AJ27">
            <v>0</v>
          </cell>
          <cell r="AK27">
            <v>0</v>
          </cell>
          <cell r="AL27" t="str">
            <v>-</v>
          </cell>
          <cell r="AM27" t="str">
            <v>-</v>
          </cell>
          <cell r="AN27" t="str">
            <v/>
          </cell>
          <cell r="AO27">
            <v>0</v>
          </cell>
          <cell r="AP27" t="str">
            <v>-</v>
          </cell>
          <cell r="AQ27">
            <v>0</v>
          </cell>
          <cell r="AR27" t="str">
            <v>-</v>
          </cell>
          <cell r="AS27">
            <v>0</v>
          </cell>
          <cell r="AT27" t="str">
            <v/>
          </cell>
          <cell r="AU27">
            <v>0</v>
          </cell>
          <cell r="AV27" t="str">
            <v>-</v>
          </cell>
          <cell r="AW27">
            <v>0</v>
          </cell>
          <cell r="AX27" t="str">
            <v>-</v>
          </cell>
          <cell r="AY27">
            <v>0</v>
          </cell>
          <cell r="AZ27" t="str">
            <v/>
          </cell>
          <cell r="BA27">
            <v>0</v>
          </cell>
          <cell r="BB27" t="str">
            <v>-</v>
          </cell>
          <cell r="BC27">
            <v>0</v>
          </cell>
          <cell r="BD27" t="str">
            <v>-</v>
          </cell>
          <cell r="BE27">
            <v>0</v>
          </cell>
          <cell r="BF27" t="str">
            <v/>
          </cell>
          <cell r="BG27">
            <v>0</v>
          </cell>
          <cell r="BH27" t="str">
            <v>-</v>
          </cell>
          <cell r="BI27">
            <v>0</v>
          </cell>
          <cell r="BJ27" t="str">
            <v>-</v>
          </cell>
          <cell r="BK27">
            <v>0</v>
          </cell>
          <cell r="BL27">
            <v>0</v>
          </cell>
          <cell r="BM27" t="str">
            <v>-</v>
          </cell>
          <cell r="BN27">
            <v>15</v>
          </cell>
          <cell r="BO27" t="str">
            <v/>
          </cell>
          <cell r="BP27">
            <v>0</v>
          </cell>
          <cell r="BQ27">
            <v>0</v>
          </cell>
          <cell r="BR27" t="str">
            <v>-</v>
          </cell>
          <cell r="BS27">
            <v>0</v>
          </cell>
          <cell r="BT27">
            <v>0</v>
          </cell>
          <cell r="BU27" t="str">
            <v>-</v>
          </cell>
        </row>
        <row r="28">
          <cell r="A28" t="str">
            <v>10307RET</v>
          </cell>
          <cell r="B28">
            <v>10307</v>
          </cell>
          <cell r="C28" t="str">
            <v>RET</v>
          </cell>
          <cell r="D28" t="str">
            <v>Cooling</v>
          </cell>
          <cell r="E28" t="str">
            <v>Quality Install Air Source Heat Pump</v>
          </cell>
          <cell r="F28" t="str">
            <v>R</v>
          </cell>
          <cell r="G28" t="str">
            <v>Y</v>
          </cell>
          <cell r="M28" t="str">
            <v>RET</v>
          </cell>
          <cell r="N28" t="str">
            <v>Existing air source heat pump system with SEER 13.5</v>
          </cell>
          <cell r="O28">
            <v>2021</v>
          </cell>
          <cell r="P28">
            <v>2030</v>
          </cell>
          <cell r="Q28" t="str">
            <v>Single Family</v>
          </cell>
          <cell r="R28" t="str">
            <v>per ton</v>
          </cell>
          <cell r="S28">
            <v>0</v>
          </cell>
          <cell r="T28">
            <v>0</v>
          </cell>
          <cell r="U28">
            <v>0</v>
          </cell>
          <cell r="V28">
            <v>163.34962962962965</v>
          </cell>
          <cell r="W28">
            <v>0.33333333333333331</v>
          </cell>
          <cell r="X28" t="str">
            <v>-</v>
          </cell>
          <cell r="Y28" t="str">
            <v>1,2,8</v>
          </cell>
          <cell r="Z28" t="str">
            <v>1,2,8</v>
          </cell>
          <cell r="AA28">
            <v>0</v>
          </cell>
          <cell r="AB28">
            <v>0</v>
          </cell>
          <cell r="AC28">
            <v>0</v>
          </cell>
          <cell r="AD28">
            <v>0</v>
          </cell>
          <cell r="AE28" t="str">
            <v>9,48</v>
          </cell>
          <cell r="AF28" t="str">
            <v>9,48</v>
          </cell>
          <cell r="AG28">
            <v>15</v>
          </cell>
          <cell r="AH28">
            <v>10</v>
          </cell>
          <cell r="AI28">
            <v>0</v>
          </cell>
          <cell r="AJ28">
            <v>0</v>
          </cell>
          <cell r="AK28">
            <v>0.92592592592592593</v>
          </cell>
          <cell r="AL28" t="str">
            <v>-</v>
          </cell>
          <cell r="AM28" t="str">
            <v>-</v>
          </cell>
          <cell r="AN28" t="str">
            <v/>
          </cell>
          <cell r="AO28">
            <v>0</v>
          </cell>
          <cell r="AP28" t="str">
            <v>-</v>
          </cell>
          <cell r="AQ28">
            <v>0</v>
          </cell>
          <cell r="AR28" t="str">
            <v>-</v>
          </cell>
          <cell r="AS28">
            <v>0</v>
          </cell>
          <cell r="AT28" t="str">
            <v/>
          </cell>
          <cell r="AU28">
            <v>0</v>
          </cell>
          <cell r="AV28" t="str">
            <v>-</v>
          </cell>
          <cell r="AW28">
            <v>0</v>
          </cell>
          <cell r="AX28" t="str">
            <v>-</v>
          </cell>
          <cell r="AY28">
            <v>0</v>
          </cell>
          <cell r="AZ28" t="str">
            <v/>
          </cell>
          <cell r="BA28">
            <v>0</v>
          </cell>
          <cell r="BB28" t="str">
            <v>-</v>
          </cell>
          <cell r="BC28">
            <v>0</v>
          </cell>
          <cell r="BD28" t="str">
            <v>-</v>
          </cell>
          <cell r="BE28">
            <v>0</v>
          </cell>
          <cell r="BF28" t="str">
            <v/>
          </cell>
          <cell r="BG28">
            <v>0</v>
          </cell>
          <cell r="BH28" t="str">
            <v>-</v>
          </cell>
          <cell r="BI28">
            <v>0</v>
          </cell>
          <cell r="BJ28" t="str">
            <v>-</v>
          </cell>
          <cell r="BK28">
            <v>0</v>
          </cell>
          <cell r="BL28">
            <v>0</v>
          </cell>
          <cell r="BM28" t="str">
            <v>-</v>
          </cell>
          <cell r="BN28">
            <v>15</v>
          </cell>
          <cell r="BO28" t="str">
            <v/>
          </cell>
          <cell r="BP28">
            <v>0</v>
          </cell>
          <cell r="BQ28">
            <v>0</v>
          </cell>
          <cell r="BR28" t="str">
            <v>-</v>
          </cell>
          <cell r="BS28">
            <v>0</v>
          </cell>
          <cell r="BT28">
            <v>0</v>
          </cell>
          <cell r="BU28" t="str">
            <v>-</v>
          </cell>
        </row>
        <row r="29">
          <cell r="A29" t="str">
            <v>10308MD</v>
          </cell>
          <cell r="B29">
            <v>10308</v>
          </cell>
          <cell r="C29" t="str">
            <v>MD</v>
          </cell>
          <cell r="D29" t="str">
            <v>Cooling</v>
          </cell>
          <cell r="E29" t="str">
            <v>Quality Install Air Source Heat Pump</v>
          </cell>
          <cell r="F29" t="str">
            <v>R</v>
          </cell>
          <cell r="G29" t="str">
            <v>Y</v>
          </cell>
          <cell r="M29" t="str">
            <v>NC, RENO, REPL</v>
          </cell>
          <cell r="N29" t="str">
            <v>Existing or baseline air source heat pump system with SEER 14</v>
          </cell>
          <cell r="O29">
            <v>2021</v>
          </cell>
          <cell r="P29">
            <v>2030</v>
          </cell>
          <cell r="Q29" t="str">
            <v>Single Family</v>
          </cell>
          <cell r="R29" t="str">
            <v>per ton</v>
          </cell>
          <cell r="S29">
            <v>0</v>
          </cell>
          <cell r="T29">
            <v>0</v>
          </cell>
          <cell r="U29">
            <v>0</v>
          </cell>
          <cell r="V29">
            <v>145.84788359788359</v>
          </cell>
          <cell r="W29">
            <v>0.30864197530864196</v>
          </cell>
          <cell r="X29" t="str">
            <v>-</v>
          </cell>
          <cell r="Y29" t="str">
            <v>1,2,8</v>
          </cell>
          <cell r="Z29" t="str">
            <v>1,2,8</v>
          </cell>
          <cell r="AA29">
            <v>0</v>
          </cell>
          <cell r="AB29">
            <v>0</v>
          </cell>
          <cell r="AC29">
            <v>0</v>
          </cell>
          <cell r="AD29">
            <v>0</v>
          </cell>
          <cell r="AE29">
            <v>9</v>
          </cell>
          <cell r="AF29">
            <v>9</v>
          </cell>
          <cell r="AG29">
            <v>0</v>
          </cell>
          <cell r="AH29">
            <v>0</v>
          </cell>
          <cell r="AI29">
            <v>0</v>
          </cell>
          <cell r="AJ29">
            <v>0</v>
          </cell>
          <cell r="AK29">
            <v>0</v>
          </cell>
          <cell r="AL29" t="str">
            <v>-</v>
          </cell>
          <cell r="AM29" t="str">
            <v>-</v>
          </cell>
          <cell r="AN29" t="str">
            <v/>
          </cell>
          <cell r="AO29">
            <v>0</v>
          </cell>
          <cell r="AP29" t="str">
            <v>-</v>
          </cell>
          <cell r="AQ29">
            <v>0</v>
          </cell>
          <cell r="AR29" t="str">
            <v>-</v>
          </cell>
          <cell r="AS29">
            <v>0</v>
          </cell>
          <cell r="AT29" t="str">
            <v/>
          </cell>
          <cell r="AU29">
            <v>0</v>
          </cell>
          <cell r="AV29" t="str">
            <v>-</v>
          </cell>
          <cell r="AW29">
            <v>0</v>
          </cell>
          <cell r="AX29" t="str">
            <v>-</v>
          </cell>
          <cell r="AY29">
            <v>0</v>
          </cell>
          <cell r="AZ29" t="str">
            <v/>
          </cell>
          <cell r="BA29">
            <v>0</v>
          </cell>
          <cell r="BB29" t="str">
            <v>-</v>
          </cell>
          <cell r="BC29">
            <v>0</v>
          </cell>
          <cell r="BD29" t="str">
            <v>-</v>
          </cell>
          <cell r="BE29">
            <v>0</v>
          </cell>
          <cell r="BF29" t="str">
            <v/>
          </cell>
          <cell r="BG29">
            <v>0</v>
          </cell>
          <cell r="BH29" t="str">
            <v>-</v>
          </cell>
          <cell r="BI29">
            <v>0</v>
          </cell>
          <cell r="BJ29" t="str">
            <v>-</v>
          </cell>
          <cell r="BK29">
            <v>0</v>
          </cell>
          <cell r="BL29">
            <v>0</v>
          </cell>
          <cell r="BM29" t="str">
            <v>-</v>
          </cell>
          <cell r="BN29">
            <v>15</v>
          </cell>
          <cell r="BO29" t="str">
            <v/>
          </cell>
          <cell r="BP29">
            <v>0</v>
          </cell>
          <cell r="BQ29">
            <v>0</v>
          </cell>
          <cell r="BR29" t="str">
            <v>-</v>
          </cell>
          <cell r="BS29">
            <v>0</v>
          </cell>
          <cell r="BT29">
            <v>0</v>
          </cell>
          <cell r="BU29" t="str">
            <v>-</v>
          </cell>
        </row>
        <row r="30">
          <cell r="A30" t="str">
            <v>10309RET</v>
          </cell>
          <cell r="B30">
            <v>10309</v>
          </cell>
          <cell r="C30" t="str">
            <v>RET</v>
          </cell>
          <cell r="D30" t="str">
            <v>Cooling</v>
          </cell>
          <cell r="E30" t="str">
            <v>Air Source Heat Pump Tune Up</v>
          </cell>
          <cell r="F30" t="str">
            <v>R</v>
          </cell>
          <cell r="G30" t="str">
            <v>Y</v>
          </cell>
          <cell r="M30" t="str">
            <v>RET</v>
          </cell>
          <cell r="N30" t="str">
            <v>Existing ASHP system that has not received a tune-up within the last 3 years</v>
          </cell>
          <cell r="O30">
            <v>2021</v>
          </cell>
          <cell r="P30">
            <v>2030</v>
          </cell>
          <cell r="Q30" t="str">
            <v>Single Family</v>
          </cell>
          <cell r="R30" t="str">
            <v>per tune up</v>
          </cell>
          <cell r="S30">
            <v>0</v>
          </cell>
          <cell r="T30">
            <v>0</v>
          </cell>
          <cell r="U30">
            <v>0</v>
          </cell>
          <cell r="V30">
            <v>68.343595041322331</v>
          </cell>
          <cell r="W30">
            <v>0.05</v>
          </cell>
          <cell r="X30" t="str">
            <v>-</v>
          </cell>
          <cell r="Y30" t="str">
            <v>1,2</v>
          </cell>
          <cell r="Z30" t="str">
            <v>1,2</v>
          </cell>
          <cell r="AA30">
            <v>0</v>
          </cell>
          <cell r="AB30">
            <v>0</v>
          </cell>
          <cell r="AC30">
            <v>0</v>
          </cell>
          <cell r="AD30">
            <v>0</v>
          </cell>
          <cell r="AE30">
            <v>4</v>
          </cell>
          <cell r="AF30">
            <v>4</v>
          </cell>
          <cell r="AG30">
            <v>0</v>
          </cell>
          <cell r="AH30">
            <v>0</v>
          </cell>
          <cell r="AI30">
            <v>0</v>
          </cell>
          <cell r="AJ30">
            <v>0</v>
          </cell>
          <cell r="AK30">
            <v>0</v>
          </cell>
          <cell r="AL30" t="str">
            <v>-</v>
          </cell>
          <cell r="AM30" t="str">
            <v>-</v>
          </cell>
          <cell r="AN30" t="str">
            <v/>
          </cell>
          <cell r="AO30">
            <v>0</v>
          </cell>
          <cell r="AP30" t="str">
            <v>-</v>
          </cell>
          <cell r="AQ30">
            <v>0</v>
          </cell>
          <cell r="AR30" t="str">
            <v>-</v>
          </cell>
          <cell r="AS30">
            <v>0</v>
          </cell>
          <cell r="AT30" t="str">
            <v/>
          </cell>
          <cell r="AU30">
            <v>0</v>
          </cell>
          <cell r="AV30" t="str">
            <v>-</v>
          </cell>
          <cell r="AW30">
            <v>0</v>
          </cell>
          <cell r="AX30" t="str">
            <v>-</v>
          </cell>
          <cell r="AY30">
            <v>0</v>
          </cell>
          <cell r="AZ30" t="str">
            <v/>
          </cell>
          <cell r="BA30">
            <v>0</v>
          </cell>
          <cell r="BB30" t="str">
            <v>-</v>
          </cell>
          <cell r="BC30">
            <v>0</v>
          </cell>
          <cell r="BD30" t="str">
            <v>-</v>
          </cell>
          <cell r="BE30">
            <v>0</v>
          </cell>
          <cell r="BF30" t="str">
            <v/>
          </cell>
          <cell r="BG30">
            <v>0</v>
          </cell>
          <cell r="BH30" t="str">
            <v>-</v>
          </cell>
          <cell r="BI30">
            <v>0</v>
          </cell>
          <cell r="BJ30" t="str">
            <v>-</v>
          </cell>
          <cell r="BK30">
            <v>0</v>
          </cell>
          <cell r="BL30">
            <v>0</v>
          </cell>
          <cell r="BM30" t="str">
            <v>-</v>
          </cell>
          <cell r="BN30">
            <v>3</v>
          </cell>
          <cell r="BO30" t="str">
            <v/>
          </cell>
          <cell r="BP30">
            <v>0</v>
          </cell>
          <cell r="BQ30">
            <v>0</v>
          </cell>
          <cell r="BR30" t="str">
            <v>-</v>
          </cell>
          <cell r="BS30">
            <v>0</v>
          </cell>
          <cell r="BT30">
            <v>0</v>
          </cell>
          <cell r="BU30" t="str">
            <v>-</v>
          </cell>
        </row>
        <row r="31">
          <cell r="A31" t="str">
            <v>10310MD</v>
          </cell>
          <cell r="B31">
            <v>10310</v>
          </cell>
          <cell r="C31" t="str">
            <v>MD</v>
          </cell>
          <cell r="D31" t="e">
            <v>#REF!</v>
          </cell>
          <cell r="E31" t="e">
            <v>#REF!</v>
          </cell>
          <cell r="F31" t="e">
            <v>#REF!</v>
          </cell>
          <cell r="G31" t="str">
            <v>Y</v>
          </cell>
          <cell r="M31" t="e">
            <v>#REF!</v>
          </cell>
          <cell r="N31" t="e">
            <v>#REF!</v>
          </cell>
          <cell r="O31" t="e">
            <v>#REF!</v>
          </cell>
          <cell r="P31" t="e">
            <v>#REF!</v>
          </cell>
          <cell r="Q31" t="e">
            <v>#REF!</v>
          </cell>
          <cell r="R31" t="e">
            <v>#REF!</v>
          </cell>
          <cell r="S31" t="e">
            <v>#REF!</v>
          </cell>
          <cell r="T31" t="e">
            <v>#REF!</v>
          </cell>
          <cell r="U31" t="e">
            <v>#REF!</v>
          </cell>
          <cell r="V31" t="e">
            <v>#REF!</v>
          </cell>
          <cell r="W31" t="e">
            <v>#REF!</v>
          </cell>
          <cell r="X31" t="e">
            <v>#REF!</v>
          </cell>
          <cell r="Y31" t="e">
            <v>#REF!</v>
          </cell>
          <cell r="Z31" t="e">
            <v>#REF!</v>
          </cell>
          <cell r="AA31" t="e">
            <v>#REF!</v>
          </cell>
          <cell r="AB31" t="e">
            <v>#REF!</v>
          </cell>
          <cell r="AC31" t="e">
            <v>#REF!</v>
          </cell>
          <cell r="AD31" t="e">
            <v>#REF!</v>
          </cell>
          <cell r="AE31" t="e">
            <v>#REF!</v>
          </cell>
          <cell r="AF31" t="e">
            <v>#REF!</v>
          </cell>
          <cell r="AG31" t="e">
            <v>#REF!</v>
          </cell>
          <cell r="AH31" t="e">
            <v>#REF!</v>
          </cell>
          <cell r="AI31" t="e">
            <v>#REF!</v>
          </cell>
          <cell r="AJ31" t="e">
            <v>#REF!</v>
          </cell>
          <cell r="AK31" t="e">
            <v>#REF!</v>
          </cell>
          <cell r="AL31" t="e">
            <v>#REF!</v>
          </cell>
          <cell r="AM31" t="e">
            <v>#REF!</v>
          </cell>
          <cell r="AN31" t="e">
            <v>#REF!</v>
          </cell>
          <cell r="AO31" t="e">
            <v>#REF!</v>
          </cell>
          <cell r="AP31" t="e">
            <v>#REF!</v>
          </cell>
          <cell r="AQ31" t="e">
            <v>#REF!</v>
          </cell>
          <cell r="AR31" t="e">
            <v>#REF!</v>
          </cell>
          <cell r="AS31" t="e">
            <v>#REF!</v>
          </cell>
          <cell r="AT31" t="e">
            <v>#REF!</v>
          </cell>
          <cell r="AU31" t="e">
            <v>#REF!</v>
          </cell>
          <cell r="AV31" t="e">
            <v>#REF!</v>
          </cell>
          <cell r="AW31" t="e">
            <v>#REF!</v>
          </cell>
          <cell r="AX31" t="e">
            <v>#REF!</v>
          </cell>
          <cell r="AY31" t="e">
            <v>#REF!</v>
          </cell>
          <cell r="AZ31" t="e">
            <v>#REF!</v>
          </cell>
          <cell r="BA31" t="e">
            <v>#REF!</v>
          </cell>
          <cell r="BB31" t="e">
            <v>#REF!</v>
          </cell>
          <cell r="BC31" t="e">
            <v>#REF!</v>
          </cell>
          <cell r="BD31" t="e">
            <v>#REF!</v>
          </cell>
          <cell r="BE31" t="e">
            <v>#REF!</v>
          </cell>
          <cell r="BF31" t="e">
            <v>#REF!</v>
          </cell>
          <cell r="BG31" t="e">
            <v>#REF!</v>
          </cell>
          <cell r="BH31" t="e">
            <v>#REF!</v>
          </cell>
          <cell r="BI31" t="e">
            <v>#REF!</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row>
        <row r="32">
          <cell r="A32" t="str">
            <v>10310RET</v>
          </cell>
          <cell r="B32">
            <v>10310</v>
          </cell>
          <cell r="C32" t="str">
            <v>RET</v>
          </cell>
          <cell r="D32" t="e">
            <v>#REF!</v>
          </cell>
          <cell r="E32" t="e">
            <v>#REF!</v>
          </cell>
          <cell r="F32" t="e">
            <v>#REF!</v>
          </cell>
          <cell r="G32" t="str">
            <v>Y</v>
          </cell>
          <cell r="M32" t="e">
            <v>#REF!</v>
          </cell>
          <cell r="N32" t="e">
            <v>#REF!</v>
          </cell>
          <cell r="O32" t="e">
            <v>#REF!</v>
          </cell>
          <cell r="P32" t="e">
            <v>#REF!</v>
          </cell>
          <cell r="Q32" t="e">
            <v>#REF!</v>
          </cell>
          <cell r="R32" t="e">
            <v>#REF!</v>
          </cell>
          <cell r="S32" t="e">
            <v>#REF!</v>
          </cell>
          <cell r="T32" t="e">
            <v>#REF!</v>
          </cell>
          <cell r="U32" t="e">
            <v>#REF!</v>
          </cell>
          <cell r="V32" t="e">
            <v>#REF!</v>
          </cell>
          <cell r="W32" t="e">
            <v>#REF!</v>
          </cell>
          <cell r="X32" t="e">
            <v>#REF!</v>
          </cell>
          <cell r="Y32" t="e">
            <v>#REF!</v>
          </cell>
          <cell r="Z32" t="e">
            <v>#REF!</v>
          </cell>
          <cell r="AA32" t="e">
            <v>#REF!</v>
          </cell>
          <cell r="AB32" t="e">
            <v>#REF!</v>
          </cell>
          <cell r="AC32" t="e">
            <v>#REF!</v>
          </cell>
          <cell r="AD32" t="e">
            <v>#REF!</v>
          </cell>
          <cell r="AE32" t="e">
            <v>#REF!</v>
          </cell>
          <cell r="AF32" t="e">
            <v>#REF!</v>
          </cell>
          <cell r="AG32" t="e">
            <v>#REF!</v>
          </cell>
          <cell r="AH32" t="e">
            <v>#REF!</v>
          </cell>
          <cell r="AI32" t="e">
            <v>#REF!</v>
          </cell>
          <cell r="AJ32" t="e">
            <v>#REF!</v>
          </cell>
          <cell r="AK32" t="e">
            <v>#REF!</v>
          </cell>
          <cell r="AL32" t="e">
            <v>#REF!</v>
          </cell>
          <cell r="AM32" t="e">
            <v>#REF!</v>
          </cell>
          <cell r="AN32" t="e">
            <v>#REF!</v>
          </cell>
          <cell r="AO32" t="e">
            <v>#REF!</v>
          </cell>
          <cell r="AP32" t="e">
            <v>#REF!</v>
          </cell>
          <cell r="AQ32" t="e">
            <v>#REF!</v>
          </cell>
          <cell r="AR32" t="e">
            <v>#REF!</v>
          </cell>
          <cell r="AS32" t="e">
            <v>#REF!</v>
          </cell>
          <cell r="AT32" t="e">
            <v>#REF!</v>
          </cell>
          <cell r="AU32" t="e">
            <v>#REF!</v>
          </cell>
          <cell r="AV32" t="e">
            <v>#REF!</v>
          </cell>
          <cell r="AW32" t="e">
            <v>#REF!</v>
          </cell>
          <cell r="AX32" t="e">
            <v>#REF!</v>
          </cell>
          <cell r="AY32" t="e">
            <v>#REF!</v>
          </cell>
          <cell r="AZ32" t="e">
            <v>#REF!</v>
          </cell>
          <cell r="BA32" t="e">
            <v>#REF!</v>
          </cell>
          <cell r="BB32" t="e">
            <v>#REF!</v>
          </cell>
          <cell r="BC32" t="e">
            <v>#REF!</v>
          </cell>
          <cell r="BD32" t="e">
            <v>#REF!</v>
          </cell>
          <cell r="BE32" t="e">
            <v>#REF!</v>
          </cell>
          <cell r="BF32" t="e">
            <v>#REF!</v>
          </cell>
          <cell r="BG32" t="e">
            <v>#REF!</v>
          </cell>
          <cell r="BH32" t="e">
            <v>#REF!</v>
          </cell>
          <cell r="BI32" t="e">
            <v>#REF!</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row>
        <row r="33">
          <cell r="A33" t="str">
            <v>10311MD</v>
          </cell>
          <cell r="B33">
            <v>10311</v>
          </cell>
          <cell r="C33" t="str">
            <v>MD</v>
          </cell>
          <cell r="D33" t="str">
            <v>Cooling</v>
          </cell>
          <cell r="E33" t="str">
            <v>Ductless Mini Split Heat Pump</v>
          </cell>
          <cell r="F33" t="str">
            <v>R</v>
          </cell>
          <cell r="G33" t="str">
            <v>Y</v>
          </cell>
          <cell r="M33" t="str">
            <v>NC, RENO, REPL</v>
          </cell>
          <cell r="N33" t="str">
            <v>Existing or baseline Split or Central A/C with SEER 13</v>
          </cell>
          <cell r="O33">
            <v>2021</v>
          </cell>
          <cell r="P33">
            <v>2030</v>
          </cell>
          <cell r="Q33" t="str">
            <v>Single Family</v>
          </cell>
          <cell r="R33" t="str">
            <v>per ton</v>
          </cell>
          <cell r="S33">
            <v>0</v>
          </cell>
          <cell r="T33">
            <v>0</v>
          </cell>
          <cell r="U33">
            <v>0</v>
          </cell>
          <cell r="V33">
            <v>273.09621487625424</v>
          </cell>
          <cell r="W33">
            <v>0.44586530264279628</v>
          </cell>
          <cell r="X33" t="str">
            <v>-</v>
          </cell>
          <cell r="Y33" t="str">
            <v>1,2</v>
          </cell>
          <cell r="Z33" t="str">
            <v>1,2</v>
          </cell>
          <cell r="AA33">
            <v>0</v>
          </cell>
          <cell r="AB33">
            <v>0</v>
          </cell>
          <cell r="AC33">
            <v>0</v>
          </cell>
          <cell r="AD33">
            <v>0</v>
          </cell>
          <cell r="AE33">
            <v>4</v>
          </cell>
          <cell r="AF33">
            <v>4</v>
          </cell>
          <cell r="AG33">
            <v>0</v>
          </cell>
          <cell r="AH33">
            <v>0</v>
          </cell>
          <cell r="AI33">
            <v>0</v>
          </cell>
          <cell r="AJ33">
            <v>0</v>
          </cell>
          <cell r="AK33">
            <v>0</v>
          </cell>
          <cell r="AL33" t="str">
            <v>-</v>
          </cell>
          <cell r="AM33" t="str">
            <v>-</v>
          </cell>
          <cell r="AN33" t="str">
            <v/>
          </cell>
          <cell r="AO33">
            <v>0</v>
          </cell>
          <cell r="AP33" t="str">
            <v>-</v>
          </cell>
          <cell r="AQ33">
            <v>0</v>
          </cell>
          <cell r="AR33" t="str">
            <v>-</v>
          </cell>
          <cell r="AS33">
            <v>0</v>
          </cell>
          <cell r="AT33" t="str">
            <v/>
          </cell>
          <cell r="AU33">
            <v>0</v>
          </cell>
          <cell r="AV33" t="str">
            <v>-</v>
          </cell>
          <cell r="AW33">
            <v>0</v>
          </cell>
          <cell r="AX33" t="str">
            <v>-</v>
          </cell>
          <cell r="AY33">
            <v>0</v>
          </cell>
          <cell r="AZ33" t="str">
            <v/>
          </cell>
          <cell r="BA33">
            <v>0</v>
          </cell>
          <cell r="BB33" t="str">
            <v>-</v>
          </cell>
          <cell r="BC33">
            <v>0</v>
          </cell>
          <cell r="BD33" t="str">
            <v>-</v>
          </cell>
          <cell r="BE33">
            <v>0</v>
          </cell>
          <cell r="BF33" t="str">
            <v/>
          </cell>
          <cell r="BG33">
            <v>0</v>
          </cell>
          <cell r="BH33" t="str">
            <v>-</v>
          </cell>
          <cell r="BI33">
            <v>0</v>
          </cell>
          <cell r="BJ33" t="str">
            <v>-</v>
          </cell>
          <cell r="BK33">
            <v>0</v>
          </cell>
          <cell r="BL33">
            <v>0</v>
          </cell>
          <cell r="BM33" t="str">
            <v>-</v>
          </cell>
          <cell r="BN33">
            <v>15</v>
          </cell>
          <cell r="BO33" t="str">
            <v/>
          </cell>
          <cell r="BP33">
            <v>0</v>
          </cell>
          <cell r="BQ33">
            <v>0</v>
          </cell>
          <cell r="BR33" t="str">
            <v>-</v>
          </cell>
          <cell r="BS33">
            <v>0</v>
          </cell>
          <cell r="BT33">
            <v>0</v>
          </cell>
          <cell r="BU33" t="str">
            <v>-</v>
          </cell>
        </row>
        <row r="34">
          <cell r="A34" t="str">
            <v>10311RET</v>
          </cell>
          <cell r="B34">
            <v>10311</v>
          </cell>
          <cell r="C34" t="str">
            <v>RET</v>
          </cell>
          <cell r="D34" t="str">
            <v>Cooling</v>
          </cell>
          <cell r="E34" t="str">
            <v>Ductless Mini Split Heat Pump</v>
          </cell>
          <cell r="F34" t="str">
            <v>R</v>
          </cell>
          <cell r="G34" t="str">
            <v>Y</v>
          </cell>
          <cell r="M34" t="str">
            <v>RET</v>
          </cell>
          <cell r="N34" t="str">
            <v>Existing Split or Central A/C with SEER 12.1</v>
          </cell>
          <cell r="O34">
            <v>2021</v>
          </cell>
          <cell r="P34">
            <v>2030</v>
          </cell>
          <cell r="Q34" t="str">
            <v>Single Family</v>
          </cell>
          <cell r="R34" t="str">
            <v>per ton</v>
          </cell>
          <cell r="S34">
            <v>0</v>
          </cell>
          <cell r="T34">
            <v>0</v>
          </cell>
          <cell r="U34">
            <v>0</v>
          </cell>
          <cell r="V34">
            <v>318.65468619475388</v>
          </cell>
          <cell r="W34">
            <v>0.48422847399829499</v>
          </cell>
          <cell r="X34" t="str">
            <v>-</v>
          </cell>
          <cell r="Y34" t="str">
            <v>1,2</v>
          </cell>
          <cell r="Z34" t="str">
            <v>1,2</v>
          </cell>
          <cell r="AA34">
            <v>0</v>
          </cell>
          <cell r="AB34">
            <v>0</v>
          </cell>
          <cell r="AC34">
            <v>0</v>
          </cell>
          <cell r="AD34">
            <v>0</v>
          </cell>
          <cell r="AE34">
            <v>4</v>
          </cell>
          <cell r="AF34">
            <v>4</v>
          </cell>
          <cell r="AG34">
            <v>15</v>
          </cell>
          <cell r="AH34">
            <v>10</v>
          </cell>
          <cell r="AI34">
            <v>0</v>
          </cell>
          <cell r="AJ34">
            <v>0</v>
          </cell>
          <cell r="AK34">
            <v>0.92077464788732399</v>
          </cell>
          <cell r="AL34" t="str">
            <v>-</v>
          </cell>
          <cell r="AM34" t="str">
            <v>-</v>
          </cell>
          <cell r="AN34" t="str">
            <v/>
          </cell>
          <cell r="AO34">
            <v>0</v>
          </cell>
          <cell r="AP34" t="str">
            <v>-</v>
          </cell>
          <cell r="AQ34">
            <v>0</v>
          </cell>
          <cell r="AR34" t="str">
            <v>-</v>
          </cell>
          <cell r="AS34">
            <v>0</v>
          </cell>
          <cell r="AT34" t="str">
            <v/>
          </cell>
          <cell r="AU34">
            <v>0</v>
          </cell>
          <cell r="AV34" t="str">
            <v>-</v>
          </cell>
          <cell r="AW34">
            <v>0</v>
          </cell>
          <cell r="AX34" t="str">
            <v>-</v>
          </cell>
          <cell r="AY34">
            <v>0</v>
          </cell>
          <cell r="AZ34" t="str">
            <v/>
          </cell>
          <cell r="BA34">
            <v>0</v>
          </cell>
          <cell r="BB34" t="str">
            <v>-</v>
          </cell>
          <cell r="BC34">
            <v>0</v>
          </cell>
          <cell r="BD34" t="str">
            <v>-</v>
          </cell>
          <cell r="BE34">
            <v>0</v>
          </cell>
          <cell r="BF34" t="str">
            <v/>
          </cell>
          <cell r="BG34">
            <v>0</v>
          </cell>
          <cell r="BH34" t="str">
            <v>-</v>
          </cell>
          <cell r="BI34">
            <v>0</v>
          </cell>
          <cell r="BJ34" t="str">
            <v>-</v>
          </cell>
          <cell r="BK34">
            <v>0</v>
          </cell>
          <cell r="BL34">
            <v>0</v>
          </cell>
          <cell r="BM34" t="str">
            <v>-</v>
          </cell>
          <cell r="BN34">
            <v>15</v>
          </cell>
          <cell r="BO34" t="str">
            <v/>
          </cell>
          <cell r="BP34">
            <v>0</v>
          </cell>
          <cell r="BQ34">
            <v>0</v>
          </cell>
          <cell r="BR34" t="str">
            <v>-</v>
          </cell>
          <cell r="BS34">
            <v>0</v>
          </cell>
          <cell r="BT34">
            <v>0</v>
          </cell>
          <cell r="BU34" t="str">
            <v>-</v>
          </cell>
        </row>
        <row r="35">
          <cell r="A35" t="str">
            <v>10312MD</v>
          </cell>
          <cell r="B35">
            <v>10312</v>
          </cell>
          <cell r="C35" t="str">
            <v>MD</v>
          </cell>
          <cell r="D35" t="str">
            <v>Cooling</v>
          </cell>
          <cell r="E35" t="str">
            <v>Ground Source Heat Pump</v>
          </cell>
          <cell r="F35" t="str">
            <v>R</v>
          </cell>
          <cell r="G35" t="str">
            <v>Y</v>
          </cell>
          <cell r="M35" t="str">
            <v>NC, RENO, REPL</v>
          </cell>
          <cell r="N35" t="str">
            <v>Existing or baseline Split or Central A/C with SEER 13</v>
          </cell>
          <cell r="O35">
            <v>2021</v>
          </cell>
          <cell r="P35">
            <v>2030</v>
          </cell>
          <cell r="Q35" t="str">
            <v>Single Family</v>
          </cell>
          <cell r="R35" t="str">
            <v>per ton</v>
          </cell>
          <cell r="S35">
            <v>0</v>
          </cell>
          <cell r="T35">
            <v>0</v>
          </cell>
          <cell r="U35">
            <v>0</v>
          </cell>
          <cell r="V35">
            <v>101.74430685152521</v>
          </cell>
          <cell r="W35">
            <v>0.19993107098457713</v>
          </cell>
          <cell r="X35" t="str">
            <v>-</v>
          </cell>
          <cell r="Y35" t="str">
            <v>1,2</v>
          </cell>
          <cell r="Z35" t="str">
            <v>1,2</v>
          </cell>
          <cell r="AA35">
            <v>0</v>
          </cell>
          <cell r="AB35">
            <v>0</v>
          </cell>
          <cell r="AC35">
            <v>0</v>
          </cell>
          <cell r="AD35">
            <v>0</v>
          </cell>
          <cell r="AE35">
            <v>4</v>
          </cell>
          <cell r="AF35">
            <v>4</v>
          </cell>
          <cell r="AG35">
            <v>0</v>
          </cell>
          <cell r="AH35">
            <v>0</v>
          </cell>
          <cell r="AI35">
            <v>0</v>
          </cell>
          <cell r="AJ35">
            <v>0</v>
          </cell>
          <cell r="AK35">
            <v>0</v>
          </cell>
          <cell r="AL35" t="str">
            <v>-</v>
          </cell>
          <cell r="AM35" t="str">
            <v>-</v>
          </cell>
          <cell r="AN35" t="str">
            <v/>
          </cell>
          <cell r="AO35">
            <v>0</v>
          </cell>
          <cell r="AP35" t="str">
            <v>-</v>
          </cell>
          <cell r="AQ35">
            <v>0</v>
          </cell>
          <cell r="AR35" t="str">
            <v>-</v>
          </cell>
          <cell r="AS35">
            <v>0</v>
          </cell>
          <cell r="AT35" t="str">
            <v/>
          </cell>
          <cell r="AU35">
            <v>0</v>
          </cell>
          <cell r="AV35" t="str">
            <v>-</v>
          </cell>
          <cell r="AW35">
            <v>0</v>
          </cell>
          <cell r="AX35" t="str">
            <v>-</v>
          </cell>
          <cell r="AY35">
            <v>0</v>
          </cell>
          <cell r="AZ35" t="str">
            <v/>
          </cell>
          <cell r="BA35">
            <v>0</v>
          </cell>
          <cell r="BB35" t="str">
            <v>-</v>
          </cell>
          <cell r="BC35">
            <v>0</v>
          </cell>
          <cell r="BD35" t="str">
            <v>-</v>
          </cell>
          <cell r="BE35">
            <v>0</v>
          </cell>
          <cell r="BF35" t="str">
            <v/>
          </cell>
          <cell r="BG35">
            <v>0</v>
          </cell>
          <cell r="BH35" t="str">
            <v>-</v>
          </cell>
          <cell r="BI35">
            <v>0</v>
          </cell>
          <cell r="BJ35" t="str">
            <v>-</v>
          </cell>
          <cell r="BK35">
            <v>0</v>
          </cell>
          <cell r="BL35">
            <v>0</v>
          </cell>
          <cell r="BM35" t="str">
            <v>-</v>
          </cell>
          <cell r="BN35">
            <v>15</v>
          </cell>
          <cell r="BO35" t="str">
            <v/>
          </cell>
          <cell r="BP35">
            <v>0</v>
          </cell>
          <cell r="BQ35">
            <v>0</v>
          </cell>
          <cell r="BR35" t="str">
            <v>-</v>
          </cell>
          <cell r="BS35">
            <v>0</v>
          </cell>
          <cell r="BT35">
            <v>0</v>
          </cell>
          <cell r="BU35" t="str">
            <v>-</v>
          </cell>
        </row>
        <row r="36">
          <cell r="A36" t="str">
            <v>10312RET</v>
          </cell>
          <cell r="B36">
            <v>10312</v>
          </cell>
          <cell r="C36" t="str">
            <v>RET</v>
          </cell>
          <cell r="D36" t="str">
            <v>Cooling</v>
          </cell>
          <cell r="E36" t="str">
            <v>Ground Source Heat Pump</v>
          </cell>
          <cell r="F36" t="str">
            <v>R</v>
          </cell>
          <cell r="G36" t="str">
            <v>Y</v>
          </cell>
          <cell r="M36" t="str">
            <v>RET</v>
          </cell>
          <cell r="N36" t="str">
            <v>Existing Split or Central A/C with SEER 12.1</v>
          </cell>
          <cell r="O36">
            <v>2021</v>
          </cell>
          <cell r="P36">
            <v>2030</v>
          </cell>
          <cell r="Q36" t="str">
            <v>Single Family</v>
          </cell>
          <cell r="R36" t="str">
            <v>per ton</v>
          </cell>
          <cell r="S36">
            <v>0</v>
          </cell>
          <cell r="T36">
            <v>0</v>
          </cell>
          <cell r="U36">
            <v>0</v>
          </cell>
          <cell r="V36">
            <v>139.5961441051806</v>
          </cell>
          <cell r="W36">
            <v>0.25532045837795248</v>
          </cell>
          <cell r="X36" t="str">
            <v>-</v>
          </cell>
          <cell r="Y36" t="str">
            <v>1,2</v>
          </cell>
          <cell r="Z36" t="str">
            <v>1,2</v>
          </cell>
          <cell r="AA36">
            <v>0</v>
          </cell>
          <cell r="AB36">
            <v>0</v>
          </cell>
          <cell r="AC36">
            <v>0</v>
          </cell>
          <cell r="AD36">
            <v>0</v>
          </cell>
          <cell r="AE36">
            <v>4</v>
          </cell>
          <cell r="AF36">
            <v>4</v>
          </cell>
          <cell r="AG36">
            <v>15</v>
          </cell>
          <cell r="AH36">
            <v>10</v>
          </cell>
          <cell r="AI36">
            <v>0</v>
          </cell>
          <cell r="AJ36">
            <v>0</v>
          </cell>
          <cell r="AK36">
            <v>0.78305934532131349</v>
          </cell>
          <cell r="AL36" t="str">
            <v>-</v>
          </cell>
          <cell r="AM36" t="str">
            <v>-</v>
          </cell>
          <cell r="AN36" t="str">
            <v/>
          </cell>
          <cell r="AO36">
            <v>0</v>
          </cell>
          <cell r="AP36" t="str">
            <v>-</v>
          </cell>
          <cell r="AQ36">
            <v>0</v>
          </cell>
          <cell r="AR36" t="str">
            <v>-</v>
          </cell>
          <cell r="AS36">
            <v>0</v>
          </cell>
          <cell r="AT36" t="str">
            <v/>
          </cell>
          <cell r="AU36">
            <v>0</v>
          </cell>
          <cell r="AV36" t="str">
            <v>-</v>
          </cell>
          <cell r="AW36">
            <v>0</v>
          </cell>
          <cell r="AX36" t="str">
            <v>-</v>
          </cell>
          <cell r="AY36">
            <v>0</v>
          </cell>
          <cell r="AZ36" t="str">
            <v/>
          </cell>
          <cell r="BA36">
            <v>0</v>
          </cell>
          <cell r="BB36" t="str">
            <v>-</v>
          </cell>
          <cell r="BC36">
            <v>0</v>
          </cell>
          <cell r="BD36" t="str">
            <v>-</v>
          </cell>
          <cell r="BE36">
            <v>0</v>
          </cell>
          <cell r="BF36" t="str">
            <v/>
          </cell>
          <cell r="BG36">
            <v>0</v>
          </cell>
          <cell r="BH36" t="str">
            <v>-</v>
          </cell>
          <cell r="BI36">
            <v>0</v>
          </cell>
          <cell r="BJ36" t="str">
            <v>-</v>
          </cell>
          <cell r="BK36">
            <v>0</v>
          </cell>
          <cell r="BL36">
            <v>0</v>
          </cell>
          <cell r="BM36" t="str">
            <v>-</v>
          </cell>
          <cell r="BN36">
            <v>15</v>
          </cell>
          <cell r="BO36" t="str">
            <v/>
          </cell>
          <cell r="BP36">
            <v>0</v>
          </cell>
          <cell r="BQ36">
            <v>0</v>
          </cell>
          <cell r="BR36" t="str">
            <v>-</v>
          </cell>
          <cell r="BS36">
            <v>0</v>
          </cell>
          <cell r="BT36">
            <v>0</v>
          </cell>
          <cell r="BU36" t="str">
            <v>-</v>
          </cell>
        </row>
        <row r="37">
          <cell r="A37" t="str">
            <v>10313MD</v>
          </cell>
          <cell r="B37">
            <v>10313</v>
          </cell>
          <cell r="C37" t="str">
            <v>MD</v>
          </cell>
          <cell r="D37" t="e">
            <v>#REF!</v>
          </cell>
          <cell r="E37" t="e">
            <v>#REF!</v>
          </cell>
          <cell r="F37" t="e">
            <v>#REF!</v>
          </cell>
          <cell r="G37" t="str">
            <v>Y</v>
          </cell>
          <cell r="M37" t="e">
            <v>#REF!</v>
          </cell>
          <cell r="N37" t="e">
            <v>#REF!</v>
          </cell>
          <cell r="O37" t="e">
            <v>#REF!</v>
          </cell>
          <cell r="P37" t="e">
            <v>#REF!</v>
          </cell>
          <cell r="Q37" t="e">
            <v>#REF!</v>
          </cell>
          <cell r="R37" t="e">
            <v>#REF!</v>
          </cell>
          <cell r="S37" t="e">
            <v>#REF!</v>
          </cell>
          <cell r="T37" t="e">
            <v>#REF!</v>
          </cell>
          <cell r="U37" t="e">
            <v>#REF!</v>
          </cell>
          <cell r="V37" t="e">
            <v>#REF!</v>
          </cell>
          <cell r="W37" t="e">
            <v>#REF!</v>
          </cell>
          <cell r="X37" t="e">
            <v>#REF!</v>
          </cell>
          <cell r="Y37" t="e">
            <v>#REF!</v>
          </cell>
          <cell r="Z37" t="e">
            <v>#REF!</v>
          </cell>
          <cell r="AA37" t="e">
            <v>#REF!</v>
          </cell>
          <cell r="AB37" t="e">
            <v>#REF!</v>
          </cell>
          <cell r="AC37" t="e">
            <v>#REF!</v>
          </cell>
          <cell r="AD37" t="e">
            <v>#REF!</v>
          </cell>
          <cell r="AE37" t="e">
            <v>#REF!</v>
          </cell>
          <cell r="AF37" t="e">
            <v>#REF!</v>
          </cell>
          <cell r="AG37" t="e">
            <v>#REF!</v>
          </cell>
          <cell r="AH37" t="e">
            <v>#REF!</v>
          </cell>
          <cell r="AI37" t="e">
            <v>#REF!</v>
          </cell>
          <cell r="AJ37" t="e">
            <v>#REF!</v>
          </cell>
          <cell r="AK37" t="e">
            <v>#REF!</v>
          </cell>
          <cell r="AL37" t="e">
            <v>#REF!</v>
          </cell>
          <cell r="AM37" t="e">
            <v>#REF!</v>
          </cell>
          <cell r="AN37" t="e">
            <v>#REF!</v>
          </cell>
          <cell r="AO37" t="e">
            <v>#REF!</v>
          </cell>
          <cell r="AP37" t="e">
            <v>#REF!</v>
          </cell>
          <cell r="AQ37" t="e">
            <v>#REF!</v>
          </cell>
          <cell r="AR37" t="e">
            <v>#REF!</v>
          </cell>
          <cell r="AS37" t="e">
            <v>#REF!</v>
          </cell>
          <cell r="AT37" t="e">
            <v>#REF!</v>
          </cell>
          <cell r="AU37" t="e">
            <v>#REF!</v>
          </cell>
          <cell r="AV37" t="e">
            <v>#REF!</v>
          </cell>
          <cell r="AW37" t="e">
            <v>#REF!</v>
          </cell>
          <cell r="AX37" t="e">
            <v>#REF!</v>
          </cell>
          <cell r="AY37" t="e">
            <v>#REF!</v>
          </cell>
          <cell r="AZ37" t="e">
            <v>#REF!</v>
          </cell>
          <cell r="BA37" t="e">
            <v>#REF!</v>
          </cell>
          <cell r="BB37" t="e">
            <v>#REF!</v>
          </cell>
          <cell r="BC37" t="e">
            <v>#REF!</v>
          </cell>
          <cell r="BD37" t="e">
            <v>#REF!</v>
          </cell>
          <cell r="BE37" t="e">
            <v>#REF!</v>
          </cell>
          <cell r="BF37" t="e">
            <v>#REF!</v>
          </cell>
          <cell r="BG37" t="e">
            <v>#REF!</v>
          </cell>
          <cell r="BH37" t="e">
            <v>#REF!</v>
          </cell>
          <cell r="BI37" t="e">
            <v>#REF!</v>
          </cell>
          <cell r="BJ37" t="e">
            <v>#REF!</v>
          </cell>
          <cell r="BK37" t="e">
            <v>#REF!</v>
          </cell>
          <cell r="BL37" t="e">
            <v>#REF!</v>
          </cell>
          <cell r="BM37" t="e">
            <v>#REF!</v>
          </cell>
          <cell r="BN37" t="e">
            <v>#REF!</v>
          </cell>
          <cell r="BO37" t="e">
            <v>#REF!</v>
          </cell>
          <cell r="BP37" t="e">
            <v>#REF!</v>
          </cell>
          <cell r="BQ37" t="e">
            <v>#REF!</v>
          </cell>
          <cell r="BR37" t="e">
            <v>#REF!</v>
          </cell>
          <cell r="BS37" t="e">
            <v>#REF!</v>
          </cell>
          <cell r="BT37" t="e">
            <v>#REF!</v>
          </cell>
          <cell r="BU37" t="e">
            <v>#REF!</v>
          </cell>
        </row>
        <row r="38">
          <cell r="A38" t="str">
            <v>10314MD</v>
          </cell>
          <cell r="B38">
            <v>10314</v>
          </cell>
          <cell r="C38" t="str">
            <v>MD</v>
          </cell>
          <cell r="D38" t="str">
            <v>Cooling</v>
          </cell>
          <cell r="E38" t="str">
            <v>Smart Thermostat with Gas Secondary Fuel</v>
          </cell>
          <cell r="F38" t="str">
            <v>R</v>
          </cell>
          <cell r="G38" t="str">
            <v>Y</v>
          </cell>
          <cell r="M38" t="str">
            <v>NC</v>
          </cell>
          <cell r="N38" t="str">
            <v>Manual or conventional programmable thermostat</v>
          </cell>
          <cell r="O38">
            <v>2021</v>
          </cell>
          <cell r="P38">
            <v>2030</v>
          </cell>
          <cell r="Q38" t="str">
            <v>Single Family</v>
          </cell>
          <cell r="R38" t="str">
            <v>home</v>
          </cell>
          <cell r="S38">
            <v>0</v>
          </cell>
          <cell r="T38">
            <v>0</v>
          </cell>
          <cell r="U38">
            <v>0</v>
          </cell>
          <cell r="V38">
            <v>81.09201826387671</v>
          </cell>
          <cell r="W38">
            <v>4.8000000000000001E-2</v>
          </cell>
          <cell r="X38" t="str">
            <v>-</v>
          </cell>
          <cell r="Y38">
            <v>2</v>
          </cell>
          <cell r="Z38">
            <v>2</v>
          </cell>
          <cell r="AA38">
            <v>0</v>
          </cell>
          <cell r="AB38">
            <v>0</v>
          </cell>
          <cell r="AC38">
            <v>154</v>
          </cell>
          <cell r="AD38">
            <v>1.8990771631663892</v>
          </cell>
          <cell r="AE38">
            <v>9</v>
          </cell>
          <cell r="AF38">
            <v>9</v>
          </cell>
          <cell r="AG38">
            <v>0</v>
          </cell>
          <cell r="AH38">
            <v>0</v>
          </cell>
          <cell r="AI38">
            <v>0</v>
          </cell>
          <cell r="AJ38">
            <v>0</v>
          </cell>
          <cell r="AK38">
            <v>0</v>
          </cell>
          <cell r="AL38" t="str">
            <v>-</v>
          </cell>
          <cell r="AM38" t="str">
            <v>-</v>
          </cell>
          <cell r="AN38" t="str">
            <v/>
          </cell>
          <cell r="AO38">
            <v>0</v>
          </cell>
          <cell r="AP38" t="str">
            <v>-</v>
          </cell>
          <cell r="AQ38">
            <v>0</v>
          </cell>
          <cell r="AR38" t="str">
            <v>-</v>
          </cell>
          <cell r="AS38">
            <v>0</v>
          </cell>
          <cell r="AT38" t="str">
            <v/>
          </cell>
          <cell r="AU38">
            <v>0</v>
          </cell>
          <cell r="AV38" t="str">
            <v>-</v>
          </cell>
          <cell r="AW38">
            <v>0</v>
          </cell>
          <cell r="AX38" t="str">
            <v>-</v>
          </cell>
          <cell r="AY38">
            <v>0</v>
          </cell>
          <cell r="AZ38" t="str">
            <v/>
          </cell>
          <cell r="BA38">
            <v>0</v>
          </cell>
          <cell r="BB38" t="str">
            <v>-</v>
          </cell>
          <cell r="BC38">
            <v>0</v>
          </cell>
          <cell r="BD38" t="str">
            <v>-</v>
          </cell>
          <cell r="BE38">
            <v>0</v>
          </cell>
          <cell r="BF38" t="str">
            <v/>
          </cell>
          <cell r="BG38">
            <v>0</v>
          </cell>
          <cell r="BH38" t="str">
            <v>-</v>
          </cell>
          <cell r="BI38">
            <v>0</v>
          </cell>
          <cell r="BJ38" t="str">
            <v>-</v>
          </cell>
          <cell r="BK38">
            <v>0</v>
          </cell>
          <cell r="BL38">
            <v>0</v>
          </cell>
          <cell r="BM38" t="str">
            <v>-</v>
          </cell>
          <cell r="BN38">
            <v>11</v>
          </cell>
          <cell r="BO38" t="str">
            <v>G</v>
          </cell>
          <cell r="BP38">
            <v>0.15721087657420801</v>
          </cell>
          <cell r="BQ38">
            <v>1.9386726331392747E-3</v>
          </cell>
          <cell r="BR38" t="str">
            <v>-</v>
          </cell>
          <cell r="BS38">
            <v>0</v>
          </cell>
          <cell r="BT38">
            <v>0</v>
          </cell>
          <cell r="BU38" t="str">
            <v>-</v>
          </cell>
        </row>
        <row r="39">
          <cell r="A39" t="str">
            <v>10314RET</v>
          </cell>
          <cell r="B39">
            <v>10314</v>
          </cell>
          <cell r="C39" t="str">
            <v>RET</v>
          </cell>
          <cell r="D39" t="str">
            <v>Cooling</v>
          </cell>
          <cell r="E39" t="str">
            <v>Smart Thermostat with Gas Secondary Fuel</v>
          </cell>
          <cell r="F39" t="str">
            <v>R</v>
          </cell>
          <cell r="G39" t="str">
            <v>Y</v>
          </cell>
          <cell r="M39" t="str">
            <v>RET</v>
          </cell>
          <cell r="N39" t="str">
            <v>Manual or conventional programmable thermostat</v>
          </cell>
          <cell r="O39">
            <v>2021</v>
          </cell>
          <cell r="P39">
            <v>2030</v>
          </cell>
          <cell r="Q39" t="str">
            <v>Single Family</v>
          </cell>
          <cell r="R39" t="str">
            <v>home</v>
          </cell>
          <cell r="S39">
            <v>0</v>
          </cell>
          <cell r="T39">
            <v>0</v>
          </cell>
          <cell r="U39">
            <v>0</v>
          </cell>
          <cell r="V39">
            <v>157.11578538626111</v>
          </cell>
          <cell r="W39">
            <v>9.2999999999999999E-2</v>
          </cell>
          <cell r="X39" t="str">
            <v>-</v>
          </cell>
          <cell r="Y39">
            <v>2</v>
          </cell>
          <cell r="Z39">
            <v>2</v>
          </cell>
          <cell r="AA39">
            <v>0</v>
          </cell>
          <cell r="AB39">
            <v>0</v>
          </cell>
          <cell r="AC39">
            <v>258</v>
          </cell>
          <cell r="AD39">
            <v>1.6421010744765092</v>
          </cell>
          <cell r="AE39">
            <v>9</v>
          </cell>
          <cell r="AF39">
            <v>9</v>
          </cell>
          <cell r="AG39">
            <v>0</v>
          </cell>
          <cell r="AH39">
            <v>0</v>
          </cell>
          <cell r="AI39">
            <v>0</v>
          </cell>
          <cell r="AJ39">
            <v>0</v>
          </cell>
          <cell r="AK39">
            <v>0</v>
          </cell>
          <cell r="AL39" t="str">
            <v>-</v>
          </cell>
          <cell r="AM39" t="str">
            <v>-</v>
          </cell>
          <cell r="AN39" t="str">
            <v/>
          </cell>
          <cell r="AO39">
            <v>0</v>
          </cell>
          <cell r="AP39" t="str">
            <v>-</v>
          </cell>
          <cell r="AQ39">
            <v>0</v>
          </cell>
          <cell r="AR39" t="str">
            <v>-</v>
          </cell>
          <cell r="AS39">
            <v>0</v>
          </cell>
          <cell r="AT39" t="str">
            <v/>
          </cell>
          <cell r="AU39">
            <v>0</v>
          </cell>
          <cell r="AV39" t="str">
            <v>-</v>
          </cell>
          <cell r="AW39">
            <v>0</v>
          </cell>
          <cell r="AX39" t="str">
            <v>-</v>
          </cell>
          <cell r="AY39">
            <v>0</v>
          </cell>
          <cell r="AZ39" t="str">
            <v/>
          </cell>
          <cell r="BA39">
            <v>0</v>
          </cell>
          <cell r="BB39" t="str">
            <v>-</v>
          </cell>
          <cell r="BC39">
            <v>0</v>
          </cell>
          <cell r="BD39" t="str">
            <v>-</v>
          </cell>
          <cell r="BE39">
            <v>0</v>
          </cell>
          <cell r="BF39" t="str">
            <v/>
          </cell>
          <cell r="BG39">
            <v>0</v>
          </cell>
          <cell r="BH39" t="str">
            <v>-</v>
          </cell>
          <cell r="BI39">
            <v>0</v>
          </cell>
          <cell r="BJ39" t="str">
            <v>-</v>
          </cell>
          <cell r="BK39">
            <v>0</v>
          </cell>
          <cell r="BL39">
            <v>0</v>
          </cell>
          <cell r="BM39" t="str">
            <v>-</v>
          </cell>
          <cell r="BN39">
            <v>11</v>
          </cell>
          <cell r="BO39" t="str">
            <v>G</v>
          </cell>
          <cell r="BP39">
            <v>0.194057175771288</v>
          </cell>
          <cell r="BQ39">
            <v>1.2351220807903444E-3</v>
          </cell>
          <cell r="BR39" t="str">
            <v>-</v>
          </cell>
          <cell r="BS39">
            <v>0</v>
          </cell>
          <cell r="BT39">
            <v>0</v>
          </cell>
          <cell r="BU39" t="str">
            <v>-</v>
          </cell>
        </row>
        <row r="40">
          <cell r="A40" t="str">
            <v>10315MD</v>
          </cell>
          <cell r="B40">
            <v>10315</v>
          </cell>
          <cell r="C40" t="str">
            <v>MD</v>
          </cell>
          <cell r="D40" t="str">
            <v>Cooling</v>
          </cell>
          <cell r="E40" t="str">
            <v>Smart Thermostat</v>
          </cell>
          <cell r="F40" t="str">
            <v>R</v>
          </cell>
          <cell r="G40" t="str">
            <v>Y</v>
          </cell>
          <cell r="M40" t="str">
            <v>NC</v>
          </cell>
          <cell r="N40" t="str">
            <v>Manual or conventional programmable thermostat</v>
          </cell>
          <cell r="O40">
            <v>2021</v>
          </cell>
          <cell r="P40">
            <v>2030</v>
          </cell>
          <cell r="Q40" t="str">
            <v>Single Family</v>
          </cell>
          <cell r="R40" t="str">
            <v>home</v>
          </cell>
          <cell r="S40">
            <v>0</v>
          </cell>
          <cell r="T40">
            <v>0</v>
          </cell>
          <cell r="U40">
            <v>0</v>
          </cell>
          <cell r="V40">
            <v>81.09201826387671</v>
          </cell>
          <cell r="W40">
            <v>4.8000000000000001E-2</v>
          </cell>
          <cell r="X40" t="str">
            <v>-</v>
          </cell>
          <cell r="Y40">
            <v>2</v>
          </cell>
          <cell r="Z40">
            <v>2</v>
          </cell>
          <cell r="AA40">
            <v>0</v>
          </cell>
          <cell r="AB40">
            <v>0</v>
          </cell>
          <cell r="AC40">
            <v>0</v>
          </cell>
          <cell r="AD40">
            <v>0</v>
          </cell>
          <cell r="AE40">
            <v>9</v>
          </cell>
          <cell r="AF40">
            <v>9</v>
          </cell>
          <cell r="AG40">
            <v>0</v>
          </cell>
          <cell r="AH40">
            <v>0</v>
          </cell>
          <cell r="AI40">
            <v>0</v>
          </cell>
          <cell r="AJ40">
            <v>0</v>
          </cell>
          <cell r="AK40">
            <v>0</v>
          </cell>
          <cell r="AL40" t="str">
            <v>-</v>
          </cell>
          <cell r="AM40" t="str">
            <v>-</v>
          </cell>
          <cell r="AN40" t="str">
            <v/>
          </cell>
          <cell r="AO40">
            <v>0</v>
          </cell>
          <cell r="AP40" t="str">
            <v>-</v>
          </cell>
          <cell r="AQ40">
            <v>0</v>
          </cell>
          <cell r="AR40" t="str">
            <v>-</v>
          </cell>
          <cell r="AS40">
            <v>0</v>
          </cell>
          <cell r="AT40" t="str">
            <v/>
          </cell>
          <cell r="AU40">
            <v>0</v>
          </cell>
          <cell r="AV40" t="str">
            <v>-</v>
          </cell>
          <cell r="AW40">
            <v>0</v>
          </cell>
          <cell r="AX40" t="str">
            <v>-</v>
          </cell>
          <cell r="AY40">
            <v>0</v>
          </cell>
          <cell r="AZ40" t="str">
            <v/>
          </cell>
          <cell r="BA40">
            <v>0</v>
          </cell>
          <cell r="BB40" t="str">
            <v>-</v>
          </cell>
          <cell r="BC40">
            <v>0</v>
          </cell>
          <cell r="BD40" t="str">
            <v>-</v>
          </cell>
          <cell r="BE40">
            <v>0</v>
          </cell>
          <cell r="BF40" t="str">
            <v/>
          </cell>
          <cell r="BG40">
            <v>0</v>
          </cell>
          <cell r="BH40" t="str">
            <v>-</v>
          </cell>
          <cell r="BI40">
            <v>0</v>
          </cell>
          <cell r="BJ40" t="str">
            <v>-</v>
          </cell>
          <cell r="BK40">
            <v>0</v>
          </cell>
          <cell r="BL40">
            <v>0</v>
          </cell>
          <cell r="BM40" t="str">
            <v>-</v>
          </cell>
          <cell r="BN40">
            <v>11</v>
          </cell>
          <cell r="BO40" t="str">
            <v/>
          </cell>
          <cell r="BP40">
            <v>0</v>
          </cell>
          <cell r="BQ40">
            <v>0</v>
          </cell>
          <cell r="BR40" t="str">
            <v>-</v>
          </cell>
          <cell r="BS40">
            <v>0</v>
          </cell>
          <cell r="BT40">
            <v>0</v>
          </cell>
          <cell r="BU40" t="str">
            <v>-</v>
          </cell>
        </row>
        <row r="41">
          <cell r="A41" t="str">
            <v>10315RET</v>
          </cell>
          <cell r="B41">
            <v>10315</v>
          </cell>
          <cell r="C41" t="str">
            <v>RET</v>
          </cell>
          <cell r="D41" t="str">
            <v>Cooling</v>
          </cell>
          <cell r="E41" t="str">
            <v>Smart Thermostat</v>
          </cell>
          <cell r="F41" t="str">
            <v>R</v>
          </cell>
          <cell r="G41" t="str">
            <v>Y</v>
          </cell>
          <cell r="M41" t="str">
            <v>RET</v>
          </cell>
          <cell r="N41" t="str">
            <v>Manual or conventional programmable thermostat</v>
          </cell>
          <cell r="O41">
            <v>2021</v>
          </cell>
          <cell r="P41">
            <v>2030</v>
          </cell>
          <cell r="Q41" t="str">
            <v>Single Family</v>
          </cell>
          <cell r="R41" t="str">
            <v>home</v>
          </cell>
          <cell r="S41">
            <v>0</v>
          </cell>
          <cell r="T41">
            <v>0</v>
          </cell>
          <cell r="U41">
            <v>0</v>
          </cell>
          <cell r="V41">
            <v>157.11578538626111</v>
          </cell>
          <cell r="W41">
            <v>9.2999999999999999E-2</v>
          </cell>
          <cell r="X41" t="str">
            <v>-</v>
          </cell>
          <cell r="Y41">
            <v>2</v>
          </cell>
          <cell r="Z41">
            <v>2</v>
          </cell>
          <cell r="AA41">
            <v>0</v>
          </cell>
          <cell r="AB41">
            <v>0</v>
          </cell>
          <cell r="AC41">
            <v>0</v>
          </cell>
          <cell r="AD41">
            <v>0</v>
          </cell>
          <cell r="AE41">
            <v>9</v>
          </cell>
          <cell r="AF41">
            <v>9</v>
          </cell>
          <cell r="AG41">
            <v>0</v>
          </cell>
          <cell r="AH41">
            <v>0</v>
          </cell>
          <cell r="AI41">
            <v>0</v>
          </cell>
          <cell r="AJ41">
            <v>0</v>
          </cell>
          <cell r="AK41">
            <v>0</v>
          </cell>
          <cell r="AL41" t="str">
            <v>-</v>
          </cell>
          <cell r="AM41" t="str">
            <v>-</v>
          </cell>
          <cell r="AN41" t="str">
            <v/>
          </cell>
          <cell r="AO41">
            <v>0</v>
          </cell>
          <cell r="AP41" t="str">
            <v>-</v>
          </cell>
          <cell r="AQ41">
            <v>0</v>
          </cell>
          <cell r="AR41" t="str">
            <v>-</v>
          </cell>
          <cell r="AS41">
            <v>0</v>
          </cell>
          <cell r="AT41" t="str">
            <v/>
          </cell>
          <cell r="AU41">
            <v>0</v>
          </cell>
          <cell r="AV41" t="str">
            <v>-</v>
          </cell>
          <cell r="AW41">
            <v>0</v>
          </cell>
          <cell r="AX41" t="str">
            <v>-</v>
          </cell>
          <cell r="AY41">
            <v>0</v>
          </cell>
          <cell r="AZ41" t="str">
            <v/>
          </cell>
          <cell r="BA41">
            <v>0</v>
          </cell>
          <cell r="BB41" t="str">
            <v>-</v>
          </cell>
          <cell r="BC41">
            <v>0</v>
          </cell>
          <cell r="BD41" t="str">
            <v>-</v>
          </cell>
          <cell r="BE41">
            <v>0</v>
          </cell>
          <cell r="BF41" t="str">
            <v/>
          </cell>
          <cell r="BG41">
            <v>0</v>
          </cell>
          <cell r="BH41" t="str">
            <v>-</v>
          </cell>
          <cell r="BI41">
            <v>0</v>
          </cell>
          <cell r="BJ41" t="str">
            <v>-</v>
          </cell>
          <cell r="BK41">
            <v>0</v>
          </cell>
          <cell r="BL41">
            <v>0</v>
          </cell>
          <cell r="BM41" t="str">
            <v>-</v>
          </cell>
          <cell r="BN41">
            <v>11</v>
          </cell>
          <cell r="BO41" t="str">
            <v/>
          </cell>
          <cell r="BP41">
            <v>0</v>
          </cell>
          <cell r="BQ41">
            <v>0</v>
          </cell>
          <cell r="BR41" t="str">
            <v>-</v>
          </cell>
          <cell r="BS41">
            <v>0</v>
          </cell>
          <cell r="BT41">
            <v>0</v>
          </cell>
          <cell r="BU41" t="str">
            <v>-</v>
          </cell>
        </row>
        <row r="42">
          <cell r="A42" t="str">
            <v>10316RET</v>
          </cell>
          <cell r="B42">
            <v>10316</v>
          </cell>
          <cell r="C42" t="str">
            <v>RET</v>
          </cell>
          <cell r="D42" t="str">
            <v>Cooling</v>
          </cell>
          <cell r="E42" t="str">
            <v>Duct Sealing</v>
          </cell>
          <cell r="F42" t="str">
            <v>R</v>
          </cell>
          <cell r="G42" t="str">
            <v>Y</v>
          </cell>
          <cell r="M42" t="str">
            <v>RET</v>
          </cell>
          <cell r="N42" t="str">
            <v>Ducted heating and cooling systems with high exfiltration and infiltration</v>
          </cell>
          <cell r="O42">
            <v>2021</v>
          </cell>
          <cell r="P42">
            <v>2030</v>
          </cell>
          <cell r="Q42" t="str">
            <v>Single Family</v>
          </cell>
          <cell r="R42" t="str">
            <v>home</v>
          </cell>
          <cell r="S42">
            <v>0</v>
          </cell>
          <cell r="T42">
            <v>0</v>
          </cell>
          <cell r="U42">
            <v>0</v>
          </cell>
          <cell r="V42">
            <v>136.26756040909095</v>
          </cell>
          <cell r="W42">
            <v>0.1</v>
          </cell>
          <cell r="X42" t="str">
            <v>-</v>
          </cell>
          <cell r="Y42" t="str">
            <v>7,1,2,5</v>
          </cell>
          <cell r="Z42" t="str">
            <v>7,1,2,5</v>
          </cell>
          <cell r="AA42">
            <v>0</v>
          </cell>
          <cell r="AB42">
            <v>0</v>
          </cell>
          <cell r="AC42">
            <v>0</v>
          </cell>
          <cell r="AD42">
            <v>0</v>
          </cell>
          <cell r="AE42">
            <v>55</v>
          </cell>
          <cell r="AF42">
            <v>55</v>
          </cell>
          <cell r="AG42">
            <v>0</v>
          </cell>
          <cell r="AH42">
            <v>0</v>
          </cell>
          <cell r="AI42">
            <v>0</v>
          </cell>
          <cell r="AJ42">
            <v>0</v>
          </cell>
          <cell r="AK42">
            <v>0</v>
          </cell>
          <cell r="AL42" t="str">
            <v>-</v>
          </cell>
          <cell r="AM42" t="str">
            <v>-</v>
          </cell>
          <cell r="AN42" t="str">
            <v/>
          </cell>
          <cell r="AO42">
            <v>0</v>
          </cell>
          <cell r="AP42" t="str">
            <v>-</v>
          </cell>
          <cell r="AQ42">
            <v>0</v>
          </cell>
          <cell r="AR42" t="str">
            <v>-</v>
          </cell>
          <cell r="AS42">
            <v>0</v>
          </cell>
          <cell r="AT42" t="str">
            <v/>
          </cell>
          <cell r="AU42">
            <v>0</v>
          </cell>
          <cell r="AV42" t="str">
            <v>-</v>
          </cell>
          <cell r="AW42">
            <v>0</v>
          </cell>
          <cell r="AX42" t="str">
            <v>-</v>
          </cell>
          <cell r="AY42">
            <v>0</v>
          </cell>
          <cell r="AZ42" t="str">
            <v/>
          </cell>
          <cell r="BA42">
            <v>0</v>
          </cell>
          <cell r="BB42" t="str">
            <v>-</v>
          </cell>
          <cell r="BC42">
            <v>0</v>
          </cell>
          <cell r="BD42" t="str">
            <v>-</v>
          </cell>
          <cell r="BE42">
            <v>0</v>
          </cell>
          <cell r="BF42" t="str">
            <v/>
          </cell>
          <cell r="BG42">
            <v>0</v>
          </cell>
          <cell r="BH42" t="str">
            <v>-</v>
          </cell>
          <cell r="BI42">
            <v>0</v>
          </cell>
          <cell r="BJ42" t="str">
            <v>-</v>
          </cell>
          <cell r="BK42">
            <v>0</v>
          </cell>
          <cell r="BL42">
            <v>0</v>
          </cell>
          <cell r="BM42" t="str">
            <v>-</v>
          </cell>
          <cell r="BN42">
            <v>15</v>
          </cell>
          <cell r="BO42" t="str">
            <v/>
          </cell>
          <cell r="BP42">
            <v>0</v>
          </cell>
          <cell r="BQ42">
            <v>0</v>
          </cell>
          <cell r="BR42" t="str">
            <v>-</v>
          </cell>
          <cell r="BS42">
            <v>0</v>
          </cell>
          <cell r="BT42">
            <v>0</v>
          </cell>
          <cell r="BU42" t="str">
            <v>-</v>
          </cell>
        </row>
        <row r="43">
          <cell r="A43" t="str">
            <v>10317RET</v>
          </cell>
          <cell r="B43">
            <v>10317</v>
          </cell>
          <cell r="C43" t="str">
            <v>RET</v>
          </cell>
          <cell r="D43" t="str">
            <v>Cooling</v>
          </cell>
          <cell r="E43" t="str">
            <v>Air Sealing</v>
          </cell>
          <cell r="F43" t="str">
            <v>R</v>
          </cell>
          <cell r="G43" t="str">
            <v>Y</v>
          </cell>
          <cell r="M43" t="str">
            <v>RET</v>
          </cell>
          <cell r="N43" t="str">
            <v>Existing building envelope without additional air sealing</v>
          </cell>
          <cell r="O43">
            <v>2021</v>
          </cell>
          <cell r="P43">
            <v>2030</v>
          </cell>
          <cell r="Q43" t="str">
            <v>Single Family</v>
          </cell>
          <cell r="R43" t="str">
            <v>CFM Reduction</v>
          </cell>
          <cell r="S43">
            <v>0</v>
          </cell>
          <cell r="T43">
            <v>0</v>
          </cell>
          <cell r="U43">
            <v>0</v>
          </cell>
          <cell r="V43">
            <v>0.33518302968343794</v>
          </cell>
          <cell r="W43">
            <v>0.15</v>
          </cell>
          <cell r="X43" t="str">
            <v>-</v>
          </cell>
          <cell r="Y43" t="str">
            <v>1,8</v>
          </cell>
          <cell r="Z43" t="str">
            <v>1,8</v>
          </cell>
          <cell r="AA43">
            <v>0</v>
          </cell>
          <cell r="AB43">
            <v>0</v>
          </cell>
          <cell r="AC43">
            <v>0</v>
          </cell>
          <cell r="AD43">
            <v>0</v>
          </cell>
          <cell r="AE43">
            <v>4</v>
          </cell>
          <cell r="AF43">
            <v>4</v>
          </cell>
          <cell r="AG43">
            <v>0</v>
          </cell>
          <cell r="AH43">
            <v>0</v>
          </cell>
          <cell r="AI43">
            <v>0</v>
          </cell>
          <cell r="AJ43">
            <v>0</v>
          </cell>
          <cell r="AK43">
            <v>0</v>
          </cell>
          <cell r="AL43" t="str">
            <v>-</v>
          </cell>
          <cell r="AM43" t="str">
            <v>-</v>
          </cell>
          <cell r="AN43" t="str">
            <v/>
          </cell>
          <cell r="AO43">
            <v>0</v>
          </cell>
          <cell r="AP43" t="str">
            <v>-</v>
          </cell>
          <cell r="AQ43">
            <v>0</v>
          </cell>
          <cell r="AR43" t="str">
            <v>-</v>
          </cell>
          <cell r="AS43">
            <v>0</v>
          </cell>
          <cell r="AT43" t="str">
            <v/>
          </cell>
          <cell r="AU43">
            <v>0</v>
          </cell>
          <cell r="AV43" t="str">
            <v>-</v>
          </cell>
          <cell r="AW43">
            <v>0</v>
          </cell>
          <cell r="AX43" t="str">
            <v>-</v>
          </cell>
          <cell r="AY43">
            <v>0</v>
          </cell>
          <cell r="AZ43" t="str">
            <v/>
          </cell>
          <cell r="BA43">
            <v>0</v>
          </cell>
          <cell r="BB43" t="str">
            <v>-</v>
          </cell>
          <cell r="BC43">
            <v>0</v>
          </cell>
          <cell r="BD43" t="str">
            <v>-</v>
          </cell>
          <cell r="BE43">
            <v>0</v>
          </cell>
          <cell r="BF43" t="str">
            <v/>
          </cell>
          <cell r="BG43">
            <v>0</v>
          </cell>
          <cell r="BH43" t="str">
            <v>-</v>
          </cell>
          <cell r="BI43">
            <v>0</v>
          </cell>
          <cell r="BJ43" t="str">
            <v>-</v>
          </cell>
          <cell r="BK43">
            <v>0</v>
          </cell>
          <cell r="BL43">
            <v>0</v>
          </cell>
          <cell r="BM43" t="str">
            <v>-</v>
          </cell>
          <cell r="BN43">
            <v>15</v>
          </cell>
          <cell r="BO43" t="str">
            <v/>
          </cell>
          <cell r="BP43">
            <v>0</v>
          </cell>
          <cell r="BQ43">
            <v>0</v>
          </cell>
          <cell r="BR43" t="str">
            <v>-</v>
          </cell>
          <cell r="BS43">
            <v>0</v>
          </cell>
          <cell r="BT43">
            <v>0</v>
          </cell>
          <cell r="BU43" t="str">
            <v>-</v>
          </cell>
        </row>
        <row r="44">
          <cell r="A44" t="str">
            <v>10318RET</v>
          </cell>
          <cell r="B44">
            <v>10318</v>
          </cell>
          <cell r="C44" t="str">
            <v>RET</v>
          </cell>
          <cell r="D44" t="str">
            <v>Cooling</v>
          </cell>
          <cell r="E44" t="str">
            <v>Wall Insulation</v>
          </cell>
          <cell r="F44" t="str">
            <v>R</v>
          </cell>
          <cell r="G44" t="str">
            <v>Y</v>
          </cell>
          <cell r="M44" t="str">
            <v>RET</v>
          </cell>
          <cell r="N44" t="str">
            <v>Wall Insulation with R-value of 8.6</v>
          </cell>
          <cell r="O44">
            <v>2021</v>
          </cell>
          <cell r="P44">
            <v>2030</v>
          </cell>
          <cell r="Q44" t="str">
            <v>Single Family</v>
          </cell>
          <cell r="R44" t="str">
            <v>SqFt of Insulation</v>
          </cell>
          <cell r="S44">
            <v>0</v>
          </cell>
          <cell r="T44">
            <v>0</v>
          </cell>
          <cell r="U44">
            <v>0</v>
          </cell>
          <cell r="V44">
            <v>5.9790854101634183E-3</v>
          </cell>
          <cell r="W44">
            <v>0.41095890410958913</v>
          </cell>
          <cell r="X44" t="str">
            <v>-</v>
          </cell>
          <cell r="Y44" t="str">
            <v>1,2,5</v>
          </cell>
          <cell r="Z44" t="str">
            <v>1,2,5</v>
          </cell>
          <cell r="AA44">
            <v>0</v>
          </cell>
          <cell r="AB44">
            <v>0</v>
          </cell>
          <cell r="AC44">
            <v>0</v>
          </cell>
          <cell r="AD44">
            <v>0</v>
          </cell>
          <cell r="AE44">
            <v>55</v>
          </cell>
          <cell r="AF44">
            <v>55</v>
          </cell>
          <cell r="AG44">
            <v>0</v>
          </cell>
          <cell r="AH44">
            <v>0</v>
          </cell>
          <cell r="AI44">
            <v>0</v>
          </cell>
          <cell r="AJ44">
            <v>0</v>
          </cell>
          <cell r="AK44">
            <v>0</v>
          </cell>
          <cell r="AL44" t="str">
            <v>-</v>
          </cell>
          <cell r="AM44" t="str">
            <v>-</v>
          </cell>
          <cell r="AN44" t="str">
            <v/>
          </cell>
          <cell r="AO44">
            <v>0</v>
          </cell>
          <cell r="AP44" t="str">
            <v>-</v>
          </cell>
          <cell r="AQ44">
            <v>0</v>
          </cell>
          <cell r="AR44" t="str">
            <v>-</v>
          </cell>
          <cell r="AS44">
            <v>0</v>
          </cell>
          <cell r="AT44" t="str">
            <v/>
          </cell>
          <cell r="AU44">
            <v>0</v>
          </cell>
          <cell r="AV44" t="str">
            <v>-</v>
          </cell>
          <cell r="AW44">
            <v>0</v>
          </cell>
          <cell r="AX44" t="str">
            <v>-</v>
          </cell>
          <cell r="AY44">
            <v>0</v>
          </cell>
          <cell r="AZ44" t="str">
            <v/>
          </cell>
          <cell r="BA44">
            <v>0</v>
          </cell>
          <cell r="BB44" t="str">
            <v>-</v>
          </cell>
          <cell r="BC44">
            <v>0</v>
          </cell>
          <cell r="BD44" t="str">
            <v>-</v>
          </cell>
          <cell r="BE44">
            <v>0</v>
          </cell>
          <cell r="BF44" t="str">
            <v/>
          </cell>
          <cell r="BG44">
            <v>0</v>
          </cell>
          <cell r="BH44" t="str">
            <v>-</v>
          </cell>
          <cell r="BI44">
            <v>0</v>
          </cell>
          <cell r="BJ44" t="str">
            <v>-</v>
          </cell>
          <cell r="BK44">
            <v>0</v>
          </cell>
          <cell r="BL44">
            <v>0</v>
          </cell>
          <cell r="BM44" t="str">
            <v>-</v>
          </cell>
          <cell r="BN44">
            <v>15</v>
          </cell>
          <cell r="BO44" t="str">
            <v/>
          </cell>
          <cell r="BP44">
            <v>0</v>
          </cell>
          <cell r="BQ44">
            <v>0</v>
          </cell>
          <cell r="BR44" t="str">
            <v>-</v>
          </cell>
          <cell r="BS44">
            <v>0</v>
          </cell>
          <cell r="BT44">
            <v>0</v>
          </cell>
          <cell r="BU44" t="str">
            <v>-</v>
          </cell>
        </row>
        <row r="45">
          <cell r="A45" t="str">
            <v>10319RET</v>
          </cell>
          <cell r="B45">
            <v>10319</v>
          </cell>
          <cell r="C45" t="str">
            <v>RET</v>
          </cell>
          <cell r="D45" t="str">
            <v>Cooling</v>
          </cell>
          <cell r="E45" t="str">
            <v>Attic Insulation</v>
          </cell>
          <cell r="F45" t="str">
            <v>R</v>
          </cell>
          <cell r="G45" t="str">
            <v>Y</v>
          </cell>
          <cell r="M45" t="str">
            <v>RET</v>
          </cell>
          <cell r="N45" t="str">
            <v>Attic Insulation with R-value of 18.6</v>
          </cell>
          <cell r="O45">
            <v>2021</v>
          </cell>
          <cell r="P45">
            <v>2030</v>
          </cell>
          <cell r="Q45" t="str">
            <v>Single Family</v>
          </cell>
          <cell r="R45" t="str">
            <v>SqFt of Insulation</v>
          </cell>
          <cell r="S45">
            <v>0</v>
          </cell>
          <cell r="T45">
            <v>0</v>
          </cell>
          <cell r="U45">
            <v>0</v>
          </cell>
          <cell r="V45">
            <v>4.1734899620809755E-3</v>
          </cell>
          <cell r="W45">
            <v>0.62040816326530612</v>
          </cell>
          <cell r="X45" t="str">
            <v>-</v>
          </cell>
          <cell r="Y45" t="str">
            <v>1,2,5</v>
          </cell>
          <cell r="Z45" t="str">
            <v>1,2,5</v>
          </cell>
          <cell r="AA45">
            <v>0</v>
          </cell>
          <cell r="AB45">
            <v>0</v>
          </cell>
          <cell r="AC45">
            <v>0</v>
          </cell>
          <cell r="AD45">
            <v>0</v>
          </cell>
          <cell r="AE45">
            <v>55</v>
          </cell>
          <cell r="AF45">
            <v>55</v>
          </cell>
          <cell r="AG45">
            <v>0</v>
          </cell>
          <cell r="AH45">
            <v>0</v>
          </cell>
          <cell r="AI45">
            <v>0</v>
          </cell>
          <cell r="AJ45">
            <v>0</v>
          </cell>
          <cell r="AK45">
            <v>0</v>
          </cell>
          <cell r="AL45" t="str">
            <v>-</v>
          </cell>
          <cell r="AM45" t="str">
            <v>-</v>
          </cell>
          <cell r="AN45" t="str">
            <v/>
          </cell>
          <cell r="AO45">
            <v>0</v>
          </cell>
          <cell r="AP45" t="str">
            <v>-</v>
          </cell>
          <cell r="AQ45">
            <v>0</v>
          </cell>
          <cell r="AR45" t="str">
            <v>-</v>
          </cell>
          <cell r="AS45">
            <v>0</v>
          </cell>
          <cell r="AT45" t="str">
            <v/>
          </cell>
          <cell r="AU45">
            <v>0</v>
          </cell>
          <cell r="AV45" t="str">
            <v>-</v>
          </cell>
          <cell r="AW45">
            <v>0</v>
          </cell>
          <cell r="AX45" t="str">
            <v>-</v>
          </cell>
          <cell r="AY45">
            <v>0</v>
          </cell>
          <cell r="AZ45" t="str">
            <v/>
          </cell>
          <cell r="BA45">
            <v>0</v>
          </cell>
          <cell r="BB45" t="str">
            <v>-</v>
          </cell>
          <cell r="BC45">
            <v>0</v>
          </cell>
          <cell r="BD45" t="str">
            <v>-</v>
          </cell>
          <cell r="BE45">
            <v>0</v>
          </cell>
          <cell r="BF45" t="str">
            <v/>
          </cell>
          <cell r="BG45">
            <v>0</v>
          </cell>
          <cell r="BH45" t="str">
            <v>-</v>
          </cell>
          <cell r="BI45">
            <v>0</v>
          </cell>
          <cell r="BJ45" t="str">
            <v>-</v>
          </cell>
          <cell r="BK45">
            <v>0</v>
          </cell>
          <cell r="BL45">
            <v>0</v>
          </cell>
          <cell r="BM45" t="str">
            <v>-</v>
          </cell>
          <cell r="BN45">
            <v>15</v>
          </cell>
          <cell r="BO45" t="str">
            <v/>
          </cell>
          <cell r="BP45">
            <v>0</v>
          </cell>
          <cell r="BQ45">
            <v>0</v>
          </cell>
          <cell r="BR45" t="str">
            <v>-</v>
          </cell>
          <cell r="BS45">
            <v>0</v>
          </cell>
          <cell r="BT45">
            <v>0</v>
          </cell>
          <cell r="BU45" t="str">
            <v>-</v>
          </cell>
        </row>
        <row r="46">
          <cell r="A46" t="str">
            <v>10320RET</v>
          </cell>
          <cell r="B46">
            <v>10320</v>
          </cell>
          <cell r="C46" t="str">
            <v>RET</v>
          </cell>
          <cell r="D46" t="str">
            <v>Cooling</v>
          </cell>
          <cell r="E46" t="str">
            <v>ENERGY STAR Windows</v>
          </cell>
          <cell r="F46" t="str">
            <v>R</v>
          </cell>
          <cell r="G46" t="str">
            <v>Y</v>
          </cell>
          <cell r="M46" t="str">
            <v>RET</v>
          </cell>
          <cell r="N46" t="str">
            <v>Existing non-Energy Star Windows</v>
          </cell>
          <cell r="O46">
            <v>2021</v>
          </cell>
          <cell r="P46">
            <v>2030</v>
          </cell>
          <cell r="Q46" t="str">
            <v>Single Family</v>
          </cell>
          <cell r="R46" t="str">
            <v>per 100 sq ft of window</v>
          </cell>
          <cell r="S46">
            <v>0</v>
          </cell>
          <cell r="T46">
            <v>0</v>
          </cell>
          <cell r="U46">
            <v>0</v>
          </cell>
          <cell r="V46">
            <v>68.914765957446818</v>
          </cell>
          <cell r="W46">
            <v>0.12</v>
          </cell>
          <cell r="X46" t="str">
            <v>-</v>
          </cell>
          <cell r="Y46" t="str">
            <v>1,2,56</v>
          </cell>
          <cell r="Z46" t="str">
            <v>1,2,56</v>
          </cell>
          <cell r="AA46">
            <v>0</v>
          </cell>
          <cell r="AB46">
            <v>0</v>
          </cell>
          <cell r="AC46">
            <v>0</v>
          </cell>
          <cell r="AD46">
            <v>0</v>
          </cell>
          <cell r="AE46">
            <v>4</v>
          </cell>
          <cell r="AF46">
            <v>4</v>
          </cell>
          <cell r="AG46">
            <v>0</v>
          </cell>
          <cell r="AH46">
            <v>0</v>
          </cell>
          <cell r="AI46">
            <v>0</v>
          </cell>
          <cell r="AJ46">
            <v>0</v>
          </cell>
          <cell r="AK46">
            <v>0</v>
          </cell>
          <cell r="AL46" t="str">
            <v>-</v>
          </cell>
          <cell r="AM46" t="str">
            <v>-</v>
          </cell>
          <cell r="AN46" t="str">
            <v/>
          </cell>
          <cell r="AO46">
            <v>0</v>
          </cell>
          <cell r="AP46" t="str">
            <v>-</v>
          </cell>
          <cell r="AQ46">
            <v>0</v>
          </cell>
          <cell r="AR46" t="str">
            <v>-</v>
          </cell>
          <cell r="AS46">
            <v>0</v>
          </cell>
          <cell r="AT46" t="str">
            <v/>
          </cell>
          <cell r="AU46">
            <v>0</v>
          </cell>
          <cell r="AV46" t="str">
            <v>-</v>
          </cell>
          <cell r="AW46">
            <v>0</v>
          </cell>
          <cell r="AX46" t="str">
            <v>-</v>
          </cell>
          <cell r="AY46">
            <v>0</v>
          </cell>
          <cell r="AZ46" t="str">
            <v/>
          </cell>
          <cell r="BA46">
            <v>0</v>
          </cell>
          <cell r="BB46" t="str">
            <v>-</v>
          </cell>
          <cell r="BC46">
            <v>0</v>
          </cell>
          <cell r="BD46" t="str">
            <v>-</v>
          </cell>
          <cell r="BE46">
            <v>0</v>
          </cell>
          <cell r="BF46" t="str">
            <v/>
          </cell>
          <cell r="BG46">
            <v>0</v>
          </cell>
          <cell r="BH46" t="str">
            <v>-</v>
          </cell>
          <cell r="BI46">
            <v>0</v>
          </cell>
          <cell r="BJ46" t="str">
            <v>-</v>
          </cell>
          <cell r="BK46">
            <v>0</v>
          </cell>
          <cell r="BL46">
            <v>0</v>
          </cell>
          <cell r="BM46" t="str">
            <v>-</v>
          </cell>
          <cell r="BN46">
            <v>15</v>
          </cell>
          <cell r="BO46" t="str">
            <v/>
          </cell>
          <cell r="BP46">
            <v>0</v>
          </cell>
          <cell r="BQ46">
            <v>0</v>
          </cell>
          <cell r="BR46" t="str">
            <v>-</v>
          </cell>
          <cell r="BS46">
            <v>0</v>
          </cell>
          <cell r="BT46">
            <v>0</v>
          </cell>
          <cell r="BU46" t="str">
            <v>-</v>
          </cell>
        </row>
        <row r="47">
          <cell r="A47" t="str">
            <v>10401RET</v>
          </cell>
          <cell r="B47">
            <v>10401</v>
          </cell>
          <cell r="C47" t="str">
            <v>RET</v>
          </cell>
          <cell r="D47" t="str">
            <v>Exterior Lighting</v>
          </cell>
          <cell r="E47" t="str">
            <v>ENERGY STAR LED A-Line Lamp, Exterior</v>
          </cell>
          <cell r="F47" t="str">
            <v>R</v>
          </cell>
          <cell r="G47" t="str">
            <v>Y</v>
          </cell>
          <cell r="M47" t="str">
            <v>RET</v>
          </cell>
          <cell r="N47" t="str">
            <v>Existing exterior screw base general sevice lamp with weighted average 26.2W</v>
          </cell>
          <cell r="O47">
            <v>2021</v>
          </cell>
          <cell r="P47">
            <v>2030</v>
          </cell>
          <cell r="Q47" t="str">
            <v>Single Family</v>
          </cell>
          <cell r="R47" t="str">
            <v>Bulb</v>
          </cell>
          <cell r="S47">
            <v>0</v>
          </cell>
          <cell r="T47">
            <v>0</v>
          </cell>
          <cell r="U47">
            <v>0</v>
          </cell>
          <cell r="V47">
            <v>17.590811526835559</v>
          </cell>
          <cell r="W47">
            <v>0.41744080000000006</v>
          </cell>
          <cell r="X47" t="str">
            <v>-</v>
          </cell>
          <cell r="Y47">
            <v>2</v>
          </cell>
          <cell r="Z47">
            <v>2</v>
          </cell>
          <cell r="AA47">
            <v>0</v>
          </cell>
          <cell r="AB47">
            <v>0</v>
          </cell>
          <cell r="AC47">
            <v>0</v>
          </cell>
          <cell r="AD47">
            <v>0.28281810605556301</v>
          </cell>
          <cell r="AE47">
            <v>4</v>
          </cell>
          <cell r="AF47">
            <v>4</v>
          </cell>
          <cell r="AG47">
            <v>0</v>
          </cell>
          <cell r="AH47">
            <v>0</v>
          </cell>
          <cell r="AI47">
            <v>0</v>
          </cell>
          <cell r="AJ47">
            <v>0</v>
          </cell>
          <cell r="AK47">
            <v>0</v>
          </cell>
          <cell r="AL47" t="str">
            <v>-</v>
          </cell>
          <cell r="AM47" t="str">
            <v>-</v>
          </cell>
          <cell r="AN47" t="str">
            <v/>
          </cell>
          <cell r="AO47">
            <v>0</v>
          </cell>
          <cell r="AP47" t="str">
            <v>-</v>
          </cell>
          <cell r="AQ47">
            <v>0</v>
          </cell>
          <cell r="AR47" t="str">
            <v>-</v>
          </cell>
          <cell r="AS47">
            <v>0</v>
          </cell>
          <cell r="AT47" t="str">
            <v/>
          </cell>
          <cell r="AU47">
            <v>0</v>
          </cell>
          <cell r="AV47" t="str">
            <v>-</v>
          </cell>
          <cell r="AW47">
            <v>0</v>
          </cell>
          <cell r="AX47" t="str">
            <v>-</v>
          </cell>
          <cell r="AY47">
            <v>0</v>
          </cell>
          <cell r="AZ47" t="str">
            <v/>
          </cell>
          <cell r="BA47">
            <v>0</v>
          </cell>
          <cell r="BB47" t="str">
            <v>-</v>
          </cell>
          <cell r="BC47">
            <v>0</v>
          </cell>
          <cell r="BD47" t="str">
            <v>-</v>
          </cell>
          <cell r="BE47">
            <v>0</v>
          </cell>
          <cell r="BF47" t="str">
            <v/>
          </cell>
          <cell r="BG47">
            <v>0</v>
          </cell>
          <cell r="BH47" t="str">
            <v>-</v>
          </cell>
          <cell r="BI47">
            <v>0</v>
          </cell>
          <cell r="BJ47" t="str">
            <v>-</v>
          </cell>
          <cell r="BK47">
            <v>0</v>
          </cell>
          <cell r="BL47">
            <v>0</v>
          </cell>
          <cell r="BM47" t="str">
            <v>-</v>
          </cell>
          <cell r="BN47">
            <v>4</v>
          </cell>
          <cell r="BO47" t="str">
            <v/>
          </cell>
          <cell r="BP47">
            <v>0</v>
          </cell>
          <cell r="BQ47">
            <v>0</v>
          </cell>
          <cell r="BR47" t="str">
            <v>-</v>
          </cell>
          <cell r="BS47">
            <v>0</v>
          </cell>
          <cell r="BT47">
            <v>0</v>
          </cell>
          <cell r="BU47" t="str">
            <v>-</v>
          </cell>
        </row>
        <row r="48">
          <cell r="A48" t="str">
            <v>10402RET</v>
          </cell>
          <cell r="B48">
            <v>10402</v>
          </cell>
          <cell r="C48" t="str">
            <v>RET</v>
          </cell>
          <cell r="D48" t="str">
            <v>Exterior Lighting</v>
          </cell>
          <cell r="E48" t="str">
            <v>ENERGY STAR LED PAR/Flood Lamp Lamp, Exterior</v>
          </cell>
          <cell r="F48" t="str">
            <v>R</v>
          </cell>
          <cell r="G48" t="str">
            <v>Y</v>
          </cell>
          <cell r="M48" t="str">
            <v>RET</v>
          </cell>
          <cell r="N48" t="str">
            <v>Existing 28W exterior screw base reflector lamp.</v>
          </cell>
          <cell r="O48">
            <v>2021</v>
          </cell>
          <cell r="P48">
            <v>2030</v>
          </cell>
          <cell r="Q48" t="str">
            <v>Single Family</v>
          </cell>
          <cell r="R48" t="str">
            <v>Bulb</v>
          </cell>
          <cell r="S48">
            <v>0</v>
          </cell>
          <cell r="T48">
            <v>0</v>
          </cell>
          <cell r="U48">
            <v>0</v>
          </cell>
          <cell r="V48">
            <v>18.771477894400004</v>
          </cell>
          <cell r="W48">
            <v>0.41744080000000006</v>
          </cell>
          <cell r="X48" t="str">
            <v>-</v>
          </cell>
          <cell r="Y48">
            <v>2</v>
          </cell>
          <cell r="Z48">
            <v>2</v>
          </cell>
          <cell r="AA48">
            <v>0</v>
          </cell>
          <cell r="AB48">
            <v>0</v>
          </cell>
          <cell r="AC48">
            <v>0</v>
          </cell>
          <cell r="AD48">
            <v>0.2354636126609187</v>
          </cell>
          <cell r="AE48">
            <v>4</v>
          </cell>
          <cell r="AF48">
            <v>4</v>
          </cell>
          <cell r="AG48">
            <v>0</v>
          </cell>
          <cell r="AH48">
            <v>0</v>
          </cell>
          <cell r="AI48">
            <v>0</v>
          </cell>
          <cell r="AJ48">
            <v>0</v>
          </cell>
          <cell r="AK48">
            <v>0</v>
          </cell>
          <cell r="AL48" t="str">
            <v>-</v>
          </cell>
          <cell r="AM48" t="str">
            <v>-</v>
          </cell>
          <cell r="AN48" t="str">
            <v/>
          </cell>
          <cell r="AO48">
            <v>0</v>
          </cell>
          <cell r="AP48" t="str">
            <v>-</v>
          </cell>
          <cell r="AQ48">
            <v>0</v>
          </cell>
          <cell r="AR48" t="str">
            <v>-</v>
          </cell>
          <cell r="AS48">
            <v>0</v>
          </cell>
          <cell r="AT48" t="str">
            <v/>
          </cell>
          <cell r="AU48">
            <v>0</v>
          </cell>
          <cell r="AV48" t="str">
            <v>-</v>
          </cell>
          <cell r="AW48">
            <v>0</v>
          </cell>
          <cell r="AX48" t="str">
            <v>-</v>
          </cell>
          <cell r="AY48">
            <v>0</v>
          </cell>
          <cell r="AZ48" t="str">
            <v/>
          </cell>
          <cell r="BA48">
            <v>0</v>
          </cell>
          <cell r="BB48" t="str">
            <v>-</v>
          </cell>
          <cell r="BC48">
            <v>0</v>
          </cell>
          <cell r="BD48" t="str">
            <v>-</v>
          </cell>
          <cell r="BE48">
            <v>0</v>
          </cell>
          <cell r="BF48" t="str">
            <v/>
          </cell>
          <cell r="BG48">
            <v>0</v>
          </cell>
          <cell r="BH48" t="str">
            <v>-</v>
          </cell>
          <cell r="BI48">
            <v>0</v>
          </cell>
          <cell r="BJ48" t="str">
            <v>-</v>
          </cell>
          <cell r="BK48">
            <v>0</v>
          </cell>
          <cell r="BL48">
            <v>0</v>
          </cell>
          <cell r="BM48" t="str">
            <v>-</v>
          </cell>
          <cell r="BN48">
            <v>4</v>
          </cell>
          <cell r="BO48" t="str">
            <v/>
          </cell>
          <cell r="BP48">
            <v>0</v>
          </cell>
          <cell r="BQ48">
            <v>0</v>
          </cell>
          <cell r="BR48" t="str">
            <v>-</v>
          </cell>
          <cell r="BS48">
            <v>0</v>
          </cell>
          <cell r="BT48">
            <v>0</v>
          </cell>
          <cell r="BU48" t="str">
            <v>-</v>
          </cell>
        </row>
        <row r="49">
          <cell r="A49" t="str">
            <v>10403RET</v>
          </cell>
          <cell r="B49">
            <v>10403</v>
          </cell>
          <cell r="C49" t="str">
            <v>RET</v>
          </cell>
          <cell r="D49" t="str">
            <v>Exterior Lighting</v>
          </cell>
          <cell r="E49" t="str">
            <v>ENERGY STAR LED Globe Lamp, Exterior</v>
          </cell>
          <cell r="F49" t="str">
            <v>R</v>
          </cell>
          <cell r="G49" t="str">
            <v>Y</v>
          </cell>
          <cell r="M49" t="str">
            <v>RET</v>
          </cell>
          <cell r="N49" t="str">
            <v>Existing exterior screw base globe lamp with weighted average 11W</v>
          </cell>
          <cell r="O49">
            <v>2021</v>
          </cell>
          <cell r="P49">
            <v>2030</v>
          </cell>
          <cell r="Q49" t="str">
            <v>Single Family</v>
          </cell>
          <cell r="R49" t="str">
            <v>Bulb</v>
          </cell>
          <cell r="S49">
            <v>0</v>
          </cell>
          <cell r="T49">
            <v>0</v>
          </cell>
          <cell r="U49">
            <v>0</v>
          </cell>
          <cell r="V49">
            <v>7.3745091728000016</v>
          </cell>
          <cell r="W49">
            <v>0.4174408</v>
          </cell>
          <cell r="X49" t="str">
            <v>-</v>
          </cell>
          <cell r="Y49">
            <v>2</v>
          </cell>
          <cell r="Z49">
            <v>2</v>
          </cell>
          <cell r="AA49">
            <v>0</v>
          </cell>
          <cell r="AB49">
            <v>0</v>
          </cell>
          <cell r="AC49">
            <v>0</v>
          </cell>
          <cell r="AD49">
            <v>0.74852439269583693</v>
          </cell>
          <cell r="AE49">
            <v>4</v>
          </cell>
          <cell r="AF49">
            <v>4</v>
          </cell>
          <cell r="AG49">
            <v>0</v>
          </cell>
          <cell r="AH49">
            <v>0</v>
          </cell>
          <cell r="AI49">
            <v>0</v>
          </cell>
          <cell r="AJ49">
            <v>0</v>
          </cell>
          <cell r="AK49">
            <v>0</v>
          </cell>
          <cell r="AL49" t="str">
            <v>-</v>
          </cell>
          <cell r="AM49" t="str">
            <v>-</v>
          </cell>
          <cell r="AN49" t="str">
            <v/>
          </cell>
          <cell r="AO49">
            <v>0</v>
          </cell>
          <cell r="AP49" t="str">
            <v>-</v>
          </cell>
          <cell r="AQ49">
            <v>0</v>
          </cell>
          <cell r="AR49" t="str">
            <v>-</v>
          </cell>
          <cell r="AS49">
            <v>0</v>
          </cell>
          <cell r="AT49" t="str">
            <v/>
          </cell>
          <cell r="AU49">
            <v>0</v>
          </cell>
          <cell r="AV49" t="str">
            <v>-</v>
          </cell>
          <cell r="AW49">
            <v>0</v>
          </cell>
          <cell r="AX49" t="str">
            <v>-</v>
          </cell>
          <cell r="AY49">
            <v>0</v>
          </cell>
          <cell r="AZ49" t="str">
            <v/>
          </cell>
          <cell r="BA49">
            <v>0</v>
          </cell>
          <cell r="BB49" t="str">
            <v>-</v>
          </cell>
          <cell r="BC49">
            <v>0</v>
          </cell>
          <cell r="BD49" t="str">
            <v>-</v>
          </cell>
          <cell r="BE49">
            <v>0</v>
          </cell>
          <cell r="BF49" t="str">
            <v/>
          </cell>
          <cell r="BG49">
            <v>0</v>
          </cell>
          <cell r="BH49" t="str">
            <v>-</v>
          </cell>
          <cell r="BI49">
            <v>0</v>
          </cell>
          <cell r="BJ49" t="str">
            <v>-</v>
          </cell>
          <cell r="BK49">
            <v>0</v>
          </cell>
          <cell r="BL49">
            <v>0</v>
          </cell>
          <cell r="BM49" t="str">
            <v>-</v>
          </cell>
          <cell r="BN49">
            <v>4</v>
          </cell>
          <cell r="BO49" t="str">
            <v/>
          </cell>
          <cell r="BP49">
            <v>0</v>
          </cell>
          <cell r="BQ49">
            <v>0</v>
          </cell>
          <cell r="BR49" t="str">
            <v>-</v>
          </cell>
          <cell r="BS49">
            <v>0</v>
          </cell>
          <cell r="BT49">
            <v>0</v>
          </cell>
          <cell r="BU49" t="str">
            <v>-</v>
          </cell>
        </row>
        <row r="50">
          <cell r="A50" t="str">
            <v>10404RET</v>
          </cell>
          <cell r="B50">
            <v>10404</v>
          </cell>
          <cell r="C50" t="str">
            <v>RET</v>
          </cell>
          <cell r="D50" t="str">
            <v>Exterior Lighting</v>
          </cell>
          <cell r="E50" t="str">
            <v>ENERGY STAR LED Outdoor Fixture</v>
          </cell>
          <cell r="F50" t="str">
            <v>R</v>
          </cell>
          <cell r="G50" t="str">
            <v>Y</v>
          </cell>
          <cell r="M50" t="str">
            <v>RET</v>
          </cell>
          <cell r="N50" t="str">
            <v>68W General service incandescent fixtures</v>
          </cell>
          <cell r="O50">
            <v>2021</v>
          </cell>
          <cell r="P50">
            <v>2030</v>
          </cell>
          <cell r="Q50" t="str">
            <v>Single Family</v>
          </cell>
          <cell r="R50" t="str">
            <v>Fixture</v>
          </cell>
          <cell r="S50">
            <v>0</v>
          </cell>
          <cell r="T50">
            <v>0</v>
          </cell>
          <cell r="U50">
            <v>0</v>
          </cell>
          <cell r="V50">
            <v>31.082641968000011</v>
          </cell>
          <cell r="W50">
            <v>0.41744080000000011</v>
          </cell>
          <cell r="X50" t="str">
            <v>-</v>
          </cell>
          <cell r="Y50">
            <v>2</v>
          </cell>
          <cell r="Z50">
            <v>2</v>
          </cell>
          <cell r="AA50">
            <v>0</v>
          </cell>
          <cell r="AB50">
            <v>0</v>
          </cell>
          <cell r="AC50">
            <v>0</v>
          </cell>
          <cell r="AD50">
            <v>0.54692905504949429</v>
          </cell>
          <cell r="AE50">
            <v>4</v>
          </cell>
          <cell r="AF50">
            <v>4</v>
          </cell>
          <cell r="AG50">
            <v>0</v>
          </cell>
          <cell r="AH50">
            <v>0</v>
          </cell>
          <cell r="AI50">
            <v>0</v>
          </cell>
          <cell r="AJ50">
            <v>0</v>
          </cell>
          <cell r="AK50">
            <v>0</v>
          </cell>
          <cell r="AL50" t="str">
            <v>-</v>
          </cell>
          <cell r="AM50" t="str">
            <v>-</v>
          </cell>
          <cell r="AN50" t="str">
            <v/>
          </cell>
          <cell r="AO50">
            <v>0</v>
          </cell>
          <cell r="AP50" t="str">
            <v>-</v>
          </cell>
          <cell r="AQ50">
            <v>0</v>
          </cell>
          <cell r="AR50" t="str">
            <v>-</v>
          </cell>
          <cell r="AS50">
            <v>0</v>
          </cell>
          <cell r="AT50" t="str">
            <v/>
          </cell>
          <cell r="AU50">
            <v>0</v>
          </cell>
          <cell r="AV50" t="str">
            <v>-</v>
          </cell>
          <cell r="AW50">
            <v>0</v>
          </cell>
          <cell r="AX50" t="str">
            <v>-</v>
          </cell>
          <cell r="AY50">
            <v>0</v>
          </cell>
          <cell r="AZ50" t="str">
            <v/>
          </cell>
          <cell r="BA50">
            <v>0</v>
          </cell>
          <cell r="BB50" t="str">
            <v>-</v>
          </cell>
          <cell r="BC50">
            <v>0</v>
          </cell>
          <cell r="BD50" t="str">
            <v>-</v>
          </cell>
          <cell r="BE50">
            <v>0</v>
          </cell>
          <cell r="BF50" t="str">
            <v/>
          </cell>
          <cell r="BG50">
            <v>0</v>
          </cell>
          <cell r="BH50" t="str">
            <v>-</v>
          </cell>
          <cell r="BI50">
            <v>0</v>
          </cell>
          <cell r="BJ50" t="str">
            <v>-</v>
          </cell>
          <cell r="BK50">
            <v>0</v>
          </cell>
          <cell r="BL50">
            <v>0</v>
          </cell>
          <cell r="BM50" t="str">
            <v>-</v>
          </cell>
          <cell r="BN50">
            <v>15</v>
          </cell>
          <cell r="BO50" t="str">
            <v/>
          </cell>
          <cell r="BP50">
            <v>0</v>
          </cell>
          <cell r="BQ50">
            <v>0</v>
          </cell>
          <cell r="BR50" t="str">
            <v>-</v>
          </cell>
          <cell r="BS50">
            <v>0</v>
          </cell>
          <cell r="BT50">
            <v>0</v>
          </cell>
          <cell r="BU50" t="str">
            <v>-</v>
          </cell>
        </row>
        <row r="51">
          <cell r="A51" t="str">
            <v>10405RET</v>
          </cell>
          <cell r="B51">
            <v>10405</v>
          </cell>
          <cell r="C51" t="str">
            <v>RET</v>
          </cell>
          <cell r="D51" t="str">
            <v>Exterior Lighting</v>
          </cell>
          <cell r="E51" t="str">
            <v>LED Holiday Lights</v>
          </cell>
          <cell r="F51" t="str">
            <v>R</v>
          </cell>
          <cell r="G51" t="str">
            <v>Y</v>
          </cell>
          <cell r="M51" t="str">
            <v>RET</v>
          </cell>
          <cell r="N51" t="str">
            <v>Failed or working interior incandescent holiday light strings. Assumes 50 bulbs per string with a weighted average of 174.5W per string.</v>
          </cell>
          <cell r="O51">
            <v>2021</v>
          </cell>
          <cell r="P51">
            <v>2030</v>
          </cell>
          <cell r="Q51" t="str">
            <v>Single Family</v>
          </cell>
          <cell r="R51" t="str">
            <v>Light String</v>
          </cell>
          <cell r="S51">
            <v>0</v>
          </cell>
          <cell r="T51">
            <v>0</v>
          </cell>
          <cell r="U51">
            <v>0</v>
          </cell>
          <cell r="V51">
            <v>21.225000000000001</v>
          </cell>
          <cell r="W51">
            <v>0.82523809523809522</v>
          </cell>
          <cell r="X51" t="str">
            <v>-</v>
          </cell>
          <cell r="Y51">
            <v>2</v>
          </cell>
          <cell r="Z51">
            <v>2</v>
          </cell>
          <cell r="AA51">
            <v>0</v>
          </cell>
          <cell r="AB51">
            <v>0</v>
          </cell>
          <cell r="AC51">
            <v>0</v>
          </cell>
          <cell r="AD51">
            <v>4.0358695652173912E-2</v>
          </cell>
          <cell r="AE51">
            <v>4</v>
          </cell>
          <cell r="AF51">
            <v>4</v>
          </cell>
          <cell r="AG51">
            <v>0</v>
          </cell>
          <cell r="AH51">
            <v>0</v>
          </cell>
          <cell r="AI51">
            <v>0</v>
          </cell>
          <cell r="AJ51">
            <v>0</v>
          </cell>
          <cell r="AK51">
            <v>0</v>
          </cell>
          <cell r="AL51" t="str">
            <v>-</v>
          </cell>
          <cell r="AM51" t="str">
            <v>-</v>
          </cell>
          <cell r="AN51" t="str">
            <v/>
          </cell>
          <cell r="AO51">
            <v>0</v>
          </cell>
          <cell r="AP51" t="str">
            <v>-</v>
          </cell>
          <cell r="AQ51">
            <v>0</v>
          </cell>
          <cell r="AR51" t="str">
            <v>-</v>
          </cell>
          <cell r="AS51">
            <v>0</v>
          </cell>
          <cell r="AT51" t="str">
            <v/>
          </cell>
          <cell r="AU51">
            <v>0</v>
          </cell>
          <cell r="AV51" t="str">
            <v>-</v>
          </cell>
          <cell r="AW51">
            <v>0</v>
          </cell>
          <cell r="AX51" t="str">
            <v>-</v>
          </cell>
          <cell r="AY51">
            <v>0</v>
          </cell>
          <cell r="AZ51" t="str">
            <v/>
          </cell>
          <cell r="BA51">
            <v>0</v>
          </cell>
          <cell r="BB51" t="str">
            <v>-</v>
          </cell>
          <cell r="BC51">
            <v>0</v>
          </cell>
          <cell r="BD51" t="str">
            <v>-</v>
          </cell>
          <cell r="BE51">
            <v>0</v>
          </cell>
          <cell r="BF51" t="str">
            <v/>
          </cell>
          <cell r="BG51">
            <v>0</v>
          </cell>
          <cell r="BH51" t="str">
            <v>-</v>
          </cell>
          <cell r="BI51">
            <v>0</v>
          </cell>
          <cell r="BJ51" t="str">
            <v>-</v>
          </cell>
          <cell r="BK51">
            <v>0</v>
          </cell>
          <cell r="BL51">
            <v>0</v>
          </cell>
          <cell r="BM51" t="str">
            <v>-</v>
          </cell>
          <cell r="BN51">
            <v>10</v>
          </cell>
          <cell r="BO51" t="str">
            <v/>
          </cell>
          <cell r="BP51">
            <v>0</v>
          </cell>
          <cell r="BQ51">
            <v>0</v>
          </cell>
          <cell r="BR51" t="str">
            <v>-</v>
          </cell>
          <cell r="BS51">
            <v>0</v>
          </cell>
          <cell r="BT51">
            <v>0</v>
          </cell>
          <cell r="BU51" t="str">
            <v>-</v>
          </cell>
        </row>
        <row r="52">
          <cell r="A52" t="str">
            <v>10406RET</v>
          </cell>
          <cell r="B52">
            <v>10406</v>
          </cell>
          <cell r="C52" t="str">
            <v>RET</v>
          </cell>
          <cell r="D52" t="str">
            <v>Exterior Lighting</v>
          </cell>
          <cell r="E52" t="str">
            <v>Lighting Controls</v>
          </cell>
          <cell r="F52" t="str">
            <v>R</v>
          </cell>
          <cell r="G52" t="str">
            <v>Y</v>
          </cell>
          <cell r="M52" t="str">
            <v>RET</v>
          </cell>
          <cell r="N52" t="str">
            <v>Lighting with no controls</v>
          </cell>
          <cell r="O52">
            <v>2021</v>
          </cell>
          <cell r="P52">
            <v>2030</v>
          </cell>
          <cell r="Q52" t="str">
            <v>Single Family</v>
          </cell>
          <cell r="R52" t="str">
            <v xml:space="preserve">Control </v>
          </cell>
          <cell r="S52">
            <v>0</v>
          </cell>
          <cell r="T52">
            <v>0</v>
          </cell>
          <cell r="U52">
            <v>0</v>
          </cell>
          <cell r="V52">
            <v>50.829900000000009</v>
          </cell>
          <cell r="W52">
            <v>0.30000000000000004</v>
          </cell>
          <cell r="X52" t="str">
            <v>-</v>
          </cell>
          <cell r="Y52">
            <v>2</v>
          </cell>
          <cell r="Z52">
            <v>2</v>
          </cell>
          <cell r="AA52">
            <v>0</v>
          </cell>
          <cell r="AB52">
            <v>0</v>
          </cell>
          <cell r="AC52">
            <v>0</v>
          </cell>
          <cell r="AD52">
            <v>1.2509533430782538</v>
          </cell>
          <cell r="AE52">
            <v>4</v>
          </cell>
          <cell r="AF52">
            <v>4</v>
          </cell>
          <cell r="AG52">
            <v>0</v>
          </cell>
          <cell r="AH52">
            <v>0</v>
          </cell>
          <cell r="AI52">
            <v>0</v>
          </cell>
          <cell r="AJ52">
            <v>0</v>
          </cell>
          <cell r="AK52">
            <v>0</v>
          </cell>
          <cell r="AL52" t="str">
            <v>-</v>
          </cell>
          <cell r="AM52" t="str">
            <v>-</v>
          </cell>
          <cell r="AN52" t="str">
            <v/>
          </cell>
          <cell r="AO52">
            <v>0</v>
          </cell>
          <cell r="AP52" t="str">
            <v>-</v>
          </cell>
          <cell r="AQ52">
            <v>0</v>
          </cell>
          <cell r="AR52" t="str">
            <v>-</v>
          </cell>
          <cell r="AS52">
            <v>0</v>
          </cell>
          <cell r="AT52" t="str">
            <v/>
          </cell>
          <cell r="AU52">
            <v>0</v>
          </cell>
          <cell r="AV52" t="str">
            <v>-</v>
          </cell>
          <cell r="AW52">
            <v>0</v>
          </cell>
          <cell r="AX52" t="str">
            <v>-</v>
          </cell>
          <cell r="AY52">
            <v>0</v>
          </cell>
          <cell r="AZ52" t="str">
            <v/>
          </cell>
          <cell r="BA52">
            <v>0</v>
          </cell>
          <cell r="BB52" t="str">
            <v>-</v>
          </cell>
          <cell r="BC52">
            <v>0</v>
          </cell>
          <cell r="BD52" t="str">
            <v>-</v>
          </cell>
          <cell r="BE52">
            <v>0</v>
          </cell>
          <cell r="BF52" t="str">
            <v/>
          </cell>
          <cell r="BG52">
            <v>0</v>
          </cell>
          <cell r="BH52" t="str">
            <v>-</v>
          </cell>
          <cell r="BI52">
            <v>0</v>
          </cell>
          <cell r="BJ52" t="str">
            <v>-</v>
          </cell>
          <cell r="BK52">
            <v>0</v>
          </cell>
          <cell r="BL52">
            <v>0</v>
          </cell>
          <cell r="BM52" t="str">
            <v>-</v>
          </cell>
          <cell r="BN52">
            <v>10</v>
          </cell>
          <cell r="BO52" t="str">
            <v/>
          </cell>
          <cell r="BP52">
            <v>0</v>
          </cell>
          <cell r="BQ52">
            <v>0</v>
          </cell>
          <cell r="BR52" t="str">
            <v>-</v>
          </cell>
          <cell r="BS52">
            <v>0</v>
          </cell>
          <cell r="BT52">
            <v>0</v>
          </cell>
          <cell r="BU52" t="str">
            <v>-</v>
          </cell>
        </row>
        <row r="53">
          <cell r="A53" t="str">
            <v>10501RET</v>
          </cell>
          <cell r="B53">
            <v>10501</v>
          </cell>
          <cell r="C53" t="str">
            <v>RET</v>
          </cell>
          <cell r="D53" t="str">
            <v>Interior Lighting</v>
          </cell>
          <cell r="E53" t="str">
            <v>ENERGY STAR LED A-Line Lamp, Interior</v>
          </cell>
          <cell r="F53" t="str">
            <v>R</v>
          </cell>
          <cell r="G53" t="str">
            <v>Y</v>
          </cell>
          <cell r="M53" t="str">
            <v>RET</v>
          </cell>
          <cell r="N53" t="str">
            <v>Existing interior screw base general sevice lamp with weighted average 26.2W</v>
          </cell>
          <cell r="O53">
            <v>2021</v>
          </cell>
          <cell r="P53">
            <v>2030</v>
          </cell>
          <cell r="Q53" t="str">
            <v>Single Family</v>
          </cell>
          <cell r="R53" t="str">
            <v>Bulb</v>
          </cell>
          <cell r="S53">
            <v>0</v>
          </cell>
          <cell r="T53">
            <v>0</v>
          </cell>
          <cell r="U53">
            <v>0</v>
          </cell>
          <cell r="V53">
            <v>11.993735131933335</v>
          </cell>
          <cell r="W53">
            <v>0.41744080000000006</v>
          </cell>
          <cell r="X53" t="str">
            <v>-</v>
          </cell>
          <cell r="Y53">
            <v>2</v>
          </cell>
          <cell r="Z53">
            <v>2</v>
          </cell>
          <cell r="AA53">
            <v>0</v>
          </cell>
          <cell r="AB53">
            <v>0</v>
          </cell>
          <cell r="AC53">
            <v>0</v>
          </cell>
          <cell r="AD53">
            <v>0.4147998888814925</v>
          </cell>
          <cell r="AE53">
            <v>4</v>
          </cell>
          <cell r="AF53">
            <v>4</v>
          </cell>
          <cell r="AG53">
            <v>0</v>
          </cell>
          <cell r="AH53">
            <v>0</v>
          </cell>
          <cell r="AI53">
            <v>0</v>
          </cell>
          <cell r="AJ53">
            <v>0</v>
          </cell>
          <cell r="AK53">
            <v>0</v>
          </cell>
          <cell r="AL53" t="str">
            <v>-</v>
          </cell>
          <cell r="AM53" t="str">
            <v>-</v>
          </cell>
          <cell r="AN53" t="str">
            <v/>
          </cell>
          <cell r="AO53">
            <v>0</v>
          </cell>
          <cell r="AP53" t="str">
            <v>-</v>
          </cell>
          <cell r="AQ53">
            <v>0</v>
          </cell>
          <cell r="AR53" t="str">
            <v>-</v>
          </cell>
          <cell r="AS53">
            <v>0</v>
          </cell>
          <cell r="AT53" t="str">
            <v/>
          </cell>
          <cell r="AU53">
            <v>0</v>
          </cell>
          <cell r="AV53" t="str">
            <v>-</v>
          </cell>
          <cell r="AW53">
            <v>0</v>
          </cell>
          <cell r="AX53" t="str">
            <v>-</v>
          </cell>
          <cell r="AY53">
            <v>0</v>
          </cell>
          <cell r="AZ53" t="str">
            <v/>
          </cell>
          <cell r="BA53">
            <v>0</v>
          </cell>
          <cell r="BB53" t="str">
            <v>-</v>
          </cell>
          <cell r="BC53">
            <v>0</v>
          </cell>
          <cell r="BD53" t="str">
            <v>-</v>
          </cell>
          <cell r="BE53">
            <v>0</v>
          </cell>
          <cell r="BF53" t="str">
            <v/>
          </cell>
          <cell r="BG53">
            <v>0</v>
          </cell>
          <cell r="BH53" t="str">
            <v>-</v>
          </cell>
          <cell r="BI53">
            <v>0</v>
          </cell>
          <cell r="BJ53" t="str">
            <v>-</v>
          </cell>
          <cell r="BK53">
            <v>0</v>
          </cell>
          <cell r="BL53">
            <v>0</v>
          </cell>
          <cell r="BM53" t="str">
            <v>-</v>
          </cell>
          <cell r="BN53">
            <v>4</v>
          </cell>
          <cell r="BO53" t="str">
            <v/>
          </cell>
          <cell r="BP53">
            <v>0</v>
          </cell>
          <cell r="BQ53">
            <v>0</v>
          </cell>
          <cell r="BR53" t="str">
            <v>-</v>
          </cell>
          <cell r="BS53">
            <v>0</v>
          </cell>
          <cell r="BT53">
            <v>0</v>
          </cell>
          <cell r="BU53" t="str">
            <v>-</v>
          </cell>
        </row>
        <row r="54">
          <cell r="A54" t="str">
            <v>10502RET</v>
          </cell>
          <cell r="B54">
            <v>10502</v>
          </cell>
          <cell r="C54" t="str">
            <v>RET</v>
          </cell>
          <cell r="D54" t="str">
            <v>Interior Lighting</v>
          </cell>
          <cell r="E54" t="str">
            <v>ENERGY STAR LED A-Line Lamp, Interior Multifamily Common Area</v>
          </cell>
          <cell r="F54" t="str">
            <v>R</v>
          </cell>
          <cell r="G54" t="str">
            <v>Y</v>
          </cell>
          <cell r="M54" t="str">
            <v>RET</v>
          </cell>
          <cell r="N54" t="str">
            <v>Existing interior screw base general sevice lamp with weighted average 26.2W</v>
          </cell>
          <cell r="O54">
            <v>2021</v>
          </cell>
          <cell r="P54">
            <v>2030</v>
          </cell>
          <cell r="Q54" t="str">
            <v>Multifamily</v>
          </cell>
          <cell r="R54" t="str">
            <v>Bulb</v>
          </cell>
          <cell r="S54">
            <v>0</v>
          </cell>
          <cell r="T54">
            <v>0</v>
          </cell>
          <cell r="U54">
            <v>0</v>
          </cell>
          <cell r="V54">
            <v>65.17143747488889</v>
          </cell>
          <cell r="W54">
            <v>0.41744080000000006</v>
          </cell>
          <cell r="X54" t="str">
            <v>-</v>
          </cell>
          <cell r="Y54">
            <v>2</v>
          </cell>
          <cell r="Z54">
            <v>2</v>
          </cell>
          <cell r="AA54">
            <v>0</v>
          </cell>
          <cell r="AB54">
            <v>0</v>
          </cell>
          <cell r="AC54">
            <v>0</v>
          </cell>
          <cell r="AD54">
            <v>7.6337122407602404E-2</v>
          </cell>
          <cell r="AE54">
            <v>4</v>
          </cell>
          <cell r="AF54">
            <v>4</v>
          </cell>
          <cell r="AG54">
            <v>0</v>
          </cell>
          <cell r="AH54">
            <v>0</v>
          </cell>
          <cell r="AI54">
            <v>0</v>
          </cell>
          <cell r="AJ54">
            <v>0</v>
          </cell>
          <cell r="AK54">
            <v>0</v>
          </cell>
          <cell r="AL54" t="str">
            <v>-</v>
          </cell>
          <cell r="AM54" t="str">
            <v>-</v>
          </cell>
          <cell r="AN54" t="str">
            <v/>
          </cell>
          <cell r="AO54">
            <v>0</v>
          </cell>
          <cell r="AP54" t="str">
            <v>-</v>
          </cell>
          <cell r="AQ54">
            <v>0</v>
          </cell>
          <cell r="AR54" t="str">
            <v>-</v>
          </cell>
          <cell r="AS54">
            <v>0</v>
          </cell>
          <cell r="AT54" t="str">
            <v/>
          </cell>
          <cell r="AU54">
            <v>0</v>
          </cell>
          <cell r="AV54" t="str">
            <v>-</v>
          </cell>
          <cell r="AW54">
            <v>0</v>
          </cell>
          <cell r="AX54" t="str">
            <v>-</v>
          </cell>
          <cell r="AY54">
            <v>0</v>
          </cell>
          <cell r="AZ54" t="str">
            <v/>
          </cell>
          <cell r="BA54">
            <v>0</v>
          </cell>
          <cell r="BB54" t="str">
            <v>-</v>
          </cell>
          <cell r="BC54">
            <v>0</v>
          </cell>
          <cell r="BD54" t="str">
            <v>-</v>
          </cell>
          <cell r="BE54">
            <v>0</v>
          </cell>
          <cell r="BF54" t="str">
            <v/>
          </cell>
          <cell r="BG54">
            <v>0</v>
          </cell>
          <cell r="BH54" t="str">
            <v>-</v>
          </cell>
          <cell r="BI54">
            <v>0</v>
          </cell>
          <cell r="BJ54" t="str">
            <v>-</v>
          </cell>
          <cell r="BK54">
            <v>0</v>
          </cell>
          <cell r="BL54">
            <v>0</v>
          </cell>
          <cell r="BM54" t="str">
            <v>-</v>
          </cell>
          <cell r="BN54">
            <v>4</v>
          </cell>
          <cell r="BO54" t="str">
            <v/>
          </cell>
          <cell r="BP54">
            <v>0</v>
          </cell>
          <cell r="BQ54">
            <v>0</v>
          </cell>
          <cell r="BR54" t="str">
            <v>-</v>
          </cell>
          <cell r="BS54">
            <v>0</v>
          </cell>
          <cell r="BT54">
            <v>0</v>
          </cell>
          <cell r="BU54" t="str">
            <v>-</v>
          </cell>
        </row>
        <row r="55">
          <cell r="A55" t="str">
            <v>10503RET</v>
          </cell>
          <cell r="B55">
            <v>10503</v>
          </cell>
          <cell r="C55" t="str">
            <v>RET</v>
          </cell>
          <cell r="D55" t="str">
            <v>Interior Lighting</v>
          </cell>
          <cell r="E55" t="str">
            <v>ENERGY STAR LED PAR/Flood Lamp Lamp, Interior</v>
          </cell>
          <cell r="F55" t="str">
            <v>R</v>
          </cell>
          <cell r="G55" t="str">
            <v>Y</v>
          </cell>
          <cell r="M55" t="str">
            <v>RET</v>
          </cell>
          <cell r="N55" t="str">
            <v>Existing 28W interior screw base reflector lamp.</v>
          </cell>
          <cell r="O55">
            <v>2021</v>
          </cell>
          <cell r="P55">
            <v>2030</v>
          </cell>
          <cell r="Q55" t="str">
            <v>Single Family</v>
          </cell>
          <cell r="R55" t="str">
            <v>Bulb</v>
          </cell>
          <cell r="S55">
            <v>0</v>
          </cell>
          <cell r="T55">
            <v>0</v>
          </cell>
          <cell r="U55">
            <v>0</v>
          </cell>
          <cell r="V55">
            <v>12.798734928000002</v>
          </cell>
          <cell r="W55">
            <v>0.41744080000000006</v>
          </cell>
          <cell r="X55" t="str">
            <v>-</v>
          </cell>
          <cell r="Y55">
            <v>2</v>
          </cell>
          <cell r="Z55">
            <v>2</v>
          </cell>
          <cell r="AA55">
            <v>0</v>
          </cell>
          <cell r="AB55">
            <v>0</v>
          </cell>
          <cell r="AC55">
            <v>0</v>
          </cell>
          <cell r="AD55">
            <v>0.34534663190268078</v>
          </cell>
          <cell r="AE55">
            <v>4</v>
          </cell>
          <cell r="AF55">
            <v>4</v>
          </cell>
          <cell r="AG55">
            <v>0</v>
          </cell>
          <cell r="AH55">
            <v>0</v>
          </cell>
          <cell r="AI55">
            <v>0</v>
          </cell>
          <cell r="AJ55">
            <v>0</v>
          </cell>
          <cell r="AK55">
            <v>0</v>
          </cell>
          <cell r="AL55" t="str">
            <v>-</v>
          </cell>
          <cell r="AM55" t="str">
            <v>-</v>
          </cell>
          <cell r="AN55" t="str">
            <v/>
          </cell>
          <cell r="AO55">
            <v>0</v>
          </cell>
          <cell r="AP55" t="str">
            <v>-</v>
          </cell>
          <cell r="AQ55">
            <v>0</v>
          </cell>
          <cell r="AR55" t="str">
            <v>-</v>
          </cell>
          <cell r="AS55">
            <v>0</v>
          </cell>
          <cell r="AT55" t="str">
            <v/>
          </cell>
          <cell r="AU55">
            <v>0</v>
          </cell>
          <cell r="AV55" t="str">
            <v>-</v>
          </cell>
          <cell r="AW55">
            <v>0</v>
          </cell>
          <cell r="AX55" t="str">
            <v>-</v>
          </cell>
          <cell r="AY55">
            <v>0</v>
          </cell>
          <cell r="AZ55" t="str">
            <v/>
          </cell>
          <cell r="BA55">
            <v>0</v>
          </cell>
          <cell r="BB55" t="str">
            <v>-</v>
          </cell>
          <cell r="BC55">
            <v>0</v>
          </cell>
          <cell r="BD55" t="str">
            <v>-</v>
          </cell>
          <cell r="BE55">
            <v>0</v>
          </cell>
          <cell r="BF55" t="str">
            <v/>
          </cell>
          <cell r="BG55">
            <v>0</v>
          </cell>
          <cell r="BH55" t="str">
            <v>-</v>
          </cell>
          <cell r="BI55">
            <v>0</v>
          </cell>
          <cell r="BJ55" t="str">
            <v>-</v>
          </cell>
          <cell r="BK55">
            <v>0</v>
          </cell>
          <cell r="BL55">
            <v>0</v>
          </cell>
          <cell r="BM55" t="str">
            <v>-</v>
          </cell>
          <cell r="BN55">
            <v>4</v>
          </cell>
          <cell r="BO55" t="str">
            <v/>
          </cell>
          <cell r="BP55">
            <v>0</v>
          </cell>
          <cell r="BQ55">
            <v>0</v>
          </cell>
          <cell r="BR55" t="str">
            <v>-</v>
          </cell>
          <cell r="BS55">
            <v>0</v>
          </cell>
          <cell r="BT55">
            <v>0</v>
          </cell>
          <cell r="BU55" t="str">
            <v>-</v>
          </cell>
        </row>
        <row r="56">
          <cell r="A56" t="str">
            <v>10504RET</v>
          </cell>
          <cell r="B56">
            <v>10504</v>
          </cell>
          <cell r="C56" t="str">
            <v>RET</v>
          </cell>
          <cell r="D56" t="str">
            <v>Interior Lighting</v>
          </cell>
          <cell r="E56" t="str">
            <v>ENERGY STAR LED PAR/Flood Lamp Lamp, Multifamily Common Area</v>
          </cell>
          <cell r="F56" t="str">
            <v>R</v>
          </cell>
          <cell r="G56" t="str">
            <v>Y</v>
          </cell>
          <cell r="M56" t="str">
            <v>RET</v>
          </cell>
          <cell r="N56" t="str">
            <v>Existing 28W interior screw base reflector lamp.</v>
          </cell>
          <cell r="O56">
            <v>2021</v>
          </cell>
          <cell r="P56">
            <v>2030</v>
          </cell>
          <cell r="Q56" t="str">
            <v>Multifamily</v>
          </cell>
          <cell r="R56" t="str">
            <v>Bulb</v>
          </cell>
          <cell r="S56">
            <v>0</v>
          </cell>
          <cell r="T56">
            <v>0</v>
          </cell>
          <cell r="U56">
            <v>0</v>
          </cell>
          <cell r="V56">
            <v>69.545637280000008</v>
          </cell>
          <cell r="W56">
            <v>0.41744080000000006</v>
          </cell>
          <cell r="X56" t="str">
            <v>-</v>
          </cell>
          <cell r="Y56">
            <v>2</v>
          </cell>
          <cell r="Z56">
            <v>2</v>
          </cell>
          <cell r="AA56">
            <v>0</v>
          </cell>
          <cell r="AB56">
            <v>0</v>
          </cell>
          <cell r="AC56">
            <v>0</v>
          </cell>
          <cell r="AD56">
            <v>6.3555388560241247E-2</v>
          </cell>
          <cell r="AE56">
            <v>4</v>
          </cell>
          <cell r="AF56">
            <v>4</v>
          </cell>
          <cell r="AG56">
            <v>0</v>
          </cell>
          <cell r="AH56">
            <v>0</v>
          </cell>
          <cell r="AI56">
            <v>0</v>
          </cell>
          <cell r="AJ56">
            <v>0</v>
          </cell>
          <cell r="AK56">
            <v>0</v>
          </cell>
          <cell r="AL56" t="str">
            <v>-</v>
          </cell>
          <cell r="AM56" t="str">
            <v>-</v>
          </cell>
          <cell r="AN56" t="str">
            <v/>
          </cell>
          <cell r="AO56">
            <v>0</v>
          </cell>
          <cell r="AP56" t="str">
            <v>-</v>
          </cell>
          <cell r="AQ56">
            <v>0</v>
          </cell>
          <cell r="AR56" t="str">
            <v>-</v>
          </cell>
          <cell r="AS56">
            <v>0</v>
          </cell>
          <cell r="AT56" t="str">
            <v/>
          </cell>
          <cell r="AU56">
            <v>0</v>
          </cell>
          <cell r="AV56" t="str">
            <v>-</v>
          </cell>
          <cell r="AW56">
            <v>0</v>
          </cell>
          <cell r="AX56" t="str">
            <v>-</v>
          </cell>
          <cell r="AY56">
            <v>0</v>
          </cell>
          <cell r="AZ56" t="str">
            <v/>
          </cell>
          <cell r="BA56">
            <v>0</v>
          </cell>
          <cell r="BB56" t="str">
            <v>-</v>
          </cell>
          <cell r="BC56">
            <v>0</v>
          </cell>
          <cell r="BD56" t="str">
            <v>-</v>
          </cell>
          <cell r="BE56">
            <v>0</v>
          </cell>
          <cell r="BF56" t="str">
            <v/>
          </cell>
          <cell r="BG56">
            <v>0</v>
          </cell>
          <cell r="BH56" t="str">
            <v>-</v>
          </cell>
          <cell r="BI56">
            <v>0</v>
          </cell>
          <cell r="BJ56" t="str">
            <v>-</v>
          </cell>
          <cell r="BK56">
            <v>0</v>
          </cell>
          <cell r="BL56">
            <v>0</v>
          </cell>
          <cell r="BM56" t="str">
            <v>-</v>
          </cell>
          <cell r="BN56">
            <v>4</v>
          </cell>
          <cell r="BO56" t="str">
            <v/>
          </cell>
          <cell r="BP56">
            <v>0</v>
          </cell>
          <cell r="BQ56">
            <v>0</v>
          </cell>
          <cell r="BR56" t="str">
            <v>-</v>
          </cell>
          <cell r="BS56">
            <v>0</v>
          </cell>
          <cell r="BT56">
            <v>0</v>
          </cell>
          <cell r="BU56" t="str">
            <v>-</v>
          </cell>
        </row>
        <row r="57">
          <cell r="A57" t="str">
            <v>10505RET</v>
          </cell>
          <cell r="B57">
            <v>10505</v>
          </cell>
          <cell r="C57" t="str">
            <v>RET</v>
          </cell>
          <cell r="D57" t="str">
            <v>Interior Lighting</v>
          </cell>
          <cell r="E57" t="str">
            <v>ENERGY STAR LED Globe Lamp, Interior</v>
          </cell>
          <cell r="F57" t="str">
            <v>R</v>
          </cell>
          <cell r="G57" t="str">
            <v>Y</v>
          </cell>
          <cell r="M57" t="str">
            <v>RET</v>
          </cell>
          <cell r="N57" t="str">
            <v>Existing interior screw base globe lamp with weighted average 11W</v>
          </cell>
          <cell r="O57">
            <v>2021</v>
          </cell>
          <cell r="P57">
            <v>2030</v>
          </cell>
          <cell r="Q57" t="str">
            <v>Single Family</v>
          </cell>
          <cell r="R57" t="str">
            <v>Bulb</v>
          </cell>
          <cell r="S57">
            <v>0</v>
          </cell>
          <cell r="T57">
            <v>0</v>
          </cell>
          <cell r="U57">
            <v>0</v>
          </cell>
          <cell r="V57">
            <v>5.0280744360000007</v>
          </cell>
          <cell r="W57">
            <v>0.41744079999999995</v>
          </cell>
          <cell r="X57" t="str">
            <v>-</v>
          </cell>
          <cell r="Y57">
            <v>2</v>
          </cell>
          <cell r="Z57">
            <v>2</v>
          </cell>
          <cell r="AA57">
            <v>0</v>
          </cell>
          <cell r="AB57">
            <v>0</v>
          </cell>
          <cell r="AC57">
            <v>0</v>
          </cell>
          <cell r="AD57">
            <v>1.0978357759538941</v>
          </cell>
          <cell r="AE57">
            <v>4</v>
          </cell>
          <cell r="AF57">
            <v>4</v>
          </cell>
          <cell r="AG57">
            <v>0</v>
          </cell>
          <cell r="AH57">
            <v>0</v>
          </cell>
          <cell r="AI57">
            <v>0</v>
          </cell>
          <cell r="AJ57">
            <v>0</v>
          </cell>
          <cell r="AK57">
            <v>0</v>
          </cell>
          <cell r="AL57" t="str">
            <v>-</v>
          </cell>
          <cell r="AM57" t="str">
            <v>-</v>
          </cell>
          <cell r="AN57" t="str">
            <v/>
          </cell>
          <cell r="AO57">
            <v>0</v>
          </cell>
          <cell r="AP57" t="str">
            <v>-</v>
          </cell>
          <cell r="AQ57">
            <v>0</v>
          </cell>
          <cell r="AR57" t="str">
            <v>-</v>
          </cell>
          <cell r="AS57">
            <v>0</v>
          </cell>
          <cell r="AT57" t="str">
            <v/>
          </cell>
          <cell r="AU57">
            <v>0</v>
          </cell>
          <cell r="AV57" t="str">
            <v>-</v>
          </cell>
          <cell r="AW57">
            <v>0</v>
          </cell>
          <cell r="AX57" t="str">
            <v>-</v>
          </cell>
          <cell r="AY57">
            <v>0</v>
          </cell>
          <cell r="AZ57" t="str">
            <v/>
          </cell>
          <cell r="BA57">
            <v>0</v>
          </cell>
          <cell r="BB57" t="str">
            <v>-</v>
          </cell>
          <cell r="BC57">
            <v>0</v>
          </cell>
          <cell r="BD57" t="str">
            <v>-</v>
          </cell>
          <cell r="BE57">
            <v>0</v>
          </cell>
          <cell r="BF57" t="str">
            <v/>
          </cell>
          <cell r="BG57">
            <v>0</v>
          </cell>
          <cell r="BH57" t="str">
            <v>-</v>
          </cell>
          <cell r="BI57">
            <v>0</v>
          </cell>
          <cell r="BJ57" t="str">
            <v>-</v>
          </cell>
          <cell r="BK57">
            <v>0</v>
          </cell>
          <cell r="BL57">
            <v>0</v>
          </cell>
          <cell r="BM57" t="str">
            <v>-</v>
          </cell>
          <cell r="BN57">
            <v>4</v>
          </cell>
          <cell r="BO57" t="str">
            <v/>
          </cell>
          <cell r="BP57">
            <v>0</v>
          </cell>
          <cell r="BQ57">
            <v>0</v>
          </cell>
          <cell r="BR57" t="str">
            <v>-</v>
          </cell>
          <cell r="BS57">
            <v>0</v>
          </cell>
          <cell r="BT57">
            <v>0</v>
          </cell>
          <cell r="BU57" t="str">
            <v>-</v>
          </cell>
        </row>
        <row r="58">
          <cell r="A58" t="str">
            <v>10506RET</v>
          </cell>
          <cell r="B58">
            <v>10506</v>
          </cell>
          <cell r="C58" t="str">
            <v>RET</v>
          </cell>
          <cell r="D58" t="str">
            <v>Interior Lighting</v>
          </cell>
          <cell r="E58" t="str">
            <v>ENERGY STAR LED Globe Lamp, Multifamily Common Area</v>
          </cell>
          <cell r="F58" t="str">
            <v>R</v>
          </cell>
          <cell r="G58" t="str">
            <v>Y</v>
          </cell>
          <cell r="M58" t="str">
            <v>RET</v>
          </cell>
          <cell r="N58" t="str">
            <v>Existing interior screw base globe lamp with weighted average 11W</v>
          </cell>
          <cell r="O58">
            <v>2021</v>
          </cell>
          <cell r="P58">
            <v>2030</v>
          </cell>
          <cell r="Q58" t="str">
            <v>Multifamily</v>
          </cell>
          <cell r="R58" t="str">
            <v>Bulb</v>
          </cell>
          <cell r="S58">
            <v>0</v>
          </cell>
          <cell r="T58">
            <v>0</v>
          </cell>
          <cell r="U58">
            <v>0</v>
          </cell>
          <cell r="V58">
            <v>27.321500359999998</v>
          </cell>
          <cell r="W58">
            <v>0.41744079999999995</v>
          </cell>
          <cell r="X58" t="str">
            <v>-</v>
          </cell>
          <cell r="Y58">
            <v>2</v>
          </cell>
          <cell r="Z58">
            <v>2</v>
          </cell>
          <cell r="AA58">
            <v>0</v>
          </cell>
          <cell r="AB58">
            <v>0</v>
          </cell>
          <cell r="AC58">
            <v>0</v>
          </cell>
          <cell r="AD58">
            <v>0.20203868481840578</v>
          </cell>
          <cell r="AE58">
            <v>4</v>
          </cell>
          <cell r="AF58">
            <v>4</v>
          </cell>
          <cell r="AG58">
            <v>0</v>
          </cell>
          <cell r="AH58">
            <v>0</v>
          </cell>
          <cell r="AI58">
            <v>0</v>
          </cell>
          <cell r="AJ58">
            <v>0</v>
          </cell>
          <cell r="AK58">
            <v>0</v>
          </cell>
          <cell r="AL58" t="str">
            <v>-</v>
          </cell>
          <cell r="AM58" t="str">
            <v>-</v>
          </cell>
          <cell r="AN58" t="str">
            <v/>
          </cell>
          <cell r="AO58">
            <v>0</v>
          </cell>
          <cell r="AP58" t="str">
            <v>-</v>
          </cell>
          <cell r="AQ58">
            <v>0</v>
          </cell>
          <cell r="AR58" t="str">
            <v>-</v>
          </cell>
          <cell r="AS58">
            <v>0</v>
          </cell>
          <cell r="AT58" t="str">
            <v/>
          </cell>
          <cell r="AU58">
            <v>0</v>
          </cell>
          <cell r="AV58" t="str">
            <v>-</v>
          </cell>
          <cell r="AW58">
            <v>0</v>
          </cell>
          <cell r="AX58" t="str">
            <v>-</v>
          </cell>
          <cell r="AY58">
            <v>0</v>
          </cell>
          <cell r="AZ58" t="str">
            <v/>
          </cell>
          <cell r="BA58">
            <v>0</v>
          </cell>
          <cell r="BB58" t="str">
            <v>-</v>
          </cell>
          <cell r="BC58">
            <v>0</v>
          </cell>
          <cell r="BD58" t="str">
            <v>-</v>
          </cell>
          <cell r="BE58">
            <v>0</v>
          </cell>
          <cell r="BF58" t="str">
            <v/>
          </cell>
          <cell r="BG58">
            <v>0</v>
          </cell>
          <cell r="BH58" t="str">
            <v>-</v>
          </cell>
          <cell r="BI58">
            <v>0</v>
          </cell>
          <cell r="BJ58" t="str">
            <v>-</v>
          </cell>
          <cell r="BK58">
            <v>0</v>
          </cell>
          <cell r="BL58">
            <v>0</v>
          </cell>
          <cell r="BM58" t="str">
            <v>-</v>
          </cell>
          <cell r="BN58">
            <v>4</v>
          </cell>
          <cell r="BO58" t="str">
            <v/>
          </cell>
          <cell r="BP58">
            <v>0</v>
          </cell>
          <cell r="BQ58">
            <v>0</v>
          </cell>
          <cell r="BR58" t="str">
            <v>-</v>
          </cell>
          <cell r="BS58">
            <v>0</v>
          </cell>
          <cell r="BT58">
            <v>0</v>
          </cell>
          <cell r="BU58" t="str">
            <v>-</v>
          </cell>
        </row>
        <row r="59">
          <cell r="A59" t="str">
            <v>10507RET</v>
          </cell>
          <cell r="B59">
            <v>10507</v>
          </cell>
          <cell r="C59" t="str">
            <v>RET</v>
          </cell>
          <cell r="D59" t="str">
            <v>Interior Lighting</v>
          </cell>
          <cell r="E59" t="str">
            <v>ENERGY STAR LED Downlight Fixture, Interior</v>
          </cell>
          <cell r="F59" t="str">
            <v>R</v>
          </cell>
          <cell r="G59" t="str">
            <v>Y</v>
          </cell>
          <cell r="M59" t="str">
            <v>RET</v>
          </cell>
          <cell r="N59" t="str">
            <v>24W General service incandescent fixtures</v>
          </cell>
          <cell r="O59">
            <v>2021</v>
          </cell>
          <cell r="P59">
            <v>2030</v>
          </cell>
          <cell r="Q59" t="str">
            <v>Single Family</v>
          </cell>
          <cell r="R59" t="str">
            <v>Fixture</v>
          </cell>
          <cell r="S59">
            <v>0</v>
          </cell>
          <cell r="T59">
            <v>0</v>
          </cell>
          <cell r="U59">
            <v>0</v>
          </cell>
          <cell r="V59">
            <v>10.970344224</v>
          </cell>
          <cell r="W59">
            <v>0.41744079999999989</v>
          </cell>
          <cell r="X59" t="str">
            <v>-</v>
          </cell>
          <cell r="Y59">
            <v>2</v>
          </cell>
          <cell r="Z59">
            <v>2</v>
          </cell>
          <cell r="AA59">
            <v>0</v>
          </cell>
          <cell r="AB59">
            <v>0</v>
          </cell>
          <cell r="AC59">
            <v>0</v>
          </cell>
          <cell r="AD59">
            <v>2.9169549602639706</v>
          </cell>
          <cell r="AE59">
            <v>4</v>
          </cell>
          <cell r="AF59">
            <v>4</v>
          </cell>
          <cell r="AG59">
            <v>0</v>
          </cell>
          <cell r="AH59">
            <v>0</v>
          </cell>
          <cell r="AI59">
            <v>0</v>
          </cell>
          <cell r="AJ59">
            <v>0</v>
          </cell>
          <cell r="AK59">
            <v>0</v>
          </cell>
          <cell r="AL59" t="str">
            <v>-</v>
          </cell>
          <cell r="AM59" t="str">
            <v>-</v>
          </cell>
          <cell r="AN59" t="str">
            <v/>
          </cell>
          <cell r="AO59">
            <v>0</v>
          </cell>
          <cell r="AP59" t="str">
            <v>-</v>
          </cell>
          <cell r="AQ59">
            <v>0</v>
          </cell>
          <cell r="AR59" t="str">
            <v>-</v>
          </cell>
          <cell r="AS59">
            <v>0</v>
          </cell>
          <cell r="AT59" t="str">
            <v/>
          </cell>
          <cell r="AU59">
            <v>0</v>
          </cell>
          <cell r="AV59" t="str">
            <v>-</v>
          </cell>
          <cell r="AW59">
            <v>0</v>
          </cell>
          <cell r="AX59" t="str">
            <v>-</v>
          </cell>
          <cell r="AY59">
            <v>0</v>
          </cell>
          <cell r="AZ59" t="str">
            <v/>
          </cell>
          <cell r="BA59">
            <v>0</v>
          </cell>
          <cell r="BB59" t="str">
            <v>-</v>
          </cell>
          <cell r="BC59">
            <v>0</v>
          </cell>
          <cell r="BD59" t="str">
            <v>-</v>
          </cell>
          <cell r="BE59">
            <v>0</v>
          </cell>
          <cell r="BF59" t="str">
            <v/>
          </cell>
          <cell r="BG59">
            <v>0</v>
          </cell>
          <cell r="BH59" t="str">
            <v>-</v>
          </cell>
          <cell r="BI59">
            <v>0</v>
          </cell>
          <cell r="BJ59" t="str">
            <v>-</v>
          </cell>
          <cell r="BK59">
            <v>0</v>
          </cell>
          <cell r="BL59">
            <v>0</v>
          </cell>
          <cell r="BM59" t="str">
            <v>-</v>
          </cell>
          <cell r="BN59">
            <v>4</v>
          </cell>
          <cell r="BO59" t="str">
            <v/>
          </cell>
          <cell r="BP59">
            <v>0</v>
          </cell>
          <cell r="BQ59">
            <v>0</v>
          </cell>
          <cell r="BR59" t="str">
            <v>-</v>
          </cell>
          <cell r="BS59">
            <v>0</v>
          </cell>
          <cell r="BT59">
            <v>0</v>
          </cell>
          <cell r="BU59" t="str">
            <v>-</v>
          </cell>
        </row>
        <row r="60">
          <cell r="A60" t="str">
            <v>10508RET</v>
          </cell>
          <cell r="B60">
            <v>10508</v>
          </cell>
          <cell r="C60" t="str">
            <v>RET</v>
          </cell>
          <cell r="D60" t="str">
            <v>Interior Lighting</v>
          </cell>
          <cell r="E60" t="str">
            <v>ENERGY STAR LED Downlight Fixture, Multifamily Common Area</v>
          </cell>
          <cell r="F60" t="str">
            <v>R</v>
          </cell>
          <cell r="G60" t="str">
            <v>Y</v>
          </cell>
          <cell r="M60" t="str">
            <v>RET</v>
          </cell>
          <cell r="N60" t="str">
            <v>24W General service incandescent fixtures</v>
          </cell>
          <cell r="O60">
            <v>2021</v>
          </cell>
          <cell r="P60">
            <v>2030</v>
          </cell>
          <cell r="Q60" t="str">
            <v>Multifamily</v>
          </cell>
          <cell r="R60" t="str">
            <v>Fixture</v>
          </cell>
          <cell r="S60">
            <v>0</v>
          </cell>
          <cell r="T60">
            <v>0</v>
          </cell>
          <cell r="U60">
            <v>0</v>
          </cell>
          <cell r="V60">
            <v>59.610546239999991</v>
          </cell>
          <cell r="W60">
            <v>0.4174408</v>
          </cell>
          <cell r="X60" t="str">
            <v>-</v>
          </cell>
          <cell r="Y60">
            <v>2</v>
          </cell>
          <cell r="Z60">
            <v>2</v>
          </cell>
          <cell r="AA60">
            <v>0</v>
          </cell>
          <cell r="AB60">
            <v>0</v>
          </cell>
          <cell r="AC60">
            <v>0</v>
          </cell>
          <cell r="AD60">
            <v>0.53681776159479799</v>
          </cell>
          <cell r="AE60">
            <v>4</v>
          </cell>
          <cell r="AF60">
            <v>4</v>
          </cell>
          <cell r="AG60">
            <v>0</v>
          </cell>
          <cell r="AH60">
            <v>0</v>
          </cell>
          <cell r="AI60">
            <v>0</v>
          </cell>
          <cell r="AJ60">
            <v>0</v>
          </cell>
          <cell r="AK60">
            <v>0</v>
          </cell>
          <cell r="AL60" t="str">
            <v>-</v>
          </cell>
          <cell r="AM60" t="str">
            <v>-</v>
          </cell>
          <cell r="AN60" t="str">
            <v/>
          </cell>
          <cell r="AO60">
            <v>0</v>
          </cell>
          <cell r="AP60" t="str">
            <v>-</v>
          </cell>
          <cell r="AQ60">
            <v>0</v>
          </cell>
          <cell r="AR60" t="str">
            <v>-</v>
          </cell>
          <cell r="AS60">
            <v>0</v>
          </cell>
          <cell r="AT60" t="str">
            <v/>
          </cell>
          <cell r="AU60">
            <v>0</v>
          </cell>
          <cell r="AV60" t="str">
            <v>-</v>
          </cell>
          <cell r="AW60">
            <v>0</v>
          </cell>
          <cell r="AX60" t="str">
            <v>-</v>
          </cell>
          <cell r="AY60">
            <v>0</v>
          </cell>
          <cell r="AZ60" t="str">
            <v/>
          </cell>
          <cell r="BA60">
            <v>0</v>
          </cell>
          <cell r="BB60" t="str">
            <v>-</v>
          </cell>
          <cell r="BC60">
            <v>0</v>
          </cell>
          <cell r="BD60" t="str">
            <v>-</v>
          </cell>
          <cell r="BE60">
            <v>0</v>
          </cell>
          <cell r="BF60" t="str">
            <v/>
          </cell>
          <cell r="BG60">
            <v>0</v>
          </cell>
          <cell r="BH60" t="str">
            <v>-</v>
          </cell>
          <cell r="BI60">
            <v>0</v>
          </cell>
          <cell r="BJ60" t="str">
            <v>-</v>
          </cell>
          <cell r="BK60">
            <v>0</v>
          </cell>
          <cell r="BL60">
            <v>0</v>
          </cell>
          <cell r="BM60" t="str">
            <v>-</v>
          </cell>
          <cell r="BN60">
            <v>4</v>
          </cell>
          <cell r="BO60" t="str">
            <v/>
          </cell>
          <cell r="BP60">
            <v>0</v>
          </cell>
          <cell r="BQ60">
            <v>0</v>
          </cell>
          <cell r="BR60" t="str">
            <v>-</v>
          </cell>
          <cell r="BS60">
            <v>0</v>
          </cell>
          <cell r="BT60">
            <v>0</v>
          </cell>
          <cell r="BU60" t="str">
            <v>-</v>
          </cell>
        </row>
        <row r="61">
          <cell r="A61" t="str">
            <v>10509RET</v>
          </cell>
          <cell r="B61">
            <v>10509</v>
          </cell>
          <cell r="C61" t="str">
            <v>RET</v>
          </cell>
          <cell r="D61" t="str">
            <v>Interior Lighting</v>
          </cell>
          <cell r="E61" t="str">
            <v>LED Tube Replacement Lamps</v>
          </cell>
          <cell r="F61" t="str">
            <v>R</v>
          </cell>
          <cell r="G61" t="str">
            <v>Y</v>
          </cell>
          <cell r="M61" t="str">
            <v>RET</v>
          </cell>
          <cell r="N61" t="str">
            <v>Weighted average of existing T8 fluorescent fixtures</v>
          </cell>
          <cell r="O61">
            <v>2021</v>
          </cell>
          <cell r="P61">
            <v>2030</v>
          </cell>
          <cell r="Q61" t="str">
            <v>Multifamily</v>
          </cell>
          <cell r="R61" t="str">
            <v>per lamp</v>
          </cell>
          <cell r="S61">
            <v>0</v>
          </cell>
          <cell r="T61">
            <v>0</v>
          </cell>
          <cell r="U61">
            <v>0</v>
          </cell>
          <cell r="V61">
            <v>56.524999999999999</v>
          </cell>
          <cell r="W61">
            <v>0.44186046511627908</v>
          </cell>
          <cell r="X61" t="str">
            <v>-</v>
          </cell>
          <cell r="Y61" t="str">
            <v>3,8</v>
          </cell>
          <cell r="Z61" t="str">
            <v>3,8</v>
          </cell>
          <cell r="AA61">
            <v>0</v>
          </cell>
          <cell r="AB61">
            <v>0</v>
          </cell>
          <cell r="AC61">
            <v>0</v>
          </cell>
          <cell r="AD61">
            <v>0.31331269349845203</v>
          </cell>
          <cell r="AE61">
            <v>4</v>
          </cell>
          <cell r="AF61">
            <v>4</v>
          </cell>
          <cell r="AG61">
            <v>0</v>
          </cell>
          <cell r="AH61">
            <v>0</v>
          </cell>
          <cell r="AI61">
            <v>0</v>
          </cell>
          <cell r="AJ61">
            <v>0</v>
          </cell>
          <cell r="AK61">
            <v>0</v>
          </cell>
          <cell r="AL61" t="str">
            <v>-</v>
          </cell>
          <cell r="AM61" t="str">
            <v>-</v>
          </cell>
          <cell r="AN61" t="str">
            <v/>
          </cell>
          <cell r="AO61">
            <v>0</v>
          </cell>
          <cell r="AP61" t="str">
            <v>-</v>
          </cell>
          <cell r="AQ61">
            <v>0</v>
          </cell>
          <cell r="AR61" t="str">
            <v>-</v>
          </cell>
          <cell r="AS61">
            <v>0</v>
          </cell>
          <cell r="AT61" t="str">
            <v/>
          </cell>
          <cell r="AU61">
            <v>0</v>
          </cell>
          <cell r="AV61" t="str">
            <v>-</v>
          </cell>
          <cell r="AW61">
            <v>0</v>
          </cell>
          <cell r="AX61" t="str">
            <v>-</v>
          </cell>
          <cell r="AY61">
            <v>0</v>
          </cell>
          <cell r="AZ61" t="str">
            <v/>
          </cell>
          <cell r="BA61">
            <v>0</v>
          </cell>
          <cell r="BB61" t="str">
            <v>-</v>
          </cell>
          <cell r="BC61">
            <v>0</v>
          </cell>
          <cell r="BD61" t="str">
            <v>-</v>
          </cell>
          <cell r="BE61">
            <v>0</v>
          </cell>
          <cell r="BF61" t="str">
            <v/>
          </cell>
          <cell r="BG61">
            <v>0</v>
          </cell>
          <cell r="BH61" t="str">
            <v>-</v>
          </cell>
          <cell r="BI61">
            <v>0</v>
          </cell>
          <cell r="BJ61" t="str">
            <v>-</v>
          </cell>
          <cell r="BK61">
            <v>0</v>
          </cell>
          <cell r="BL61">
            <v>0</v>
          </cell>
          <cell r="BM61" t="str">
            <v>-</v>
          </cell>
          <cell r="BN61">
            <v>5</v>
          </cell>
          <cell r="BO61" t="str">
            <v/>
          </cell>
          <cell r="BP61">
            <v>0</v>
          </cell>
          <cell r="BQ61">
            <v>0</v>
          </cell>
          <cell r="BR61" t="str">
            <v>-</v>
          </cell>
          <cell r="BS61">
            <v>0</v>
          </cell>
          <cell r="BT61">
            <v>0</v>
          </cell>
          <cell r="BU61" t="str">
            <v>-</v>
          </cell>
        </row>
        <row r="62">
          <cell r="A62" t="str">
            <v>10510RET</v>
          </cell>
          <cell r="B62">
            <v>10510</v>
          </cell>
          <cell r="C62" t="str">
            <v>RET</v>
          </cell>
          <cell r="D62" t="str">
            <v>Interior Lighting</v>
          </cell>
          <cell r="E62" t="str">
            <v>LED Holiday Lights</v>
          </cell>
          <cell r="F62" t="str">
            <v>R</v>
          </cell>
          <cell r="G62" t="str">
            <v>Y</v>
          </cell>
          <cell r="M62" t="str">
            <v>RET</v>
          </cell>
          <cell r="N62" t="str">
            <v>Failed or working interior incandescent holiday light strings. Assumes 50 bulbs per string with a weighted average of 174.5W per string.</v>
          </cell>
          <cell r="O62">
            <v>2021</v>
          </cell>
          <cell r="P62">
            <v>2030</v>
          </cell>
          <cell r="Q62" t="str">
            <v>Single Family</v>
          </cell>
          <cell r="R62" t="str">
            <v>Light String</v>
          </cell>
          <cell r="S62">
            <v>0</v>
          </cell>
          <cell r="T62">
            <v>0</v>
          </cell>
          <cell r="U62">
            <v>0</v>
          </cell>
          <cell r="V62">
            <v>21.225000000000001</v>
          </cell>
          <cell r="W62">
            <v>0.82523809523809522</v>
          </cell>
          <cell r="X62" t="str">
            <v>-</v>
          </cell>
          <cell r="Y62">
            <v>2</v>
          </cell>
          <cell r="Z62">
            <v>2</v>
          </cell>
          <cell r="AA62">
            <v>0</v>
          </cell>
          <cell r="AB62">
            <v>0</v>
          </cell>
          <cell r="AC62">
            <v>0</v>
          </cell>
          <cell r="AD62">
            <v>4.0358695652173912E-2</v>
          </cell>
          <cell r="AE62">
            <v>4</v>
          </cell>
          <cell r="AF62">
            <v>4</v>
          </cell>
          <cell r="AG62">
            <v>0</v>
          </cell>
          <cell r="AH62">
            <v>0</v>
          </cell>
          <cell r="AI62">
            <v>0</v>
          </cell>
          <cell r="AJ62">
            <v>0</v>
          </cell>
          <cell r="AK62">
            <v>0</v>
          </cell>
          <cell r="AL62" t="str">
            <v>-</v>
          </cell>
          <cell r="AM62" t="str">
            <v>-</v>
          </cell>
          <cell r="AN62" t="str">
            <v/>
          </cell>
          <cell r="AO62">
            <v>0</v>
          </cell>
          <cell r="AP62" t="str">
            <v>-</v>
          </cell>
          <cell r="AQ62">
            <v>0</v>
          </cell>
          <cell r="AR62" t="str">
            <v>-</v>
          </cell>
          <cell r="AS62">
            <v>0</v>
          </cell>
          <cell r="AT62" t="str">
            <v/>
          </cell>
          <cell r="AU62">
            <v>0</v>
          </cell>
          <cell r="AV62" t="str">
            <v>-</v>
          </cell>
          <cell r="AW62">
            <v>0</v>
          </cell>
          <cell r="AX62" t="str">
            <v>-</v>
          </cell>
          <cell r="AY62">
            <v>0</v>
          </cell>
          <cell r="AZ62" t="str">
            <v/>
          </cell>
          <cell r="BA62">
            <v>0</v>
          </cell>
          <cell r="BB62" t="str">
            <v>-</v>
          </cell>
          <cell r="BC62">
            <v>0</v>
          </cell>
          <cell r="BD62" t="str">
            <v>-</v>
          </cell>
          <cell r="BE62">
            <v>0</v>
          </cell>
          <cell r="BF62" t="str">
            <v/>
          </cell>
          <cell r="BG62">
            <v>0</v>
          </cell>
          <cell r="BH62" t="str">
            <v>-</v>
          </cell>
          <cell r="BI62">
            <v>0</v>
          </cell>
          <cell r="BJ62" t="str">
            <v>-</v>
          </cell>
          <cell r="BK62">
            <v>0</v>
          </cell>
          <cell r="BL62">
            <v>0</v>
          </cell>
          <cell r="BM62" t="str">
            <v>-</v>
          </cell>
          <cell r="BN62">
            <v>10</v>
          </cell>
          <cell r="BO62" t="str">
            <v/>
          </cell>
          <cell r="BP62">
            <v>0</v>
          </cell>
          <cell r="BQ62">
            <v>0</v>
          </cell>
          <cell r="BR62" t="str">
            <v>-</v>
          </cell>
          <cell r="BS62">
            <v>0</v>
          </cell>
          <cell r="BT62">
            <v>0</v>
          </cell>
          <cell r="BU62" t="str">
            <v>-</v>
          </cell>
        </row>
        <row r="63">
          <cell r="A63" t="str">
            <v>10511RET</v>
          </cell>
          <cell r="B63">
            <v>10511</v>
          </cell>
          <cell r="C63" t="str">
            <v>RET</v>
          </cell>
          <cell r="D63" t="str">
            <v>Interior Lighting</v>
          </cell>
          <cell r="E63" t="str">
            <v>ENERGY STAR Ceiling Fan &amp; Lights</v>
          </cell>
          <cell r="F63" t="str">
            <v>R</v>
          </cell>
          <cell r="G63" t="str">
            <v>Y</v>
          </cell>
          <cell r="M63" t="str">
            <v>RET</v>
          </cell>
          <cell r="N63" t="str">
            <v>Existing Non-ENERGY STAR Ceiling Fan</v>
          </cell>
          <cell r="O63">
            <v>2021</v>
          </cell>
          <cell r="P63">
            <v>2030</v>
          </cell>
          <cell r="Q63" t="str">
            <v>Single Family</v>
          </cell>
          <cell r="R63" t="str">
            <v>Ceiling Fan</v>
          </cell>
          <cell r="S63">
            <v>0</v>
          </cell>
          <cell r="T63">
            <v>0</v>
          </cell>
          <cell r="U63" t="str">
            <v>Table</v>
          </cell>
          <cell r="V63">
            <v>124.36476187500001</v>
          </cell>
          <cell r="W63">
            <v>0.5103496503496503</v>
          </cell>
          <cell r="X63" t="str">
            <v>-</v>
          </cell>
          <cell r="Y63" t="str">
            <v>7,2,3,8</v>
          </cell>
          <cell r="Z63" t="str">
            <v>7,2,3,8</v>
          </cell>
          <cell r="AA63">
            <v>0</v>
          </cell>
          <cell r="AB63">
            <v>0</v>
          </cell>
          <cell r="AC63">
            <v>83.480952380952388</v>
          </cell>
          <cell r="AD63">
            <v>0.6712588929721085</v>
          </cell>
          <cell r="AE63">
            <v>4</v>
          </cell>
          <cell r="AF63">
            <v>4</v>
          </cell>
          <cell r="AG63">
            <v>0</v>
          </cell>
          <cell r="AH63">
            <v>0</v>
          </cell>
          <cell r="AI63">
            <v>0</v>
          </cell>
          <cell r="AJ63">
            <v>0</v>
          </cell>
          <cell r="AK63">
            <v>0</v>
          </cell>
          <cell r="AL63" t="str">
            <v>-</v>
          </cell>
          <cell r="AM63" t="str">
            <v>-</v>
          </cell>
          <cell r="AN63" t="str">
            <v/>
          </cell>
          <cell r="AO63">
            <v>0</v>
          </cell>
          <cell r="AP63" t="str">
            <v>-</v>
          </cell>
          <cell r="AQ63">
            <v>0</v>
          </cell>
          <cell r="AR63" t="str">
            <v>-</v>
          </cell>
          <cell r="AS63">
            <v>0</v>
          </cell>
          <cell r="AT63" t="str">
            <v/>
          </cell>
          <cell r="AU63">
            <v>0</v>
          </cell>
          <cell r="AV63" t="str">
            <v>-</v>
          </cell>
          <cell r="AW63">
            <v>0</v>
          </cell>
          <cell r="AX63" t="str">
            <v>-</v>
          </cell>
          <cell r="AY63">
            <v>0</v>
          </cell>
          <cell r="AZ63" t="str">
            <v/>
          </cell>
          <cell r="BA63">
            <v>0</v>
          </cell>
          <cell r="BB63" t="str">
            <v>-</v>
          </cell>
          <cell r="BC63">
            <v>0</v>
          </cell>
          <cell r="BD63" t="str">
            <v>-</v>
          </cell>
          <cell r="BE63">
            <v>0</v>
          </cell>
          <cell r="BF63" t="str">
            <v/>
          </cell>
          <cell r="BG63">
            <v>0</v>
          </cell>
          <cell r="BH63" t="str">
            <v>-</v>
          </cell>
          <cell r="BI63">
            <v>0</v>
          </cell>
          <cell r="BJ63" t="str">
            <v>-</v>
          </cell>
          <cell r="BK63">
            <v>0</v>
          </cell>
          <cell r="BL63">
            <v>0</v>
          </cell>
          <cell r="BM63" t="str">
            <v>-</v>
          </cell>
          <cell r="BN63">
            <v>15</v>
          </cell>
          <cell r="BO63" t="str">
            <v/>
          </cell>
          <cell r="BP63">
            <v>0</v>
          </cell>
          <cell r="BQ63">
            <v>0</v>
          </cell>
          <cell r="BR63" t="str">
            <v>-</v>
          </cell>
          <cell r="BS63">
            <v>0</v>
          </cell>
          <cell r="BT63">
            <v>0</v>
          </cell>
          <cell r="BU63" t="str">
            <v>-</v>
          </cell>
        </row>
        <row r="64">
          <cell r="A64" t="str">
            <v>10512RET</v>
          </cell>
          <cell r="B64">
            <v>10512</v>
          </cell>
          <cell r="C64" t="str">
            <v>RET</v>
          </cell>
          <cell r="D64" t="str">
            <v>Interior Lighting</v>
          </cell>
          <cell r="E64" t="str">
            <v>Lighting Controls</v>
          </cell>
          <cell r="F64" t="str">
            <v>R</v>
          </cell>
          <cell r="G64" t="str">
            <v>Y</v>
          </cell>
          <cell r="M64" t="str">
            <v>RET</v>
          </cell>
          <cell r="N64" t="str">
            <v>Lighting with no controls</v>
          </cell>
          <cell r="O64">
            <v>2021</v>
          </cell>
          <cell r="P64">
            <v>2030</v>
          </cell>
          <cell r="Q64" t="str">
            <v>Single Family</v>
          </cell>
          <cell r="R64" t="str">
            <v xml:space="preserve">Control </v>
          </cell>
          <cell r="S64">
            <v>0</v>
          </cell>
          <cell r="T64">
            <v>0</v>
          </cell>
          <cell r="U64">
            <v>0</v>
          </cell>
          <cell r="V64">
            <v>34.656750000000009</v>
          </cell>
          <cell r="W64">
            <v>0.30000000000000004</v>
          </cell>
          <cell r="X64" t="str">
            <v>-</v>
          </cell>
          <cell r="Y64">
            <v>2</v>
          </cell>
          <cell r="Z64">
            <v>2</v>
          </cell>
          <cell r="AA64">
            <v>0</v>
          </cell>
          <cell r="AB64">
            <v>0</v>
          </cell>
          <cell r="AC64">
            <v>0</v>
          </cell>
          <cell r="AD64">
            <v>1.8347315698481053</v>
          </cell>
          <cell r="AE64">
            <v>4</v>
          </cell>
          <cell r="AF64">
            <v>4</v>
          </cell>
          <cell r="AG64">
            <v>0</v>
          </cell>
          <cell r="AH64">
            <v>0</v>
          </cell>
          <cell r="AI64">
            <v>0</v>
          </cell>
          <cell r="AJ64">
            <v>0</v>
          </cell>
          <cell r="AK64">
            <v>0</v>
          </cell>
          <cell r="AL64" t="str">
            <v>-</v>
          </cell>
          <cell r="AM64" t="str">
            <v>-</v>
          </cell>
          <cell r="AN64" t="str">
            <v/>
          </cell>
          <cell r="AO64">
            <v>0</v>
          </cell>
          <cell r="AP64" t="str">
            <v>-</v>
          </cell>
          <cell r="AQ64">
            <v>0</v>
          </cell>
          <cell r="AR64" t="str">
            <v>-</v>
          </cell>
          <cell r="AS64">
            <v>0</v>
          </cell>
          <cell r="AT64" t="str">
            <v/>
          </cell>
          <cell r="AU64">
            <v>0</v>
          </cell>
          <cell r="AV64" t="str">
            <v>-</v>
          </cell>
          <cell r="AW64">
            <v>0</v>
          </cell>
          <cell r="AX64" t="str">
            <v>-</v>
          </cell>
          <cell r="AY64">
            <v>0</v>
          </cell>
          <cell r="AZ64" t="str">
            <v/>
          </cell>
          <cell r="BA64">
            <v>0</v>
          </cell>
          <cell r="BB64" t="str">
            <v>-</v>
          </cell>
          <cell r="BC64">
            <v>0</v>
          </cell>
          <cell r="BD64" t="str">
            <v>-</v>
          </cell>
          <cell r="BE64">
            <v>0</v>
          </cell>
          <cell r="BF64" t="str">
            <v/>
          </cell>
          <cell r="BG64">
            <v>0</v>
          </cell>
          <cell r="BH64" t="str">
            <v>-</v>
          </cell>
          <cell r="BI64">
            <v>0</v>
          </cell>
          <cell r="BJ64" t="str">
            <v>-</v>
          </cell>
          <cell r="BK64">
            <v>0</v>
          </cell>
          <cell r="BL64">
            <v>0</v>
          </cell>
          <cell r="BM64" t="str">
            <v>-</v>
          </cell>
          <cell r="BN64">
            <v>10</v>
          </cell>
          <cell r="BO64" t="str">
            <v/>
          </cell>
          <cell r="BP64">
            <v>0</v>
          </cell>
          <cell r="BQ64">
            <v>0</v>
          </cell>
          <cell r="BR64" t="str">
            <v>-</v>
          </cell>
          <cell r="BS64">
            <v>0</v>
          </cell>
          <cell r="BT64">
            <v>0</v>
          </cell>
          <cell r="BU64" t="str">
            <v>-</v>
          </cell>
        </row>
        <row r="65">
          <cell r="A65" t="str">
            <v>10601RET</v>
          </cell>
          <cell r="B65">
            <v>10601</v>
          </cell>
          <cell r="C65" t="str">
            <v>RET</v>
          </cell>
          <cell r="D65" t="e">
            <v>#REF!</v>
          </cell>
          <cell r="E65" t="e">
            <v>#REF!</v>
          </cell>
          <cell r="F65" t="e">
            <v>#REF!</v>
          </cell>
          <cell r="G65" t="str">
            <v>Y</v>
          </cell>
          <cell r="M65" t="e">
            <v>#REF!</v>
          </cell>
          <cell r="N65" t="e">
            <v>#REF!</v>
          </cell>
          <cell r="O65" t="e">
            <v>#REF!</v>
          </cell>
          <cell r="P65" t="e">
            <v>#REF!</v>
          </cell>
          <cell r="Q65" t="e">
            <v>#REF!</v>
          </cell>
          <cell r="R65" t="e">
            <v>#REF!</v>
          </cell>
          <cell r="S65" t="e">
            <v>#REF!</v>
          </cell>
          <cell r="T65" t="e">
            <v>#REF!</v>
          </cell>
          <cell r="U65" t="e">
            <v>#REF!</v>
          </cell>
          <cell r="V65" t="e">
            <v>#REF!</v>
          </cell>
          <cell r="W65" t="e">
            <v>#REF!</v>
          </cell>
          <cell r="X65" t="e">
            <v>#REF!</v>
          </cell>
          <cell r="Y65" t="e">
            <v>#REF!</v>
          </cell>
          <cell r="Z65" t="e">
            <v>#REF!</v>
          </cell>
          <cell r="AA65" t="e">
            <v>#REF!</v>
          </cell>
          <cell r="AB65" t="e">
            <v>#REF!</v>
          </cell>
          <cell r="AC65" t="e">
            <v>#REF!</v>
          </cell>
          <cell r="AD65" t="e">
            <v>#REF!</v>
          </cell>
          <cell r="AE65" t="e">
            <v>#REF!</v>
          </cell>
          <cell r="AF65" t="e">
            <v>#REF!</v>
          </cell>
          <cell r="AG65" t="e">
            <v>#REF!</v>
          </cell>
          <cell r="AH65" t="e">
            <v>#REF!</v>
          </cell>
          <cell r="AI65" t="e">
            <v>#REF!</v>
          </cell>
          <cell r="AJ65" t="e">
            <v>#REF!</v>
          </cell>
          <cell r="AK65" t="e">
            <v>#REF!</v>
          </cell>
          <cell r="AL65" t="e">
            <v>#REF!</v>
          </cell>
          <cell r="AM65" t="e">
            <v>#REF!</v>
          </cell>
          <cell r="AN65" t="e">
            <v>#REF!</v>
          </cell>
          <cell r="AO65" t="e">
            <v>#REF!</v>
          </cell>
          <cell r="AP65" t="e">
            <v>#REF!</v>
          </cell>
          <cell r="AQ65" t="e">
            <v>#REF!</v>
          </cell>
          <cell r="AR65" t="e">
            <v>#REF!</v>
          </cell>
          <cell r="AS65" t="e">
            <v>#REF!</v>
          </cell>
          <cell r="AT65" t="e">
            <v>#REF!</v>
          </cell>
          <cell r="AU65" t="e">
            <v>#REF!</v>
          </cell>
          <cell r="AV65" t="e">
            <v>#REF!</v>
          </cell>
          <cell r="AW65" t="e">
            <v>#REF!</v>
          </cell>
          <cell r="AX65" t="e">
            <v>#REF!</v>
          </cell>
          <cell r="AY65" t="e">
            <v>#REF!</v>
          </cell>
          <cell r="AZ65" t="e">
            <v>#REF!</v>
          </cell>
          <cell r="BA65" t="e">
            <v>#REF!</v>
          </cell>
          <cell r="BB65" t="e">
            <v>#REF!</v>
          </cell>
          <cell r="BC65" t="e">
            <v>#REF!</v>
          </cell>
          <cell r="BD65" t="e">
            <v>#REF!</v>
          </cell>
          <cell r="BE65" t="e">
            <v>#REF!</v>
          </cell>
          <cell r="BF65" t="e">
            <v>#REF!</v>
          </cell>
          <cell r="BG65" t="e">
            <v>#REF!</v>
          </cell>
          <cell r="BH65" t="e">
            <v>#REF!</v>
          </cell>
          <cell r="BI65" t="e">
            <v>#REF!</v>
          </cell>
          <cell r="BJ65" t="e">
            <v>#REF!</v>
          </cell>
          <cell r="BK65" t="e">
            <v>#REF!</v>
          </cell>
          <cell r="BL65" t="e">
            <v>#REF!</v>
          </cell>
          <cell r="BM65" t="e">
            <v>#REF!</v>
          </cell>
          <cell r="BN65" t="e">
            <v>#REF!</v>
          </cell>
          <cell r="BO65" t="e">
            <v>#REF!</v>
          </cell>
          <cell r="BP65" t="e">
            <v>#REF!</v>
          </cell>
          <cell r="BQ65" t="e">
            <v>#REF!</v>
          </cell>
          <cell r="BR65" t="e">
            <v>#REF!</v>
          </cell>
          <cell r="BS65" t="e">
            <v>#REF!</v>
          </cell>
          <cell r="BT65" t="e">
            <v>#REF!</v>
          </cell>
          <cell r="BU65" t="e">
            <v>#REF!</v>
          </cell>
        </row>
        <row r="66">
          <cell r="A66" t="str">
            <v>10602MD</v>
          </cell>
          <cell r="B66">
            <v>10602</v>
          </cell>
          <cell r="C66" t="str">
            <v>MD</v>
          </cell>
          <cell r="D66" t="str">
            <v>Other</v>
          </cell>
          <cell r="E66" t="str">
            <v>ECM Circulation Pump</v>
          </cell>
          <cell r="F66" t="str">
            <v>R</v>
          </cell>
          <cell r="G66" t="str">
            <v>Y</v>
          </cell>
          <cell r="M66" t="str">
            <v>NC, REPL</v>
          </cell>
          <cell r="N66" t="str">
            <v>Pump without ECM</v>
          </cell>
          <cell r="O66">
            <v>2021</v>
          </cell>
          <cell r="P66">
            <v>2030</v>
          </cell>
          <cell r="Q66" t="str">
            <v>Multifamily</v>
          </cell>
          <cell r="R66" t="str">
            <v/>
          </cell>
          <cell r="S66">
            <v>0</v>
          </cell>
          <cell r="T66">
            <v>0</v>
          </cell>
          <cell r="U66">
            <v>0</v>
          </cell>
          <cell r="V66">
            <v>1831.8287500000001</v>
          </cell>
          <cell r="W66">
            <v>0.82</v>
          </cell>
          <cell r="X66" t="str">
            <v>-</v>
          </cell>
          <cell r="Y66" t="str">
            <v>1,2,3,8</v>
          </cell>
          <cell r="Z66" t="str">
            <v>1,2,3,8</v>
          </cell>
          <cell r="AA66">
            <v>0</v>
          </cell>
          <cell r="AB66">
            <v>0</v>
          </cell>
          <cell r="AC66">
            <v>0</v>
          </cell>
          <cell r="AD66">
            <v>1.3647563943954912</v>
          </cell>
          <cell r="AE66">
            <v>8</v>
          </cell>
          <cell r="AF66">
            <v>8</v>
          </cell>
          <cell r="AG66">
            <v>0</v>
          </cell>
          <cell r="AH66">
            <v>0</v>
          </cell>
          <cell r="AI66">
            <v>0</v>
          </cell>
          <cell r="AJ66">
            <v>0</v>
          </cell>
          <cell r="AK66">
            <v>0</v>
          </cell>
          <cell r="AL66" t="str">
            <v>-</v>
          </cell>
          <cell r="AM66" t="str">
            <v>-</v>
          </cell>
          <cell r="AN66" t="str">
            <v/>
          </cell>
          <cell r="AO66">
            <v>0</v>
          </cell>
          <cell r="AP66" t="str">
            <v>-</v>
          </cell>
          <cell r="AQ66">
            <v>0</v>
          </cell>
          <cell r="AR66" t="str">
            <v>-</v>
          </cell>
          <cell r="AS66">
            <v>0</v>
          </cell>
          <cell r="AT66" t="str">
            <v/>
          </cell>
          <cell r="AU66">
            <v>0</v>
          </cell>
          <cell r="AV66" t="str">
            <v>-</v>
          </cell>
          <cell r="AW66">
            <v>0</v>
          </cell>
          <cell r="AX66" t="str">
            <v>-</v>
          </cell>
          <cell r="AY66">
            <v>0</v>
          </cell>
          <cell r="AZ66" t="str">
            <v/>
          </cell>
          <cell r="BA66">
            <v>0</v>
          </cell>
          <cell r="BB66" t="str">
            <v>-</v>
          </cell>
          <cell r="BC66">
            <v>0</v>
          </cell>
          <cell r="BD66" t="str">
            <v>-</v>
          </cell>
          <cell r="BE66">
            <v>0</v>
          </cell>
          <cell r="BF66" t="str">
            <v/>
          </cell>
          <cell r="BG66">
            <v>0</v>
          </cell>
          <cell r="BH66" t="str">
            <v>-</v>
          </cell>
          <cell r="BI66">
            <v>0</v>
          </cell>
          <cell r="BJ66" t="str">
            <v>-</v>
          </cell>
          <cell r="BK66">
            <v>0</v>
          </cell>
          <cell r="BL66">
            <v>0</v>
          </cell>
          <cell r="BM66" t="str">
            <v>-</v>
          </cell>
          <cell r="BN66">
            <v>15</v>
          </cell>
          <cell r="BO66" t="str">
            <v/>
          </cell>
          <cell r="BP66">
            <v>0</v>
          </cell>
          <cell r="BQ66">
            <v>0</v>
          </cell>
          <cell r="BR66" t="str">
            <v>-</v>
          </cell>
          <cell r="BS66">
            <v>0</v>
          </cell>
          <cell r="BT66">
            <v>0</v>
          </cell>
          <cell r="BU66" t="str">
            <v>-</v>
          </cell>
        </row>
        <row r="67">
          <cell r="A67" t="str">
            <v>10603MD</v>
          </cell>
          <cell r="B67">
            <v>10603</v>
          </cell>
          <cell r="C67" t="str">
            <v>MD</v>
          </cell>
          <cell r="D67" t="str">
            <v>Other</v>
          </cell>
          <cell r="E67" t="str">
            <v>ECM Circulation Pump</v>
          </cell>
          <cell r="F67" t="str">
            <v>R</v>
          </cell>
          <cell r="G67" t="str">
            <v>Y</v>
          </cell>
          <cell r="M67" t="str">
            <v>NC, REPL</v>
          </cell>
          <cell r="N67" t="str">
            <v>Pump without ECM</v>
          </cell>
          <cell r="O67">
            <v>2021</v>
          </cell>
          <cell r="P67">
            <v>2030</v>
          </cell>
          <cell r="Q67" t="str">
            <v>Multifamily</v>
          </cell>
          <cell r="R67" t="str">
            <v/>
          </cell>
          <cell r="S67">
            <v>0</v>
          </cell>
          <cell r="T67">
            <v>0</v>
          </cell>
          <cell r="U67">
            <v>0</v>
          </cell>
          <cell r="V67">
            <v>10392.361111111111</v>
          </cell>
          <cell r="W67">
            <v>0.82000000000000006</v>
          </cell>
          <cell r="X67" t="str">
            <v>-</v>
          </cell>
          <cell r="Y67" t="str">
            <v>1,2,3,8</v>
          </cell>
          <cell r="Z67" t="str">
            <v>1,2,3,8</v>
          </cell>
          <cell r="AA67">
            <v>0</v>
          </cell>
          <cell r="AB67">
            <v>0</v>
          </cell>
          <cell r="AC67">
            <v>0</v>
          </cell>
          <cell r="AD67">
            <v>0.24056130972268627</v>
          </cell>
          <cell r="AE67">
            <v>8</v>
          </cell>
          <cell r="AF67">
            <v>8</v>
          </cell>
          <cell r="AG67">
            <v>0</v>
          </cell>
          <cell r="AH67">
            <v>0</v>
          </cell>
          <cell r="AI67">
            <v>0</v>
          </cell>
          <cell r="AJ67">
            <v>0</v>
          </cell>
          <cell r="AK67">
            <v>0</v>
          </cell>
          <cell r="AL67" t="str">
            <v>-</v>
          </cell>
          <cell r="AM67" t="str">
            <v>-</v>
          </cell>
          <cell r="AN67" t="str">
            <v/>
          </cell>
          <cell r="AO67">
            <v>0</v>
          </cell>
          <cell r="AP67" t="str">
            <v>-</v>
          </cell>
          <cell r="AQ67">
            <v>0</v>
          </cell>
          <cell r="AR67" t="str">
            <v>-</v>
          </cell>
          <cell r="AS67">
            <v>0</v>
          </cell>
          <cell r="AT67" t="str">
            <v/>
          </cell>
          <cell r="AU67">
            <v>0</v>
          </cell>
          <cell r="AV67" t="str">
            <v>-</v>
          </cell>
          <cell r="AW67">
            <v>0</v>
          </cell>
          <cell r="AX67" t="str">
            <v>-</v>
          </cell>
          <cell r="AY67">
            <v>0</v>
          </cell>
          <cell r="AZ67" t="str">
            <v/>
          </cell>
          <cell r="BA67">
            <v>0</v>
          </cell>
          <cell r="BB67" t="str">
            <v>-</v>
          </cell>
          <cell r="BC67">
            <v>0</v>
          </cell>
          <cell r="BD67" t="str">
            <v>-</v>
          </cell>
          <cell r="BE67">
            <v>0</v>
          </cell>
          <cell r="BF67" t="str">
            <v/>
          </cell>
          <cell r="BG67">
            <v>0</v>
          </cell>
          <cell r="BH67" t="str">
            <v>-</v>
          </cell>
          <cell r="BI67">
            <v>0</v>
          </cell>
          <cell r="BJ67" t="str">
            <v>-</v>
          </cell>
          <cell r="BK67">
            <v>0</v>
          </cell>
          <cell r="BL67">
            <v>0</v>
          </cell>
          <cell r="BM67" t="str">
            <v>-</v>
          </cell>
          <cell r="BN67">
            <v>15</v>
          </cell>
          <cell r="BO67" t="str">
            <v/>
          </cell>
          <cell r="BP67">
            <v>0</v>
          </cell>
          <cell r="BQ67">
            <v>0</v>
          </cell>
          <cell r="BR67" t="str">
            <v>-</v>
          </cell>
          <cell r="BS67">
            <v>0</v>
          </cell>
          <cell r="BT67">
            <v>0</v>
          </cell>
          <cell r="BU67" t="str">
            <v>-</v>
          </cell>
        </row>
        <row r="68">
          <cell r="A68" t="str">
            <v>10604RET</v>
          </cell>
          <cell r="B68">
            <v>10604</v>
          </cell>
          <cell r="C68" t="str">
            <v>RET</v>
          </cell>
          <cell r="D68" t="str">
            <v>Other</v>
          </cell>
          <cell r="E68" t="str">
            <v>ECM Blower Motor</v>
          </cell>
          <cell r="F68" t="str">
            <v>R</v>
          </cell>
          <cell r="G68" t="str">
            <v>Y</v>
          </cell>
          <cell r="M68" t="str">
            <v>RET</v>
          </cell>
          <cell r="N68" t="str">
            <v>Existing furnace with less efficient PSC motor</v>
          </cell>
          <cell r="O68">
            <v>2021</v>
          </cell>
          <cell r="P68">
            <v>2030</v>
          </cell>
          <cell r="Q68" t="str">
            <v>Single Family</v>
          </cell>
          <cell r="R68" t="str">
            <v/>
          </cell>
          <cell r="S68">
            <v>0</v>
          </cell>
          <cell r="T68">
            <v>0</v>
          </cell>
          <cell r="U68">
            <v>0</v>
          </cell>
          <cell r="V68">
            <v>175.89845600000001</v>
          </cell>
          <cell r="W68">
            <v>0.25</v>
          </cell>
          <cell r="X68" t="str">
            <v>-</v>
          </cell>
          <cell r="Y68" t="str">
            <v>1,2,57</v>
          </cell>
          <cell r="Z68" t="str">
            <v>1,2,57</v>
          </cell>
          <cell r="AA68">
            <v>0</v>
          </cell>
          <cell r="AB68">
            <v>0</v>
          </cell>
          <cell r="AC68">
            <v>0</v>
          </cell>
          <cell r="AD68">
            <v>2.0466353610289789</v>
          </cell>
          <cell r="AE68">
            <v>4</v>
          </cell>
          <cell r="AF68">
            <v>4</v>
          </cell>
          <cell r="AG68">
            <v>15</v>
          </cell>
          <cell r="AH68">
            <v>10</v>
          </cell>
          <cell r="AI68">
            <v>360</v>
          </cell>
          <cell r="AJ68">
            <v>2.0466353610289789</v>
          </cell>
          <cell r="AK68">
            <v>1</v>
          </cell>
          <cell r="AL68" t="str">
            <v>-</v>
          </cell>
          <cell r="AM68" t="str">
            <v>-</v>
          </cell>
          <cell r="AN68" t="str">
            <v/>
          </cell>
          <cell r="AO68">
            <v>0</v>
          </cell>
          <cell r="AP68" t="str">
            <v>-</v>
          </cell>
          <cell r="AQ68">
            <v>0</v>
          </cell>
          <cell r="AR68" t="str">
            <v>-</v>
          </cell>
          <cell r="AS68">
            <v>0</v>
          </cell>
          <cell r="AT68" t="str">
            <v/>
          </cell>
          <cell r="AU68">
            <v>0</v>
          </cell>
          <cell r="AV68" t="str">
            <v>-</v>
          </cell>
          <cell r="AW68">
            <v>0</v>
          </cell>
          <cell r="AX68" t="str">
            <v>-</v>
          </cell>
          <cell r="AY68">
            <v>0</v>
          </cell>
          <cell r="AZ68" t="str">
            <v/>
          </cell>
          <cell r="BA68">
            <v>0</v>
          </cell>
          <cell r="BB68" t="str">
            <v>-</v>
          </cell>
          <cell r="BC68">
            <v>0</v>
          </cell>
          <cell r="BD68" t="str">
            <v>-</v>
          </cell>
          <cell r="BE68">
            <v>0</v>
          </cell>
          <cell r="BF68" t="str">
            <v/>
          </cell>
          <cell r="BG68">
            <v>0</v>
          </cell>
          <cell r="BH68" t="str">
            <v>-</v>
          </cell>
          <cell r="BI68">
            <v>0</v>
          </cell>
          <cell r="BJ68" t="str">
            <v>-</v>
          </cell>
          <cell r="BK68">
            <v>0</v>
          </cell>
          <cell r="BL68">
            <v>0</v>
          </cell>
          <cell r="BM68" t="str">
            <v>-</v>
          </cell>
          <cell r="BN68">
            <v>15</v>
          </cell>
          <cell r="BO68" t="str">
            <v/>
          </cell>
          <cell r="BP68">
            <v>0</v>
          </cell>
          <cell r="BQ68">
            <v>0</v>
          </cell>
          <cell r="BR68" t="str">
            <v>-</v>
          </cell>
          <cell r="BS68">
            <v>0</v>
          </cell>
          <cell r="BT68">
            <v>0</v>
          </cell>
          <cell r="BU68" t="str">
            <v>-</v>
          </cell>
        </row>
        <row r="69">
          <cell r="A69" t="str">
            <v>10605MD</v>
          </cell>
          <cell r="B69">
            <v>10605</v>
          </cell>
          <cell r="C69" t="str">
            <v>MD</v>
          </cell>
          <cell r="D69" t="e">
            <v>#REF!</v>
          </cell>
          <cell r="E69" t="e">
            <v>#REF!</v>
          </cell>
          <cell r="F69" t="e">
            <v>#REF!</v>
          </cell>
          <cell r="G69" t="str">
            <v>Y</v>
          </cell>
          <cell r="M69" t="e">
            <v>#REF!</v>
          </cell>
          <cell r="N69" t="e">
            <v>#REF!</v>
          </cell>
          <cell r="O69" t="e">
            <v>#REF!</v>
          </cell>
          <cell r="P69" t="e">
            <v>#REF!</v>
          </cell>
          <cell r="Q69" t="e">
            <v>#REF!</v>
          </cell>
          <cell r="R69" t="e">
            <v>#REF!</v>
          </cell>
          <cell r="S69" t="e">
            <v>#REF!</v>
          </cell>
          <cell r="T69" t="e">
            <v>#REF!</v>
          </cell>
          <cell r="U69" t="e">
            <v>#REF!</v>
          </cell>
          <cell r="V69" t="e">
            <v>#REF!</v>
          </cell>
          <cell r="W69" t="e">
            <v>#REF!</v>
          </cell>
          <cell r="X69" t="e">
            <v>#REF!</v>
          </cell>
          <cell r="Y69" t="e">
            <v>#REF!</v>
          </cell>
          <cell r="Z69" t="e">
            <v>#REF!</v>
          </cell>
          <cell r="AA69" t="e">
            <v>#REF!</v>
          </cell>
          <cell r="AB69" t="e">
            <v>#REF!</v>
          </cell>
          <cell r="AC69" t="e">
            <v>#REF!</v>
          </cell>
          <cell r="AD69" t="e">
            <v>#REF!</v>
          </cell>
          <cell r="AE69" t="e">
            <v>#REF!</v>
          </cell>
          <cell r="AF69" t="e">
            <v>#REF!</v>
          </cell>
          <cell r="AG69" t="e">
            <v>#REF!</v>
          </cell>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cell r="AW69" t="e">
            <v>#REF!</v>
          </cell>
          <cell r="AX69" t="e">
            <v>#REF!</v>
          </cell>
          <cell r="AY69" t="e">
            <v>#REF!</v>
          </cell>
          <cell r="AZ69" t="e">
            <v>#REF!</v>
          </cell>
          <cell r="BA69" t="e">
            <v>#REF!</v>
          </cell>
          <cell r="BB69" t="e">
            <v>#REF!</v>
          </cell>
          <cell r="BC69" t="e">
            <v>#REF!</v>
          </cell>
          <cell r="BD69" t="e">
            <v>#REF!</v>
          </cell>
          <cell r="BE69" t="e">
            <v>#REF!</v>
          </cell>
          <cell r="BF69" t="e">
            <v>#REF!</v>
          </cell>
          <cell r="BG69" t="e">
            <v>#REF!</v>
          </cell>
          <cell r="BH69" t="e">
            <v>#REF!</v>
          </cell>
          <cell r="BI69" t="e">
            <v>#REF!</v>
          </cell>
          <cell r="BJ69" t="e">
            <v>#REF!</v>
          </cell>
          <cell r="BK69" t="e">
            <v>#REF!</v>
          </cell>
          <cell r="BL69" t="e">
            <v>#REF!</v>
          </cell>
          <cell r="BM69" t="e">
            <v>#REF!</v>
          </cell>
          <cell r="BN69" t="e">
            <v>#REF!</v>
          </cell>
          <cell r="BO69" t="e">
            <v>#REF!</v>
          </cell>
          <cell r="BP69" t="e">
            <v>#REF!</v>
          </cell>
          <cell r="BQ69" t="e">
            <v>#REF!</v>
          </cell>
          <cell r="BR69" t="e">
            <v>#REF!</v>
          </cell>
          <cell r="BS69" t="e">
            <v>#REF!</v>
          </cell>
          <cell r="BT69" t="e">
            <v>#REF!</v>
          </cell>
          <cell r="BU69" t="e">
            <v>#REF!</v>
          </cell>
        </row>
        <row r="70">
          <cell r="A70" t="str">
            <v>10605RET</v>
          </cell>
          <cell r="B70">
            <v>10605</v>
          </cell>
          <cell r="C70" t="str">
            <v>RET</v>
          </cell>
          <cell r="D70" t="e">
            <v>#REF!</v>
          </cell>
          <cell r="E70" t="e">
            <v>#REF!</v>
          </cell>
          <cell r="F70" t="e">
            <v>#REF!</v>
          </cell>
          <cell r="G70" t="str">
            <v>Y</v>
          </cell>
          <cell r="M70" t="e">
            <v>#REF!</v>
          </cell>
          <cell r="N70" t="e">
            <v>#REF!</v>
          </cell>
          <cell r="O70" t="e">
            <v>#REF!</v>
          </cell>
          <cell r="P70" t="e">
            <v>#REF!</v>
          </cell>
          <cell r="Q70" t="e">
            <v>#REF!</v>
          </cell>
          <cell r="R70" t="e">
            <v>#REF!</v>
          </cell>
          <cell r="S70" t="e">
            <v>#REF!</v>
          </cell>
          <cell r="T70" t="e">
            <v>#REF!</v>
          </cell>
          <cell r="U70" t="e">
            <v>#REF!</v>
          </cell>
          <cell r="V70" t="e">
            <v>#REF!</v>
          </cell>
          <cell r="W70" t="e">
            <v>#REF!</v>
          </cell>
          <cell r="X70" t="e">
            <v>#REF!</v>
          </cell>
          <cell r="Y70" t="e">
            <v>#REF!</v>
          </cell>
          <cell r="Z70" t="e">
            <v>#REF!</v>
          </cell>
          <cell r="AA70" t="e">
            <v>#REF!</v>
          </cell>
          <cell r="AB70" t="e">
            <v>#REF!</v>
          </cell>
          <cell r="AC70" t="e">
            <v>#REF!</v>
          </cell>
          <cell r="AD70" t="e">
            <v>#REF!</v>
          </cell>
          <cell r="AE70" t="e">
            <v>#REF!</v>
          </cell>
          <cell r="AF70" t="e">
            <v>#REF!</v>
          </cell>
          <cell r="AG70" t="e">
            <v>#REF!</v>
          </cell>
          <cell r="AH70" t="e">
            <v>#REF!</v>
          </cell>
          <cell r="AI70" t="e">
            <v>#REF!</v>
          </cell>
          <cell r="AJ70" t="e">
            <v>#REF!</v>
          </cell>
          <cell r="AK70" t="e">
            <v>#REF!</v>
          </cell>
          <cell r="AL70" t="e">
            <v>#REF!</v>
          </cell>
          <cell r="AM70" t="e">
            <v>#REF!</v>
          </cell>
          <cell r="AN70" t="e">
            <v>#REF!</v>
          </cell>
          <cell r="AO70" t="e">
            <v>#REF!</v>
          </cell>
          <cell r="AP70" t="e">
            <v>#REF!</v>
          </cell>
          <cell r="AQ70" t="e">
            <v>#REF!</v>
          </cell>
          <cell r="AR70" t="e">
            <v>#REF!</v>
          </cell>
          <cell r="AS70" t="e">
            <v>#REF!</v>
          </cell>
          <cell r="AT70" t="e">
            <v>#REF!</v>
          </cell>
          <cell r="AU70" t="e">
            <v>#REF!</v>
          </cell>
          <cell r="AV70" t="e">
            <v>#REF!</v>
          </cell>
          <cell r="AW70" t="e">
            <v>#REF!</v>
          </cell>
          <cell r="AX70" t="e">
            <v>#REF!</v>
          </cell>
          <cell r="AY70" t="e">
            <v>#REF!</v>
          </cell>
          <cell r="AZ70" t="e">
            <v>#REF!</v>
          </cell>
          <cell r="BA70" t="e">
            <v>#REF!</v>
          </cell>
          <cell r="BB70" t="e">
            <v>#REF!</v>
          </cell>
          <cell r="BC70" t="e">
            <v>#REF!</v>
          </cell>
          <cell r="BD70" t="e">
            <v>#REF!</v>
          </cell>
          <cell r="BE70" t="e">
            <v>#REF!</v>
          </cell>
          <cell r="BF70" t="e">
            <v>#REF!</v>
          </cell>
          <cell r="BG70" t="e">
            <v>#REF!</v>
          </cell>
          <cell r="BH70" t="e">
            <v>#REF!</v>
          </cell>
          <cell r="BI70" t="e">
            <v>#REF!</v>
          </cell>
          <cell r="BJ70" t="e">
            <v>#REF!</v>
          </cell>
          <cell r="BK70" t="e">
            <v>#REF!</v>
          </cell>
          <cell r="BL70" t="e">
            <v>#REF!</v>
          </cell>
          <cell r="BM70" t="e">
            <v>#REF!</v>
          </cell>
          <cell r="BN70" t="e">
            <v>#REF!</v>
          </cell>
          <cell r="BO70" t="e">
            <v>#REF!</v>
          </cell>
          <cell r="BP70" t="e">
            <v>#REF!</v>
          </cell>
          <cell r="BQ70" t="e">
            <v>#REF!</v>
          </cell>
          <cell r="BR70" t="e">
            <v>#REF!</v>
          </cell>
          <cell r="BS70" t="e">
            <v>#REF!</v>
          </cell>
          <cell r="BT70" t="e">
            <v>#REF!</v>
          </cell>
          <cell r="BU70" t="e">
            <v>#REF!</v>
          </cell>
        </row>
        <row r="71">
          <cell r="A71" t="str">
            <v>10701RET</v>
          </cell>
          <cell r="B71">
            <v>10701</v>
          </cell>
          <cell r="C71" t="str">
            <v>RET</v>
          </cell>
          <cell r="D71" t="e">
            <v>#REF!</v>
          </cell>
          <cell r="E71" t="e">
            <v>#REF!</v>
          </cell>
          <cell r="F71" t="e">
            <v>#REF!</v>
          </cell>
          <cell r="G71" t="str">
            <v>Y</v>
          </cell>
          <cell r="M71" t="e">
            <v>#REF!</v>
          </cell>
          <cell r="N71" t="e">
            <v>#REF!</v>
          </cell>
          <cell r="O71" t="e">
            <v>#REF!</v>
          </cell>
          <cell r="P71" t="e">
            <v>#REF!</v>
          </cell>
          <cell r="Q71" t="e">
            <v>#REF!</v>
          </cell>
          <cell r="R71" t="e">
            <v>#REF!</v>
          </cell>
          <cell r="S71" t="e">
            <v>#REF!</v>
          </cell>
          <cell r="T71" t="e">
            <v>#REF!</v>
          </cell>
          <cell r="U71" t="e">
            <v>#REF!</v>
          </cell>
          <cell r="V71" t="e">
            <v>#REF!</v>
          </cell>
          <cell r="W71" t="e">
            <v>#REF!</v>
          </cell>
          <cell r="X71" t="e">
            <v>#REF!</v>
          </cell>
          <cell r="Y71" t="e">
            <v>#REF!</v>
          </cell>
          <cell r="Z71" t="e">
            <v>#REF!</v>
          </cell>
          <cell r="AA71" t="e">
            <v>#REF!</v>
          </cell>
          <cell r="AB71" t="e">
            <v>#REF!</v>
          </cell>
          <cell r="AC71" t="e">
            <v>#REF!</v>
          </cell>
          <cell r="AD71" t="e">
            <v>#REF!</v>
          </cell>
          <cell r="AE71" t="e">
            <v>#REF!</v>
          </cell>
          <cell r="AF71" t="e">
            <v>#REF!</v>
          </cell>
          <cell r="AG71" t="e">
            <v>#REF!</v>
          </cell>
          <cell r="AH71" t="e">
            <v>#REF!</v>
          </cell>
          <cell r="AI71" t="e">
            <v>#REF!</v>
          </cell>
          <cell r="AJ71" t="e">
            <v>#REF!</v>
          </cell>
          <cell r="AK71" t="e">
            <v>#REF!</v>
          </cell>
          <cell r="AL71" t="e">
            <v>#REF!</v>
          </cell>
          <cell r="AM71" t="e">
            <v>#REF!</v>
          </cell>
          <cell r="AN71" t="e">
            <v>#REF!</v>
          </cell>
          <cell r="AO71" t="e">
            <v>#REF!</v>
          </cell>
          <cell r="AP71" t="e">
            <v>#REF!</v>
          </cell>
          <cell r="AQ71" t="e">
            <v>#REF!</v>
          </cell>
          <cell r="AR71" t="e">
            <v>#REF!</v>
          </cell>
          <cell r="AS71" t="e">
            <v>#REF!</v>
          </cell>
          <cell r="AT71" t="e">
            <v>#REF!</v>
          </cell>
          <cell r="AU71" t="e">
            <v>#REF!</v>
          </cell>
          <cell r="AV71" t="e">
            <v>#REF!</v>
          </cell>
          <cell r="AW71" t="e">
            <v>#REF!</v>
          </cell>
          <cell r="AX71" t="e">
            <v>#REF!</v>
          </cell>
          <cell r="AY71" t="e">
            <v>#REF!</v>
          </cell>
          <cell r="AZ71" t="e">
            <v>#REF!</v>
          </cell>
          <cell r="BA71" t="e">
            <v>#REF!</v>
          </cell>
          <cell r="BB71" t="e">
            <v>#REF!</v>
          </cell>
          <cell r="BC71" t="e">
            <v>#REF!</v>
          </cell>
          <cell r="BD71" t="e">
            <v>#REF!</v>
          </cell>
          <cell r="BE71" t="e">
            <v>#REF!</v>
          </cell>
          <cell r="BF71" t="e">
            <v>#REF!</v>
          </cell>
          <cell r="BG71" t="e">
            <v>#REF!</v>
          </cell>
          <cell r="BH71" t="e">
            <v>#REF!</v>
          </cell>
          <cell r="BI71" t="e">
            <v>#REF!</v>
          </cell>
          <cell r="BJ71" t="e">
            <v>#REF!</v>
          </cell>
          <cell r="BK71" t="e">
            <v>#REF!</v>
          </cell>
          <cell r="BL71" t="e">
            <v>#REF!</v>
          </cell>
          <cell r="BM71" t="e">
            <v>#REF!</v>
          </cell>
          <cell r="BN71" t="e">
            <v>#REF!</v>
          </cell>
          <cell r="BO71" t="e">
            <v>#REF!</v>
          </cell>
          <cell r="BP71" t="e">
            <v>#REF!</v>
          </cell>
          <cell r="BQ71" t="e">
            <v>#REF!</v>
          </cell>
          <cell r="BR71" t="e">
            <v>#REF!</v>
          </cell>
          <cell r="BS71" t="e">
            <v>#REF!</v>
          </cell>
          <cell r="BT71" t="e">
            <v>#REF!</v>
          </cell>
          <cell r="BU71" t="e">
            <v>#REF!</v>
          </cell>
        </row>
        <row r="72">
          <cell r="A72" t="str">
            <v>10702MD</v>
          </cell>
          <cell r="B72">
            <v>10702</v>
          </cell>
          <cell r="C72" t="str">
            <v>MD</v>
          </cell>
          <cell r="D72" t="str">
            <v>Plug Loads</v>
          </cell>
          <cell r="E72" t="str">
            <v>ENERGY STAR Office Equipment</v>
          </cell>
          <cell r="F72" t="str">
            <v>R</v>
          </cell>
          <cell r="G72" t="str">
            <v>Y</v>
          </cell>
          <cell r="M72" t="str">
            <v>NC, RENO, REPL</v>
          </cell>
          <cell r="N72" t="str">
            <v>Old or previously non-existent office equipment</v>
          </cell>
          <cell r="O72">
            <v>2021</v>
          </cell>
          <cell r="P72">
            <v>2030</v>
          </cell>
          <cell r="Q72" t="str">
            <v>Single Family</v>
          </cell>
          <cell r="R72" t="str">
            <v/>
          </cell>
          <cell r="S72">
            <v>0</v>
          </cell>
          <cell r="T72">
            <v>0</v>
          </cell>
          <cell r="U72">
            <v>0</v>
          </cell>
          <cell r="V72">
            <v>200.72727272727275</v>
          </cell>
          <cell r="W72">
            <v>0.49512871494598754</v>
          </cell>
          <cell r="X72" t="str">
            <v>-</v>
          </cell>
          <cell r="Y72">
            <v>2</v>
          </cell>
          <cell r="Z72">
            <v>2</v>
          </cell>
          <cell r="AA72">
            <v>0</v>
          </cell>
          <cell r="AB72">
            <v>0</v>
          </cell>
          <cell r="AC72">
            <v>0</v>
          </cell>
          <cell r="AD72">
            <v>0</v>
          </cell>
          <cell r="AE72">
            <v>4</v>
          </cell>
          <cell r="AF72">
            <v>4</v>
          </cell>
          <cell r="AG72">
            <v>0</v>
          </cell>
          <cell r="AH72">
            <v>0</v>
          </cell>
          <cell r="AI72">
            <v>0</v>
          </cell>
          <cell r="AJ72">
            <v>0</v>
          </cell>
          <cell r="AK72">
            <v>0</v>
          </cell>
          <cell r="AL72" t="str">
            <v>-</v>
          </cell>
          <cell r="AM72" t="str">
            <v>-</v>
          </cell>
          <cell r="AN72" t="str">
            <v/>
          </cell>
          <cell r="AO72">
            <v>0</v>
          </cell>
          <cell r="AP72" t="str">
            <v>-</v>
          </cell>
          <cell r="AQ72">
            <v>0</v>
          </cell>
          <cell r="AR72" t="str">
            <v>-</v>
          </cell>
          <cell r="AS72">
            <v>0</v>
          </cell>
          <cell r="AT72" t="str">
            <v/>
          </cell>
          <cell r="AU72">
            <v>0</v>
          </cell>
          <cell r="AV72" t="str">
            <v>-</v>
          </cell>
          <cell r="AW72">
            <v>0</v>
          </cell>
          <cell r="AX72" t="str">
            <v>-</v>
          </cell>
          <cell r="AY72">
            <v>0</v>
          </cell>
          <cell r="AZ72" t="str">
            <v/>
          </cell>
          <cell r="BA72">
            <v>0</v>
          </cell>
          <cell r="BB72" t="str">
            <v>-</v>
          </cell>
          <cell r="BC72">
            <v>0</v>
          </cell>
          <cell r="BD72" t="str">
            <v>-</v>
          </cell>
          <cell r="BE72">
            <v>0</v>
          </cell>
          <cell r="BF72" t="str">
            <v/>
          </cell>
          <cell r="BG72">
            <v>0</v>
          </cell>
          <cell r="BH72" t="str">
            <v>-</v>
          </cell>
          <cell r="BI72">
            <v>0</v>
          </cell>
          <cell r="BJ72" t="str">
            <v>-</v>
          </cell>
          <cell r="BK72">
            <v>0</v>
          </cell>
          <cell r="BL72">
            <v>0</v>
          </cell>
          <cell r="BM72" t="str">
            <v>-</v>
          </cell>
          <cell r="BN72">
            <v>5.2727272727272707</v>
          </cell>
          <cell r="BO72" t="str">
            <v/>
          </cell>
          <cell r="BP72">
            <v>0</v>
          </cell>
          <cell r="BQ72">
            <v>0</v>
          </cell>
          <cell r="BR72" t="str">
            <v>-</v>
          </cell>
          <cell r="BS72">
            <v>0</v>
          </cell>
          <cell r="BT72">
            <v>0</v>
          </cell>
          <cell r="BU72" t="str">
            <v>-</v>
          </cell>
        </row>
        <row r="73">
          <cell r="A73" t="str">
            <v>10801MD</v>
          </cell>
          <cell r="B73">
            <v>10801</v>
          </cell>
          <cell r="C73" t="str">
            <v>MD</v>
          </cell>
          <cell r="D73" t="e">
            <v>#REF!</v>
          </cell>
          <cell r="E73" t="e">
            <v>#REF!</v>
          </cell>
          <cell r="F73" t="e">
            <v>#REF!</v>
          </cell>
          <cell r="G73" t="str">
            <v>Y</v>
          </cell>
          <cell r="M73" t="e">
            <v>#REF!</v>
          </cell>
          <cell r="N73" t="e">
            <v>#REF!</v>
          </cell>
          <cell r="O73" t="e">
            <v>#REF!</v>
          </cell>
          <cell r="P73" t="e">
            <v>#REF!</v>
          </cell>
          <cell r="Q73" t="e">
            <v>#REF!</v>
          </cell>
          <cell r="R73" t="e">
            <v>#REF!</v>
          </cell>
          <cell r="S73" t="e">
            <v>#REF!</v>
          </cell>
          <cell r="T73" t="e">
            <v>#REF!</v>
          </cell>
          <cell r="U73" t="e">
            <v>#REF!</v>
          </cell>
          <cell r="V73" t="e">
            <v>#REF!</v>
          </cell>
          <cell r="W73" t="e">
            <v>#REF!</v>
          </cell>
          <cell r="X73" t="e">
            <v>#REF!</v>
          </cell>
          <cell r="Y73" t="e">
            <v>#REF!</v>
          </cell>
          <cell r="Z73" t="e">
            <v>#REF!</v>
          </cell>
          <cell r="AA73" t="e">
            <v>#REF!</v>
          </cell>
          <cell r="AB73" t="e">
            <v>#REF!</v>
          </cell>
          <cell r="AC73" t="e">
            <v>#REF!</v>
          </cell>
          <cell r="AD73" t="e">
            <v>#REF!</v>
          </cell>
          <cell r="AE73" t="e">
            <v>#REF!</v>
          </cell>
          <cell r="AF73" t="e">
            <v>#REF!</v>
          </cell>
          <cell r="AG73" t="e">
            <v>#REF!</v>
          </cell>
          <cell r="AH73" t="e">
            <v>#REF!</v>
          </cell>
          <cell r="AI73" t="e">
            <v>#REF!</v>
          </cell>
          <cell r="AJ73" t="e">
            <v>#REF!</v>
          </cell>
          <cell r="AK73" t="e">
            <v>#REF!</v>
          </cell>
          <cell r="AL73" t="e">
            <v>#REF!</v>
          </cell>
          <cell r="AM73" t="e">
            <v>#REF!</v>
          </cell>
          <cell r="AN73" t="e">
            <v>#REF!</v>
          </cell>
          <cell r="AO73" t="e">
            <v>#REF!</v>
          </cell>
          <cell r="AP73" t="e">
            <v>#REF!</v>
          </cell>
          <cell r="AQ73" t="e">
            <v>#REF!</v>
          </cell>
          <cell r="AR73" t="e">
            <v>#REF!</v>
          </cell>
          <cell r="AS73" t="e">
            <v>#REF!</v>
          </cell>
          <cell r="AT73" t="e">
            <v>#REF!</v>
          </cell>
          <cell r="AU73" t="e">
            <v>#REF!</v>
          </cell>
          <cell r="AV73" t="e">
            <v>#REF!</v>
          </cell>
          <cell r="AW73" t="e">
            <v>#REF!</v>
          </cell>
          <cell r="AX73" t="e">
            <v>#REF!</v>
          </cell>
          <cell r="AY73" t="e">
            <v>#REF!</v>
          </cell>
          <cell r="AZ73" t="e">
            <v>#REF!</v>
          </cell>
          <cell r="BA73" t="e">
            <v>#REF!</v>
          </cell>
          <cell r="BB73" t="e">
            <v>#REF!</v>
          </cell>
          <cell r="BC73" t="e">
            <v>#REF!</v>
          </cell>
          <cell r="BD73" t="e">
            <v>#REF!</v>
          </cell>
          <cell r="BE73" t="e">
            <v>#REF!</v>
          </cell>
          <cell r="BF73" t="e">
            <v>#REF!</v>
          </cell>
          <cell r="BG73" t="e">
            <v>#REF!</v>
          </cell>
          <cell r="BH73" t="e">
            <v>#REF!</v>
          </cell>
          <cell r="BI73" t="e">
            <v>#REF!</v>
          </cell>
          <cell r="BJ73" t="e">
            <v>#REF!</v>
          </cell>
          <cell r="BK73" t="e">
            <v>#REF!</v>
          </cell>
          <cell r="BL73" t="e">
            <v>#REF!</v>
          </cell>
          <cell r="BM73" t="e">
            <v>#REF!</v>
          </cell>
          <cell r="BN73" t="e">
            <v>#REF!</v>
          </cell>
          <cell r="BO73" t="e">
            <v>#REF!</v>
          </cell>
          <cell r="BP73" t="e">
            <v>#REF!</v>
          </cell>
          <cell r="BQ73" t="e">
            <v>#REF!</v>
          </cell>
          <cell r="BR73" t="e">
            <v>#REF!</v>
          </cell>
          <cell r="BS73" t="e">
            <v>#REF!</v>
          </cell>
          <cell r="BT73" t="e">
            <v>#REF!</v>
          </cell>
          <cell r="BU73" t="e">
            <v>#REF!</v>
          </cell>
        </row>
        <row r="74">
          <cell r="A74" t="str">
            <v>10801RET</v>
          </cell>
          <cell r="B74">
            <v>10801</v>
          </cell>
          <cell r="C74" t="str">
            <v>RET</v>
          </cell>
          <cell r="D74" t="e">
            <v>#REF!</v>
          </cell>
          <cell r="E74" t="e">
            <v>#REF!</v>
          </cell>
          <cell r="F74" t="e">
            <v>#REF!</v>
          </cell>
          <cell r="G74" t="str">
            <v>Y</v>
          </cell>
          <cell r="M74" t="e">
            <v>#REF!</v>
          </cell>
          <cell r="N74" t="e">
            <v>#REF!</v>
          </cell>
          <cell r="O74" t="e">
            <v>#REF!</v>
          </cell>
          <cell r="P74" t="e">
            <v>#REF!</v>
          </cell>
          <cell r="Q74" t="e">
            <v>#REF!</v>
          </cell>
          <cell r="R74" t="e">
            <v>#REF!</v>
          </cell>
          <cell r="S74" t="e">
            <v>#REF!</v>
          </cell>
          <cell r="T74" t="e">
            <v>#REF!</v>
          </cell>
          <cell r="U74" t="e">
            <v>#REF!</v>
          </cell>
          <cell r="V74" t="e">
            <v>#REF!</v>
          </cell>
          <cell r="W74" t="e">
            <v>#REF!</v>
          </cell>
          <cell r="X74" t="e">
            <v>#REF!</v>
          </cell>
          <cell r="Y74" t="e">
            <v>#REF!</v>
          </cell>
          <cell r="Z74" t="e">
            <v>#REF!</v>
          </cell>
          <cell r="AA74" t="e">
            <v>#REF!</v>
          </cell>
          <cell r="AB74" t="e">
            <v>#REF!</v>
          </cell>
          <cell r="AC74" t="e">
            <v>#REF!</v>
          </cell>
          <cell r="AD74" t="e">
            <v>#REF!</v>
          </cell>
          <cell r="AE74" t="e">
            <v>#REF!</v>
          </cell>
          <cell r="AF74" t="e">
            <v>#REF!</v>
          </cell>
          <cell r="AG74" t="e">
            <v>#REF!</v>
          </cell>
          <cell r="AH74" t="e">
            <v>#REF!</v>
          </cell>
          <cell r="AI74" t="e">
            <v>#REF!</v>
          </cell>
          <cell r="AJ74" t="e">
            <v>#REF!</v>
          </cell>
          <cell r="AK74" t="e">
            <v>#REF!</v>
          </cell>
          <cell r="AL74" t="e">
            <v>#REF!</v>
          </cell>
          <cell r="AM74" t="e">
            <v>#REF!</v>
          </cell>
          <cell r="AN74" t="e">
            <v>#REF!</v>
          </cell>
          <cell r="AO74" t="e">
            <v>#REF!</v>
          </cell>
          <cell r="AP74" t="e">
            <v>#REF!</v>
          </cell>
          <cell r="AQ74" t="e">
            <v>#REF!</v>
          </cell>
          <cell r="AR74" t="e">
            <v>#REF!</v>
          </cell>
          <cell r="AS74" t="e">
            <v>#REF!</v>
          </cell>
          <cell r="AT74" t="e">
            <v>#REF!</v>
          </cell>
          <cell r="AU74" t="e">
            <v>#REF!</v>
          </cell>
          <cell r="AV74" t="e">
            <v>#REF!</v>
          </cell>
          <cell r="AW74" t="e">
            <v>#REF!</v>
          </cell>
          <cell r="AX74" t="e">
            <v>#REF!</v>
          </cell>
          <cell r="AY74" t="e">
            <v>#REF!</v>
          </cell>
          <cell r="AZ74" t="e">
            <v>#REF!</v>
          </cell>
          <cell r="BA74" t="e">
            <v>#REF!</v>
          </cell>
          <cell r="BB74" t="e">
            <v>#REF!</v>
          </cell>
          <cell r="BC74" t="e">
            <v>#REF!</v>
          </cell>
          <cell r="BD74" t="e">
            <v>#REF!</v>
          </cell>
          <cell r="BE74" t="e">
            <v>#REF!</v>
          </cell>
          <cell r="BF74" t="e">
            <v>#REF!</v>
          </cell>
          <cell r="BG74" t="e">
            <v>#REF!</v>
          </cell>
          <cell r="BH74" t="e">
            <v>#REF!</v>
          </cell>
          <cell r="BI74" t="e">
            <v>#REF!</v>
          </cell>
          <cell r="BJ74" t="e">
            <v>#REF!</v>
          </cell>
          <cell r="BK74" t="e">
            <v>#REF!</v>
          </cell>
          <cell r="BL74" t="e">
            <v>#REF!</v>
          </cell>
          <cell r="BM74" t="e">
            <v>#REF!</v>
          </cell>
          <cell r="BN74" t="e">
            <v>#REF!</v>
          </cell>
          <cell r="BO74" t="e">
            <v>#REF!</v>
          </cell>
          <cell r="BP74" t="e">
            <v>#REF!</v>
          </cell>
          <cell r="BQ74" t="e">
            <v>#REF!</v>
          </cell>
          <cell r="BR74" t="e">
            <v>#REF!</v>
          </cell>
          <cell r="BS74" t="e">
            <v>#REF!</v>
          </cell>
          <cell r="BT74" t="e">
            <v>#REF!</v>
          </cell>
          <cell r="BU74" t="e">
            <v>#REF!</v>
          </cell>
        </row>
        <row r="75">
          <cell r="A75" t="str">
            <v>10802RET</v>
          </cell>
          <cell r="B75">
            <v>10802</v>
          </cell>
          <cell r="C75" t="str">
            <v>RET</v>
          </cell>
          <cell r="D75" t="e">
            <v>#REF!</v>
          </cell>
          <cell r="E75" t="e">
            <v>#REF!</v>
          </cell>
          <cell r="F75" t="e">
            <v>#REF!</v>
          </cell>
          <cell r="G75" t="str">
            <v>Y</v>
          </cell>
          <cell r="M75" t="e">
            <v>#REF!</v>
          </cell>
          <cell r="N75" t="e">
            <v>#REF!</v>
          </cell>
          <cell r="O75" t="e">
            <v>#REF!</v>
          </cell>
          <cell r="P75" t="e">
            <v>#REF!</v>
          </cell>
          <cell r="Q75" t="e">
            <v>#REF!</v>
          </cell>
          <cell r="R75" t="e">
            <v>#REF!</v>
          </cell>
          <cell r="S75" t="e">
            <v>#REF!</v>
          </cell>
          <cell r="T75" t="e">
            <v>#REF!</v>
          </cell>
          <cell r="U75" t="e">
            <v>#REF!</v>
          </cell>
          <cell r="V75" t="e">
            <v>#REF!</v>
          </cell>
          <cell r="W75" t="e">
            <v>#REF!</v>
          </cell>
          <cell r="X75" t="e">
            <v>#REF!</v>
          </cell>
          <cell r="Y75" t="e">
            <v>#REF!</v>
          </cell>
          <cell r="Z75" t="e">
            <v>#REF!</v>
          </cell>
          <cell r="AA75" t="e">
            <v>#REF!</v>
          </cell>
          <cell r="AB75" t="e">
            <v>#REF!</v>
          </cell>
          <cell r="AC75" t="e">
            <v>#REF!</v>
          </cell>
          <cell r="AD75" t="e">
            <v>#REF!</v>
          </cell>
          <cell r="AE75" t="e">
            <v>#REF!</v>
          </cell>
          <cell r="AF75" t="e">
            <v>#REF!</v>
          </cell>
          <cell r="AG75" t="e">
            <v>#REF!</v>
          </cell>
          <cell r="AH75" t="e">
            <v>#REF!</v>
          </cell>
          <cell r="AI75" t="e">
            <v>#REF!</v>
          </cell>
          <cell r="AJ75" t="e">
            <v>#REF!</v>
          </cell>
          <cell r="AK75" t="e">
            <v>#REF!</v>
          </cell>
          <cell r="AL75" t="e">
            <v>#REF!</v>
          </cell>
          <cell r="AM75" t="e">
            <v>#REF!</v>
          </cell>
          <cell r="AN75" t="e">
            <v>#REF!</v>
          </cell>
          <cell r="AO75" t="e">
            <v>#REF!</v>
          </cell>
          <cell r="AP75" t="e">
            <v>#REF!</v>
          </cell>
          <cell r="AQ75" t="e">
            <v>#REF!</v>
          </cell>
          <cell r="AR75" t="e">
            <v>#REF!</v>
          </cell>
          <cell r="AS75" t="e">
            <v>#REF!</v>
          </cell>
          <cell r="AT75" t="e">
            <v>#REF!</v>
          </cell>
          <cell r="AU75" t="e">
            <v>#REF!</v>
          </cell>
          <cell r="AV75" t="e">
            <v>#REF!</v>
          </cell>
          <cell r="AW75" t="e">
            <v>#REF!</v>
          </cell>
          <cell r="AX75" t="e">
            <v>#REF!</v>
          </cell>
          <cell r="AY75" t="e">
            <v>#REF!</v>
          </cell>
          <cell r="AZ75" t="e">
            <v>#REF!</v>
          </cell>
          <cell r="BA75" t="e">
            <v>#REF!</v>
          </cell>
          <cell r="BB75" t="e">
            <v>#REF!</v>
          </cell>
          <cell r="BC75" t="e">
            <v>#REF!</v>
          </cell>
          <cell r="BD75" t="e">
            <v>#REF!</v>
          </cell>
          <cell r="BE75" t="e">
            <v>#REF!</v>
          </cell>
          <cell r="BF75" t="e">
            <v>#REF!</v>
          </cell>
          <cell r="BG75" t="e">
            <v>#REF!</v>
          </cell>
          <cell r="BH75" t="e">
            <v>#REF!</v>
          </cell>
          <cell r="BI75" t="e">
            <v>#REF!</v>
          </cell>
          <cell r="BJ75" t="e">
            <v>#REF!</v>
          </cell>
          <cell r="BK75" t="e">
            <v>#REF!</v>
          </cell>
          <cell r="BL75" t="e">
            <v>#REF!</v>
          </cell>
          <cell r="BM75" t="e">
            <v>#REF!</v>
          </cell>
          <cell r="BN75" t="e">
            <v>#REF!</v>
          </cell>
          <cell r="BO75" t="e">
            <v>#REF!</v>
          </cell>
          <cell r="BP75" t="e">
            <v>#REF!</v>
          </cell>
          <cell r="BQ75" t="e">
            <v>#REF!</v>
          </cell>
          <cell r="BR75" t="e">
            <v>#REF!</v>
          </cell>
          <cell r="BS75" t="e">
            <v>#REF!</v>
          </cell>
          <cell r="BT75" t="e">
            <v>#REF!</v>
          </cell>
          <cell r="BU75" t="e">
            <v>#REF!</v>
          </cell>
        </row>
        <row r="76">
          <cell r="A76" t="str">
            <v>10901RET</v>
          </cell>
          <cell r="B76">
            <v>10901</v>
          </cell>
          <cell r="C76" t="str">
            <v>RET</v>
          </cell>
          <cell r="D76" t="str">
            <v>Space Heating</v>
          </cell>
          <cell r="E76" t="str">
            <v>High Efficiency Furnace with Electric Secondary Fuel</v>
          </cell>
          <cell r="F76" t="str">
            <v>R</v>
          </cell>
          <cell r="G76" t="str">
            <v>N</v>
          </cell>
          <cell r="M76" t="str">
            <v>RET</v>
          </cell>
          <cell r="N76" t="str">
            <v>Baseline furnace, 80%</v>
          </cell>
          <cell r="O76">
            <v>2021</v>
          </cell>
          <cell r="P76">
            <v>2030</v>
          </cell>
          <cell r="Q76" t="str">
            <v>Single Family</v>
          </cell>
          <cell r="R76" t="str">
            <v>Unit</v>
          </cell>
          <cell r="S76">
            <v>77.619565217391298</v>
          </cell>
          <cell r="T76">
            <v>89.262500000000003</v>
          </cell>
          <cell r="U76">
            <v>0</v>
          </cell>
          <cell r="V76">
            <v>11.642934782608705</v>
          </cell>
          <cell r="W76">
            <v>0.13043478260869576</v>
          </cell>
          <cell r="X76" t="str">
            <v>-</v>
          </cell>
          <cell r="Y76" t="str">
            <v>7,42</v>
          </cell>
          <cell r="Z76" t="str">
            <v>7,42</v>
          </cell>
          <cell r="AA76">
            <v>2910</v>
          </cell>
          <cell r="AB76">
            <v>0</v>
          </cell>
          <cell r="AC76">
            <v>2910</v>
          </cell>
          <cell r="AD76">
            <v>249.93698361573988</v>
          </cell>
          <cell r="AE76">
            <v>42</v>
          </cell>
          <cell r="AF76">
            <v>42</v>
          </cell>
          <cell r="AG76">
            <v>20</v>
          </cell>
          <cell r="AH76">
            <v>14</v>
          </cell>
          <cell r="AI76">
            <v>2108</v>
          </cell>
          <cell r="AJ76">
            <v>181.05400737525076</v>
          </cell>
          <cell r="AK76">
            <v>1</v>
          </cell>
          <cell r="AL76" t="str">
            <v>-</v>
          </cell>
          <cell r="AM76" t="str">
            <v>-</v>
          </cell>
          <cell r="AN76" t="str">
            <v/>
          </cell>
          <cell r="AO76">
            <v>0</v>
          </cell>
          <cell r="AP76" t="str">
            <v>-</v>
          </cell>
          <cell r="AQ76">
            <v>0</v>
          </cell>
          <cell r="AR76" t="str">
            <v>-</v>
          </cell>
          <cell r="AS76">
            <v>0</v>
          </cell>
          <cell r="AT76" t="str">
            <v/>
          </cell>
          <cell r="AU76">
            <v>0</v>
          </cell>
          <cell r="AV76" t="str">
            <v>-</v>
          </cell>
          <cell r="AW76">
            <v>0</v>
          </cell>
          <cell r="AX76" t="str">
            <v>-</v>
          </cell>
          <cell r="AY76">
            <v>0</v>
          </cell>
          <cell r="AZ76" t="str">
            <v/>
          </cell>
          <cell r="BA76">
            <v>0</v>
          </cell>
          <cell r="BB76" t="str">
            <v>-</v>
          </cell>
          <cell r="BC76">
            <v>0</v>
          </cell>
          <cell r="BD76" t="str">
            <v>-</v>
          </cell>
          <cell r="BE76">
            <v>0</v>
          </cell>
          <cell r="BF76" t="str">
            <v/>
          </cell>
          <cell r="BG76">
            <v>0</v>
          </cell>
          <cell r="BH76" t="str">
            <v>-</v>
          </cell>
          <cell r="BI76">
            <v>0</v>
          </cell>
          <cell r="BJ76" t="str">
            <v>-</v>
          </cell>
          <cell r="BK76">
            <v>0</v>
          </cell>
          <cell r="BL76">
            <v>0</v>
          </cell>
          <cell r="BM76" t="str">
            <v>-</v>
          </cell>
          <cell r="BN76">
            <v>20</v>
          </cell>
          <cell r="BO76" t="str">
            <v>E</v>
          </cell>
          <cell r="BP76">
            <v>644</v>
          </cell>
          <cell r="BQ76">
            <v>55.312514587125939</v>
          </cell>
          <cell r="BR76" t="str">
            <v>-</v>
          </cell>
          <cell r="BS76">
            <v>0</v>
          </cell>
          <cell r="BT76">
            <v>0</v>
          </cell>
          <cell r="BU76" t="str">
            <v>-</v>
          </cell>
        </row>
        <row r="77">
          <cell r="A77" t="str">
            <v>10902RET</v>
          </cell>
          <cell r="B77">
            <v>10902</v>
          </cell>
          <cell r="C77" t="str">
            <v>RET</v>
          </cell>
          <cell r="D77" t="str">
            <v>Space Heating</v>
          </cell>
          <cell r="E77" t="str">
            <v>High Efficiency Furnace with Electric Secondary Fuel</v>
          </cell>
          <cell r="F77" t="str">
            <v>R</v>
          </cell>
          <cell r="G77" t="str">
            <v>N</v>
          </cell>
          <cell r="M77" t="str">
            <v>RET</v>
          </cell>
          <cell r="N77" t="str">
            <v>Baseline furnace, 85%</v>
          </cell>
          <cell r="O77">
            <v>2021</v>
          </cell>
          <cell r="P77">
            <v>2030</v>
          </cell>
          <cell r="Q77" t="str">
            <v>Single Family</v>
          </cell>
          <cell r="R77" t="str">
            <v>Unit</v>
          </cell>
          <cell r="S77">
            <v>75.168421052631572</v>
          </cell>
          <cell r="T77">
            <v>89.262500000000003</v>
          </cell>
          <cell r="U77">
            <v>0</v>
          </cell>
          <cell r="V77">
            <v>14.09407894736843</v>
          </cell>
          <cell r="W77">
            <v>0.15789473684210537</v>
          </cell>
          <cell r="X77" t="str">
            <v>-</v>
          </cell>
          <cell r="Y77" t="str">
            <v>7,42</v>
          </cell>
          <cell r="Z77" t="str">
            <v>7,42</v>
          </cell>
          <cell r="AA77">
            <v>3546</v>
          </cell>
          <cell r="AB77">
            <v>0</v>
          </cell>
          <cell r="AC77">
            <v>3546</v>
          </cell>
          <cell r="AD77">
            <v>251.59501470382281</v>
          </cell>
          <cell r="AE77">
            <v>42</v>
          </cell>
          <cell r="AF77">
            <v>42</v>
          </cell>
          <cell r="AG77">
            <v>20</v>
          </cell>
          <cell r="AH77">
            <v>14</v>
          </cell>
          <cell r="AI77">
            <v>2108</v>
          </cell>
          <cell r="AJ77">
            <v>149.56635391868542</v>
          </cell>
          <cell r="AK77">
            <v>1</v>
          </cell>
          <cell r="AL77" t="str">
            <v>-</v>
          </cell>
          <cell r="AM77" t="str">
            <v>-</v>
          </cell>
          <cell r="AN77" t="str">
            <v/>
          </cell>
          <cell r="AO77">
            <v>0</v>
          </cell>
          <cell r="AP77" t="str">
            <v>-</v>
          </cell>
          <cell r="AQ77">
            <v>0</v>
          </cell>
          <cell r="AR77" t="str">
            <v>-</v>
          </cell>
          <cell r="AS77">
            <v>0</v>
          </cell>
          <cell r="AT77" t="str">
            <v/>
          </cell>
          <cell r="AU77">
            <v>0</v>
          </cell>
          <cell r="AV77" t="str">
            <v>-</v>
          </cell>
          <cell r="AW77">
            <v>0</v>
          </cell>
          <cell r="AX77" t="str">
            <v>-</v>
          </cell>
          <cell r="AY77">
            <v>0</v>
          </cell>
          <cell r="AZ77" t="str">
            <v/>
          </cell>
          <cell r="BA77">
            <v>0</v>
          </cell>
          <cell r="BB77" t="str">
            <v>-</v>
          </cell>
          <cell r="BC77">
            <v>0</v>
          </cell>
          <cell r="BD77" t="str">
            <v>-</v>
          </cell>
          <cell r="BE77">
            <v>0</v>
          </cell>
          <cell r="BF77" t="str">
            <v/>
          </cell>
          <cell r="BG77">
            <v>0</v>
          </cell>
          <cell r="BH77" t="str">
            <v>-</v>
          </cell>
          <cell r="BI77">
            <v>0</v>
          </cell>
          <cell r="BJ77" t="str">
            <v>-</v>
          </cell>
          <cell r="BK77">
            <v>0</v>
          </cell>
          <cell r="BL77">
            <v>0</v>
          </cell>
          <cell r="BM77" t="str">
            <v>-</v>
          </cell>
          <cell r="BN77">
            <v>20</v>
          </cell>
          <cell r="BO77" t="str">
            <v>E</v>
          </cell>
          <cell r="BP77">
            <v>0</v>
          </cell>
          <cell r="BQ77">
            <v>0</v>
          </cell>
          <cell r="BR77" t="str">
            <v>-</v>
          </cell>
          <cell r="BS77">
            <v>0</v>
          </cell>
          <cell r="BT77">
            <v>0</v>
          </cell>
          <cell r="BU77" t="str">
            <v>-</v>
          </cell>
        </row>
        <row r="78">
          <cell r="A78" t="str">
            <v>10903RET</v>
          </cell>
          <cell r="B78">
            <v>10903</v>
          </cell>
          <cell r="C78" t="str">
            <v>RET</v>
          </cell>
          <cell r="D78" t="str">
            <v>Space Heating</v>
          </cell>
          <cell r="E78" t="str">
            <v>Furnace Tune Up</v>
          </cell>
          <cell r="F78" t="str">
            <v>R</v>
          </cell>
          <cell r="G78" t="str">
            <v>Y</v>
          </cell>
          <cell r="M78" t="str">
            <v>RET</v>
          </cell>
          <cell r="N78" t="str">
            <v>Existing furnace that has not received a tune up within the last 2 years</v>
          </cell>
          <cell r="O78">
            <v>2021</v>
          </cell>
          <cell r="P78">
            <v>2030</v>
          </cell>
          <cell r="Q78" t="str">
            <v>Single Family</v>
          </cell>
          <cell r="R78" t="str">
            <v>Unit</v>
          </cell>
          <cell r="S78">
            <v>0</v>
          </cell>
          <cell r="T78">
            <v>0</v>
          </cell>
          <cell r="U78">
            <v>0</v>
          </cell>
          <cell r="V78">
            <v>666.56709033571815</v>
          </cell>
          <cell r="W78">
            <v>0.02</v>
          </cell>
          <cell r="X78" t="str">
            <v>-</v>
          </cell>
          <cell r="Y78" t="str">
            <v>1,2,5</v>
          </cell>
          <cell r="Z78" t="str">
            <v>1,2,5</v>
          </cell>
          <cell r="AA78">
            <v>0</v>
          </cell>
          <cell r="AB78">
            <v>0</v>
          </cell>
          <cell r="AC78">
            <v>100</v>
          </cell>
          <cell r="AD78">
            <v>0.15002240802142625</v>
          </cell>
          <cell r="AE78">
            <v>4</v>
          </cell>
          <cell r="AF78">
            <v>4</v>
          </cell>
          <cell r="AG78">
            <v>0</v>
          </cell>
          <cell r="AH78">
            <v>0</v>
          </cell>
          <cell r="AI78">
            <v>0</v>
          </cell>
          <cell r="AJ78">
            <v>0</v>
          </cell>
          <cell r="AK78">
            <v>0</v>
          </cell>
          <cell r="AL78" t="str">
            <v>-</v>
          </cell>
          <cell r="AM78" t="str">
            <v>-</v>
          </cell>
          <cell r="AN78" t="str">
            <v/>
          </cell>
          <cell r="AO78">
            <v>0</v>
          </cell>
          <cell r="AP78" t="str">
            <v>-</v>
          </cell>
          <cell r="AQ78">
            <v>0</v>
          </cell>
          <cell r="AR78" t="str">
            <v>-</v>
          </cell>
          <cell r="AS78">
            <v>0</v>
          </cell>
          <cell r="AT78" t="str">
            <v/>
          </cell>
          <cell r="AU78">
            <v>0</v>
          </cell>
          <cell r="AV78" t="str">
            <v>-</v>
          </cell>
          <cell r="AW78">
            <v>0</v>
          </cell>
          <cell r="AX78" t="str">
            <v>-</v>
          </cell>
          <cell r="AY78">
            <v>0</v>
          </cell>
          <cell r="AZ78" t="str">
            <v/>
          </cell>
          <cell r="BA78">
            <v>0</v>
          </cell>
          <cell r="BB78" t="str">
            <v>-</v>
          </cell>
          <cell r="BC78">
            <v>0</v>
          </cell>
          <cell r="BD78" t="str">
            <v>-</v>
          </cell>
          <cell r="BE78">
            <v>0</v>
          </cell>
          <cell r="BF78" t="str">
            <v/>
          </cell>
          <cell r="BG78">
            <v>0</v>
          </cell>
          <cell r="BH78" t="str">
            <v>-</v>
          </cell>
          <cell r="BI78">
            <v>0</v>
          </cell>
          <cell r="BJ78" t="str">
            <v>-</v>
          </cell>
          <cell r="BK78">
            <v>0</v>
          </cell>
          <cell r="BL78">
            <v>0</v>
          </cell>
          <cell r="BM78" t="str">
            <v>-</v>
          </cell>
          <cell r="BN78">
            <v>2</v>
          </cell>
          <cell r="BO78" t="str">
            <v/>
          </cell>
          <cell r="BP78">
            <v>0</v>
          </cell>
          <cell r="BQ78">
            <v>0</v>
          </cell>
          <cell r="BR78" t="str">
            <v>-</v>
          </cell>
          <cell r="BS78">
            <v>0</v>
          </cell>
          <cell r="BT78">
            <v>0</v>
          </cell>
          <cell r="BU78" t="str">
            <v>-</v>
          </cell>
        </row>
        <row r="79">
          <cell r="A79" t="str">
            <v>10904RET</v>
          </cell>
          <cell r="B79">
            <v>10904</v>
          </cell>
          <cell r="C79" t="str">
            <v>RET</v>
          </cell>
          <cell r="D79" t="str">
            <v>Space Heating</v>
          </cell>
          <cell r="E79" t="str">
            <v>Boiler Tune Up</v>
          </cell>
          <cell r="F79" t="str">
            <v>R</v>
          </cell>
          <cell r="G79" t="str">
            <v>N</v>
          </cell>
          <cell r="M79" t="str">
            <v>RET</v>
          </cell>
          <cell r="N79" t="str">
            <v>Existing boiler that has not received a tune up within the last 2 years</v>
          </cell>
          <cell r="O79">
            <v>2021</v>
          </cell>
          <cell r="P79">
            <v>2030</v>
          </cell>
          <cell r="Q79" t="str">
            <v>Single Family</v>
          </cell>
          <cell r="R79" t="str">
            <v>Unit</v>
          </cell>
          <cell r="S79">
            <v>118.21250000000001</v>
          </cell>
          <cell r="T79">
            <v>120.625</v>
          </cell>
          <cell r="U79">
            <v>0</v>
          </cell>
          <cell r="V79">
            <v>2.4124999999999943</v>
          </cell>
          <cell r="W79">
            <v>1.9999999999999952E-2</v>
          </cell>
          <cell r="X79" t="str">
            <v>-</v>
          </cell>
          <cell r="Y79" t="str">
            <v>8,7</v>
          </cell>
          <cell r="Z79" t="str">
            <v>8,7</v>
          </cell>
          <cell r="AA79">
            <v>175</v>
          </cell>
          <cell r="AB79">
            <v>0</v>
          </cell>
          <cell r="AC79">
            <v>175</v>
          </cell>
          <cell r="AD79">
            <v>72.538860103627115</v>
          </cell>
          <cell r="AE79">
            <v>8</v>
          </cell>
          <cell r="AF79">
            <v>8</v>
          </cell>
          <cell r="AG79">
            <v>0</v>
          </cell>
          <cell r="AH79">
            <v>0</v>
          </cell>
          <cell r="AI79">
            <v>0</v>
          </cell>
          <cell r="AJ79">
            <v>0</v>
          </cell>
          <cell r="AK79">
            <v>0</v>
          </cell>
          <cell r="AL79" t="str">
            <v>-</v>
          </cell>
          <cell r="AM79" t="str">
            <v>-</v>
          </cell>
          <cell r="AN79" t="str">
            <v/>
          </cell>
          <cell r="AO79">
            <v>0</v>
          </cell>
          <cell r="AP79" t="str">
            <v>-</v>
          </cell>
          <cell r="AQ79">
            <v>0</v>
          </cell>
          <cell r="AR79" t="str">
            <v>-</v>
          </cell>
          <cell r="AS79">
            <v>0</v>
          </cell>
          <cell r="AT79" t="str">
            <v/>
          </cell>
          <cell r="AU79">
            <v>0</v>
          </cell>
          <cell r="AV79" t="str">
            <v>-</v>
          </cell>
          <cell r="AW79">
            <v>0</v>
          </cell>
          <cell r="AX79" t="str">
            <v>-</v>
          </cell>
          <cell r="AY79">
            <v>0</v>
          </cell>
          <cell r="AZ79" t="str">
            <v/>
          </cell>
          <cell r="BA79">
            <v>0</v>
          </cell>
          <cell r="BB79" t="str">
            <v>-</v>
          </cell>
          <cell r="BC79">
            <v>0</v>
          </cell>
          <cell r="BD79" t="str">
            <v>-</v>
          </cell>
          <cell r="BE79">
            <v>0</v>
          </cell>
          <cell r="BF79" t="str">
            <v/>
          </cell>
          <cell r="BG79">
            <v>0</v>
          </cell>
          <cell r="BH79" t="str">
            <v>-</v>
          </cell>
          <cell r="BI79">
            <v>0</v>
          </cell>
          <cell r="BJ79" t="str">
            <v>-</v>
          </cell>
          <cell r="BK79">
            <v>0</v>
          </cell>
          <cell r="BL79">
            <v>0</v>
          </cell>
          <cell r="BM79" t="str">
            <v>-</v>
          </cell>
          <cell r="BN79">
            <v>2</v>
          </cell>
          <cell r="BO79" t="str">
            <v/>
          </cell>
          <cell r="BP79">
            <v>0</v>
          </cell>
          <cell r="BQ79">
            <v>0</v>
          </cell>
          <cell r="BR79" t="str">
            <v>-</v>
          </cell>
          <cell r="BS79">
            <v>0</v>
          </cell>
          <cell r="BT79">
            <v>0</v>
          </cell>
          <cell r="BU79" t="str">
            <v>-</v>
          </cell>
        </row>
        <row r="80">
          <cell r="A80" t="str">
            <v>10905RET</v>
          </cell>
          <cell r="B80">
            <v>10905</v>
          </cell>
          <cell r="C80" t="str">
            <v>RET</v>
          </cell>
          <cell r="D80" t="str">
            <v>Space Heating</v>
          </cell>
          <cell r="E80" t="str">
            <v>Boiler Reset Controls</v>
          </cell>
          <cell r="F80" t="str">
            <v>R</v>
          </cell>
          <cell r="G80" t="str">
            <v>N</v>
          </cell>
          <cell r="M80" t="str">
            <v>RET</v>
          </cell>
          <cell r="N80" t="str">
            <v>Existing boiler without reset control</v>
          </cell>
          <cell r="O80">
            <v>2021</v>
          </cell>
          <cell r="P80">
            <v>2030</v>
          </cell>
          <cell r="Q80" t="str">
            <v>Single Family</v>
          </cell>
          <cell r="R80" t="str">
            <v>Unit</v>
          </cell>
          <cell r="S80">
            <v>114.59375</v>
          </cell>
          <cell r="T80">
            <v>120.625</v>
          </cell>
          <cell r="U80">
            <v>0</v>
          </cell>
          <cell r="V80">
            <v>6.03125</v>
          </cell>
          <cell r="W80">
            <v>0.05</v>
          </cell>
          <cell r="X80" t="str">
            <v>-</v>
          </cell>
          <cell r="Y80">
            <v>7</v>
          </cell>
          <cell r="Z80">
            <v>7</v>
          </cell>
          <cell r="AA80">
            <v>612</v>
          </cell>
          <cell r="AB80">
            <v>0</v>
          </cell>
          <cell r="AC80">
            <v>612</v>
          </cell>
          <cell r="AD80">
            <v>101.47150259067358</v>
          </cell>
          <cell r="AE80">
            <v>11</v>
          </cell>
          <cell r="AF80">
            <v>11</v>
          </cell>
          <cell r="AG80">
            <v>0</v>
          </cell>
          <cell r="AH80">
            <v>0</v>
          </cell>
          <cell r="AI80">
            <v>0</v>
          </cell>
          <cell r="AJ80">
            <v>0</v>
          </cell>
          <cell r="AK80">
            <v>0</v>
          </cell>
          <cell r="AL80" t="str">
            <v>-</v>
          </cell>
          <cell r="AM80" t="str">
            <v>-</v>
          </cell>
          <cell r="AN80" t="str">
            <v/>
          </cell>
          <cell r="AO80">
            <v>0</v>
          </cell>
          <cell r="AP80" t="str">
            <v>-</v>
          </cell>
          <cell r="AQ80">
            <v>0</v>
          </cell>
          <cell r="AR80" t="str">
            <v>-</v>
          </cell>
          <cell r="AS80">
            <v>0</v>
          </cell>
          <cell r="AT80" t="str">
            <v/>
          </cell>
          <cell r="AU80">
            <v>0</v>
          </cell>
          <cell r="AV80" t="str">
            <v>-</v>
          </cell>
          <cell r="AW80">
            <v>0</v>
          </cell>
          <cell r="AX80" t="str">
            <v>-</v>
          </cell>
          <cell r="AY80">
            <v>0</v>
          </cell>
          <cell r="AZ80" t="str">
            <v/>
          </cell>
          <cell r="BA80">
            <v>0</v>
          </cell>
          <cell r="BB80" t="str">
            <v>-</v>
          </cell>
          <cell r="BC80">
            <v>0</v>
          </cell>
          <cell r="BD80" t="str">
            <v>-</v>
          </cell>
          <cell r="BE80">
            <v>0</v>
          </cell>
          <cell r="BF80" t="str">
            <v/>
          </cell>
          <cell r="BG80">
            <v>0</v>
          </cell>
          <cell r="BH80" t="str">
            <v>-</v>
          </cell>
          <cell r="BI80">
            <v>0</v>
          </cell>
          <cell r="BJ80" t="str">
            <v>-</v>
          </cell>
          <cell r="BK80">
            <v>0</v>
          </cell>
          <cell r="BL80">
            <v>0</v>
          </cell>
          <cell r="BM80" t="str">
            <v>-</v>
          </cell>
          <cell r="BN80">
            <v>10</v>
          </cell>
          <cell r="BO80" t="str">
            <v/>
          </cell>
          <cell r="BP80">
            <v>0</v>
          </cell>
          <cell r="BQ80">
            <v>0</v>
          </cell>
          <cell r="BR80" t="str">
            <v>-</v>
          </cell>
          <cell r="BS80">
            <v>0</v>
          </cell>
          <cell r="BT80">
            <v>0</v>
          </cell>
          <cell r="BU80" t="str">
            <v>-</v>
          </cell>
        </row>
        <row r="81">
          <cell r="A81" t="str">
            <v>10906RET</v>
          </cell>
          <cell r="B81">
            <v>10906</v>
          </cell>
          <cell r="C81" t="str">
            <v>RET</v>
          </cell>
          <cell r="D81" t="str">
            <v>Space Heating</v>
          </cell>
          <cell r="E81" t="str">
            <v>Fuel Switching: Electric Heat to Fossil Fuel Heat with Gas Secondary Fuel</v>
          </cell>
          <cell r="F81" t="str">
            <v>R</v>
          </cell>
          <cell r="G81" t="str">
            <v>Y</v>
          </cell>
          <cell r="M81" t="str">
            <v>RET</v>
          </cell>
          <cell r="N81" t="str">
            <v>Electric Furnace</v>
          </cell>
          <cell r="O81">
            <v>2021</v>
          </cell>
          <cell r="P81">
            <v>2030</v>
          </cell>
          <cell r="Q81" t="str">
            <v>Single Family</v>
          </cell>
          <cell r="R81" t="str">
            <v>per heating system</v>
          </cell>
          <cell r="S81">
            <v>0</v>
          </cell>
          <cell r="T81">
            <v>0</v>
          </cell>
          <cell r="U81">
            <v>0</v>
          </cell>
          <cell r="V81">
            <v>27276.804500678805</v>
          </cell>
          <cell r="W81">
            <v>1</v>
          </cell>
          <cell r="X81" t="str">
            <v>-</v>
          </cell>
          <cell r="Y81" t="str">
            <v>1,2,5</v>
          </cell>
          <cell r="Z81" t="str">
            <v>1,2,5</v>
          </cell>
          <cell r="AA81">
            <v>0</v>
          </cell>
          <cell r="AB81">
            <v>0</v>
          </cell>
          <cell r="AC81">
            <v>4337</v>
          </cell>
          <cell r="AD81">
            <v>0.15899956315968281</v>
          </cell>
          <cell r="AE81">
            <v>4</v>
          </cell>
          <cell r="AF81">
            <v>4</v>
          </cell>
          <cell r="AG81">
            <v>0</v>
          </cell>
          <cell r="AH81">
            <v>0</v>
          </cell>
          <cell r="AI81">
            <v>0</v>
          </cell>
          <cell r="AJ81">
            <v>0</v>
          </cell>
          <cell r="AK81">
            <v>0</v>
          </cell>
          <cell r="AL81" t="str">
            <v>-</v>
          </cell>
          <cell r="AM81" t="str">
            <v>-</v>
          </cell>
          <cell r="AN81" t="str">
            <v/>
          </cell>
          <cell r="AO81">
            <v>0</v>
          </cell>
          <cell r="AP81" t="str">
            <v>-</v>
          </cell>
          <cell r="AQ81">
            <v>0</v>
          </cell>
          <cell r="AR81" t="str">
            <v>-</v>
          </cell>
          <cell r="AS81">
            <v>0</v>
          </cell>
          <cell r="AT81" t="str">
            <v/>
          </cell>
          <cell r="AU81">
            <v>0</v>
          </cell>
          <cell r="AV81" t="str">
            <v>-</v>
          </cell>
          <cell r="AW81">
            <v>0</v>
          </cell>
          <cell r="AX81" t="str">
            <v>-</v>
          </cell>
          <cell r="AY81">
            <v>0</v>
          </cell>
          <cell r="AZ81" t="str">
            <v/>
          </cell>
          <cell r="BA81">
            <v>0</v>
          </cell>
          <cell r="BB81" t="str">
            <v>-</v>
          </cell>
          <cell r="BC81">
            <v>0</v>
          </cell>
          <cell r="BD81" t="str">
            <v>-</v>
          </cell>
          <cell r="BE81">
            <v>0</v>
          </cell>
          <cell r="BF81" t="str">
            <v/>
          </cell>
          <cell r="BG81">
            <v>0</v>
          </cell>
          <cell r="BH81" t="str">
            <v>-</v>
          </cell>
          <cell r="BI81">
            <v>0</v>
          </cell>
          <cell r="BJ81" t="str">
            <v>-</v>
          </cell>
          <cell r="BK81">
            <v>0</v>
          </cell>
          <cell r="BL81">
            <v>0</v>
          </cell>
          <cell r="BM81" t="str">
            <v>-</v>
          </cell>
          <cell r="BN81">
            <v>15</v>
          </cell>
          <cell r="BO81" t="str">
            <v>G</v>
          </cell>
          <cell r="BP81">
            <v>-93.068456956316084</v>
          </cell>
          <cell r="BQ81">
            <v>-3.4120000000000001E-3</v>
          </cell>
          <cell r="BR81" t="str">
            <v>-</v>
          </cell>
          <cell r="BS81">
            <v>0</v>
          </cell>
          <cell r="BT81">
            <v>0</v>
          </cell>
          <cell r="BU81" t="str">
            <v>-</v>
          </cell>
        </row>
        <row r="82">
          <cell r="A82" t="str">
            <v>10907RET</v>
          </cell>
          <cell r="B82">
            <v>10907</v>
          </cell>
          <cell r="C82" t="str">
            <v>RET</v>
          </cell>
          <cell r="D82" t="str">
            <v>Space Heating</v>
          </cell>
          <cell r="E82" t="str">
            <v>Fuel Switching: Electric Heat to Fossil Fuel Heat with Gas Secondary Fuel</v>
          </cell>
          <cell r="F82" t="str">
            <v>R</v>
          </cell>
          <cell r="G82" t="str">
            <v>Y</v>
          </cell>
          <cell r="M82" t="str">
            <v>RET</v>
          </cell>
          <cell r="N82" t="str">
            <v>Electric Baseboard</v>
          </cell>
          <cell r="O82">
            <v>2021</v>
          </cell>
          <cell r="P82">
            <v>2030</v>
          </cell>
          <cell r="Q82" t="str">
            <v>Single Family</v>
          </cell>
          <cell r="R82" t="str">
            <v>per heating system</v>
          </cell>
          <cell r="S82">
            <v>0</v>
          </cell>
          <cell r="T82">
            <v>0</v>
          </cell>
          <cell r="U82">
            <v>0</v>
          </cell>
          <cell r="V82">
            <v>25189.831019996487</v>
          </cell>
          <cell r="W82">
            <v>1</v>
          </cell>
          <cell r="X82" t="str">
            <v>-</v>
          </cell>
          <cell r="Y82" t="str">
            <v>1,2,5</v>
          </cell>
          <cell r="Z82" t="str">
            <v>1,2,5</v>
          </cell>
          <cell r="AA82">
            <v>0</v>
          </cell>
          <cell r="AB82">
            <v>0</v>
          </cell>
          <cell r="AC82">
            <v>4337</v>
          </cell>
          <cell r="AD82">
            <v>0.1721726515972716</v>
          </cell>
          <cell r="AE82">
            <v>4</v>
          </cell>
          <cell r="AF82">
            <v>4</v>
          </cell>
          <cell r="AG82">
            <v>0</v>
          </cell>
          <cell r="AH82">
            <v>0</v>
          </cell>
          <cell r="AI82">
            <v>0</v>
          </cell>
          <cell r="AJ82">
            <v>0</v>
          </cell>
          <cell r="AK82">
            <v>0</v>
          </cell>
          <cell r="AL82" t="str">
            <v>-</v>
          </cell>
          <cell r="AM82" t="str">
            <v>-</v>
          </cell>
          <cell r="AN82" t="str">
            <v/>
          </cell>
          <cell r="AO82">
            <v>0</v>
          </cell>
          <cell r="AP82" t="str">
            <v>-</v>
          </cell>
          <cell r="AQ82">
            <v>0</v>
          </cell>
          <cell r="AR82" t="str">
            <v>-</v>
          </cell>
          <cell r="AS82">
            <v>0</v>
          </cell>
          <cell r="AT82" t="str">
            <v/>
          </cell>
          <cell r="AU82">
            <v>0</v>
          </cell>
          <cell r="AV82" t="str">
            <v>-</v>
          </cell>
          <cell r="AW82">
            <v>0</v>
          </cell>
          <cell r="AX82" t="str">
            <v>-</v>
          </cell>
          <cell r="AY82">
            <v>0</v>
          </cell>
          <cell r="AZ82" t="str">
            <v/>
          </cell>
          <cell r="BA82">
            <v>0</v>
          </cell>
          <cell r="BB82" t="str">
            <v>-</v>
          </cell>
          <cell r="BC82">
            <v>0</v>
          </cell>
          <cell r="BD82" t="str">
            <v>-</v>
          </cell>
          <cell r="BE82">
            <v>0</v>
          </cell>
          <cell r="BF82" t="str">
            <v/>
          </cell>
          <cell r="BG82">
            <v>0</v>
          </cell>
          <cell r="BH82" t="str">
            <v>-</v>
          </cell>
          <cell r="BI82">
            <v>0</v>
          </cell>
          <cell r="BJ82" t="str">
            <v>-</v>
          </cell>
          <cell r="BK82">
            <v>0</v>
          </cell>
          <cell r="BL82">
            <v>0</v>
          </cell>
          <cell r="BM82" t="str">
            <v>-</v>
          </cell>
          <cell r="BN82">
            <v>15</v>
          </cell>
          <cell r="BO82" t="str">
            <v>G</v>
          </cell>
          <cell r="BP82">
            <v>-85.947703440228011</v>
          </cell>
          <cell r="BQ82">
            <v>-3.4119999999999997E-3</v>
          </cell>
          <cell r="BR82" t="str">
            <v>-</v>
          </cell>
          <cell r="BS82">
            <v>0</v>
          </cell>
          <cell r="BT82">
            <v>0</v>
          </cell>
          <cell r="BU82" t="str">
            <v>-</v>
          </cell>
        </row>
        <row r="83">
          <cell r="A83" t="str">
            <v>10908RET</v>
          </cell>
          <cell r="B83">
            <v>10908</v>
          </cell>
          <cell r="C83" t="str">
            <v>RET</v>
          </cell>
          <cell r="D83" t="str">
            <v>Space Heating</v>
          </cell>
          <cell r="E83" t="str">
            <v>Fuel Switching: Electric Heat to Fossil Fuel Heat with Gas Secondary Fuel</v>
          </cell>
          <cell r="F83" t="str">
            <v>R</v>
          </cell>
          <cell r="G83" t="str">
            <v>Y</v>
          </cell>
          <cell r="M83" t="str">
            <v>RET</v>
          </cell>
          <cell r="N83" t="str">
            <v>Electric ASHP</v>
          </cell>
          <cell r="O83">
            <v>2021</v>
          </cell>
          <cell r="P83">
            <v>2030</v>
          </cell>
          <cell r="Q83" t="str">
            <v>Single Family</v>
          </cell>
          <cell r="R83" t="str">
            <v>per heating system</v>
          </cell>
          <cell r="S83">
            <v>0</v>
          </cell>
          <cell r="T83">
            <v>0</v>
          </cell>
          <cell r="U83">
            <v>0</v>
          </cell>
          <cell r="V83">
            <v>13493.732736280488</v>
          </cell>
          <cell r="W83">
            <v>1</v>
          </cell>
          <cell r="X83" t="str">
            <v>-</v>
          </cell>
          <cell r="Y83" t="str">
            <v/>
          </cell>
          <cell r="Z83" t="str">
            <v/>
          </cell>
          <cell r="AA83">
            <v>0</v>
          </cell>
          <cell r="AB83">
            <v>0</v>
          </cell>
          <cell r="AC83">
            <v>4337</v>
          </cell>
          <cell r="AD83">
            <v>0.32140847049231558</v>
          </cell>
          <cell r="AE83">
            <v>4</v>
          </cell>
          <cell r="AF83">
            <v>4</v>
          </cell>
          <cell r="AG83">
            <v>0</v>
          </cell>
          <cell r="AH83">
            <v>0</v>
          </cell>
          <cell r="AI83">
            <v>0</v>
          </cell>
          <cell r="AJ83">
            <v>0</v>
          </cell>
          <cell r="AK83">
            <v>0</v>
          </cell>
          <cell r="AL83" t="str">
            <v>-</v>
          </cell>
          <cell r="AM83" t="str">
            <v>-</v>
          </cell>
          <cell r="AN83" t="str">
            <v/>
          </cell>
          <cell r="AO83">
            <v>0</v>
          </cell>
          <cell r="AP83" t="str">
            <v>-</v>
          </cell>
          <cell r="AQ83">
            <v>0</v>
          </cell>
          <cell r="AR83" t="str">
            <v>-</v>
          </cell>
          <cell r="AS83">
            <v>0</v>
          </cell>
          <cell r="AT83" t="str">
            <v/>
          </cell>
          <cell r="AU83">
            <v>0</v>
          </cell>
          <cell r="AV83" t="str">
            <v>-</v>
          </cell>
          <cell r="AW83">
            <v>0</v>
          </cell>
          <cell r="AX83" t="str">
            <v>-</v>
          </cell>
          <cell r="AY83">
            <v>0</v>
          </cell>
          <cell r="AZ83" t="str">
            <v/>
          </cell>
          <cell r="BA83">
            <v>0</v>
          </cell>
          <cell r="BB83" t="str">
            <v>-</v>
          </cell>
          <cell r="BC83">
            <v>0</v>
          </cell>
          <cell r="BD83" t="str">
            <v>-</v>
          </cell>
          <cell r="BE83">
            <v>0</v>
          </cell>
          <cell r="BF83" t="str">
            <v/>
          </cell>
          <cell r="BG83">
            <v>0</v>
          </cell>
          <cell r="BH83" t="str">
            <v>-</v>
          </cell>
          <cell r="BI83">
            <v>0</v>
          </cell>
          <cell r="BJ83" t="str">
            <v>-</v>
          </cell>
          <cell r="BK83">
            <v>0</v>
          </cell>
          <cell r="BL83">
            <v>0</v>
          </cell>
          <cell r="BM83" t="str">
            <v>-</v>
          </cell>
          <cell r="BN83">
            <v>15</v>
          </cell>
          <cell r="BO83" t="str">
            <v>G</v>
          </cell>
          <cell r="BP83">
            <v>-46.040616096189027</v>
          </cell>
          <cell r="BQ83">
            <v>-3.4120000000000001E-3</v>
          </cell>
          <cell r="BR83" t="str">
            <v>-</v>
          </cell>
          <cell r="BS83">
            <v>0</v>
          </cell>
          <cell r="BT83">
            <v>0</v>
          </cell>
          <cell r="BU83" t="str">
            <v>-</v>
          </cell>
        </row>
        <row r="84">
          <cell r="A84" t="str">
            <v>10909RET</v>
          </cell>
          <cell r="B84">
            <v>10909</v>
          </cell>
          <cell r="C84" t="str">
            <v>RET</v>
          </cell>
          <cell r="D84" t="str">
            <v>Space Heating</v>
          </cell>
          <cell r="E84" t="str">
            <v>Fuel Switching: Electric to Fossil Fuel Water Heater with Gas Secondary Fuel</v>
          </cell>
          <cell r="F84" t="str">
            <v>R</v>
          </cell>
          <cell r="G84" t="str">
            <v>Y</v>
          </cell>
          <cell r="M84" t="str">
            <v>RET</v>
          </cell>
          <cell r="N84" t="str">
            <v>Electric Water Heater</v>
          </cell>
          <cell r="O84">
            <v>2021</v>
          </cell>
          <cell r="P84">
            <v>2030</v>
          </cell>
          <cell r="Q84" t="str">
            <v>Single Family</v>
          </cell>
          <cell r="R84" t="str">
            <v>per water heater</v>
          </cell>
          <cell r="S84">
            <v>0</v>
          </cell>
          <cell r="T84">
            <v>0</v>
          </cell>
          <cell r="U84">
            <v>0</v>
          </cell>
          <cell r="V84">
            <v>3470.1922137553729</v>
          </cell>
          <cell r="W84">
            <v>1</v>
          </cell>
          <cell r="X84" t="str">
            <v>-</v>
          </cell>
          <cell r="Y84" t="str">
            <v>2,5</v>
          </cell>
          <cell r="Z84" t="str">
            <v>2,5</v>
          </cell>
          <cell r="AA84">
            <v>0</v>
          </cell>
          <cell r="AB84">
            <v>0</v>
          </cell>
          <cell r="AC84">
            <v>1070</v>
          </cell>
          <cell r="AD84">
            <v>0.30834026880662824</v>
          </cell>
          <cell r="AE84">
            <v>4</v>
          </cell>
          <cell r="AF84">
            <v>4</v>
          </cell>
          <cell r="AG84">
            <v>0</v>
          </cell>
          <cell r="AH84">
            <v>0</v>
          </cell>
          <cell r="AI84">
            <v>0</v>
          </cell>
          <cell r="AJ84">
            <v>0</v>
          </cell>
          <cell r="AK84">
            <v>0</v>
          </cell>
          <cell r="AL84" t="str">
            <v>-</v>
          </cell>
          <cell r="AM84" t="str">
            <v>-</v>
          </cell>
          <cell r="AN84" t="str">
            <v/>
          </cell>
          <cell r="AO84">
            <v>0</v>
          </cell>
          <cell r="AP84" t="str">
            <v>-</v>
          </cell>
          <cell r="AQ84">
            <v>0</v>
          </cell>
          <cell r="AR84" t="str">
            <v>-</v>
          </cell>
          <cell r="AS84">
            <v>0</v>
          </cell>
          <cell r="AT84" t="str">
            <v/>
          </cell>
          <cell r="AU84">
            <v>0</v>
          </cell>
          <cell r="AV84" t="str">
            <v>-</v>
          </cell>
          <cell r="AW84">
            <v>0</v>
          </cell>
          <cell r="AX84" t="str">
            <v>-</v>
          </cell>
          <cell r="AY84">
            <v>0</v>
          </cell>
          <cell r="AZ84" t="str">
            <v/>
          </cell>
          <cell r="BA84">
            <v>0</v>
          </cell>
          <cell r="BB84" t="str">
            <v>-</v>
          </cell>
          <cell r="BC84">
            <v>0</v>
          </cell>
          <cell r="BD84" t="str">
            <v>-</v>
          </cell>
          <cell r="BE84">
            <v>0</v>
          </cell>
          <cell r="BF84" t="str">
            <v/>
          </cell>
          <cell r="BG84">
            <v>0</v>
          </cell>
          <cell r="BH84" t="str">
            <v>-</v>
          </cell>
          <cell r="BI84">
            <v>0</v>
          </cell>
          <cell r="BJ84" t="str">
            <v>-</v>
          </cell>
          <cell r="BK84">
            <v>0</v>
          </cell>
          <cell r="BL84">
            <v>0</v>
          </cell>
          <cell r="BM84" t="str">
            <v>-</v>
          </cell>
          <cell r="BN84">
            <v>11</v>
          </cell>
          <cell r="BO84" t="str">
            <v>G</v>
          </cell>
          <cell r="BP84">
            <v>-12.013293543771042</v>
          </cell>
          <cell r="BQ84">
            <v>-3.4618524864853222E-3</v>
          </cell>
          <cell r="BR84" t="str">
            <v>-</v>
          </cell>
          <cell r="BS84">
            <v>0</v>
          </cell>
          <cell r="BT84">
            <v>0</v>
          </cell>
          <cell r="BU84" t="str">
            <v>-</v>
          </cell>
        </row>
        <row r="85">
          <cell r="A85" t="str">
            <v>10910MD</v>
          </cell>
          <cell r="B85">
            <v>10910</v>
          </cell>
          <cell r="C85" t="str">
            <v>MD</v>
          </cell>
          <cell r="D85" t="str">
            <v>Space Heating</v>
          </cell>
          <cell r="E85" t="str">
            <v>Air Source Heat Pump</v>
          </cell>
          <cell r="F85" t="str">
            <v>R</v>
          </cell>
          <cell r="G85" t="str">
            <v>Y</v>
          </cell>
          <cell r="M85" t="str">
            <v>NC, RENO, REPL</v>
          </cell>
          <cell r="N85" t="str">
            <v>Existing or baseline air source heat pump system with HSPF 8.2</v>
          </cell>
          <cell r="O85">
            <v>2021</v>
          </cell>
          <cell r="P85">
            <v>2030</v>
          </cell>
          <cell r="Q85" t="str">
            <v>Single Family</v>
          </cell>
          <cell r="R85" t="str">
            <v>per ton</v>
          </cell>
          <cell r="S85">
            <v>0</v>
          </cell>
          <cell r="T85">
            <v>0</v>
          </cell>
          <cell r="U85">
            <v>0</v>
          </cell>
          <cell r="V85">
            <v>599.80914634146347</v>
          </cell>
          <cell r="W85">
            <v>0.31666666666666671</v>
          </cell>
          <cell r="X85" t="str">
            <v>-</v>
          </cell>
          <cell r="Y85" t="str">
            <v>1,2</v>
          </cell>
          <cell r="Z85" t="str">
            <v>1,2</v>
          </cell>
          <cell r="AA85">
            <v>0</v>
          </cell>
          <cell r="AB85">
            <v>0</v>
          </cell>
          <cell r="AC85">
            <v>788</v>
          </cell>
          <cell r="AD85">
            <v>1.3137512237124205</v>
          </cell>
          <cell r="AE85">
            <v>9</v>
          </cell>
          <cell r="AF85">
            <v>9</v>
          </cell>
          <cell r="AG85">
            <v>0</v>
          </cell>
          <cell r="AH85">
            <v>0</v>
          </cell>
          <cell r="AI85">
            <v>0</v>
          </cell>
          <cell r="AJ85">
            <v>0</v>
          </cell>
          <cell r="AK85">
            <v>0</v>
          </cell>
          <cell r="AL85" t="str">
            <v>-</v>
          </cell>
          <cell r="AM85" t="str">
            <v>-</v>
          </cell>
          <cell r="AN85" t="str">
            <v/>
          </cell>
          <cell r="AO85">
            <v>0</v>
          </cell>
          <cell r="AP85" t="str">
            <v>-</v>
          </cell>
          <cell r="AQ85">
            <v>0</v>
          </cell>
          <cell r="AR85" t="str">
            <v>-</v>
          </cell>
          <cell r="AS85">
            <v>0</v>
          </cell>
          <cell r="AT85" t="str">
            <v/>
          </cell>
          <cell r="AU85">
            <v>0</v>
          </cell>
          <cell r="AV85" t="str">
            <v>-</v>
          </cell>
          <cell r="AW85">
            <v>0</v>
          </cell>
          <cell r="AX85" t="str">
            <v>-</v>
          </cell>
          <cell r="AY85">
            <v>0</v>
          </cell>
          <cell r="AZ85" t="str">
            <v/>
          </cell>
          <cell r="BA85">
            <v>0</v>
          </cell>
          <cell r="BB85" t="str">
            <v>-</v>
          </cell>
          <cell r="BC85">
            <v>0</v>
          </cell>
          <cell r="BD85" t="str">
            <v>-</v>
          </cell>
          <cell r="BE85">
            <v>0</v>
          </cell>
          <cell r="BF85" t="str">
            <v/>
          </cell>
          <cell r="BG85">
            <v>0</v>
          </cell>
          <cell r="BH85" t="str">
            <v>-</v>
          </cell>
          <cell r="BI85">
            <v>0</v>
          </cell>
          <cell r="BJ85" t="str">
            <v>-</v>
          </cell>
          <cell r="BK85">
            <v>0</v>
          </cell>
          <cell r="BL85">
            <v>0</v>
          </cell>
          <cell r="BM85" t="str">
            <v>-</v>
          </cell>
          <cell r="BN85">
            <v>15</v>
          </cell>
          <cell r="BO85" t="str">
            <v/>
          </cell>
          <cell r="BP85">
            <v>0</v>
          </cell>
          <cell r="BQ85">
            <v>0</v>
          </cell>
          <cell r="BR85" t="str">
            <v>-</v>
          </cell>
          <cell r="BS85">
            <v>0</v>
          </cell>
          <cell r="BT85">
            <v>0</v>
          </cell>
          <cell r="BU85" t="str">
            <v>-</v>
          </cell>
        </row>
        <row r="86">
          <cell r="A86" t="str">
            <v>10910RET</v>
          </cell>
          <cell r="B86">
            <v>10910</v>
          </cell>
          <cell r="C86" t="str">
            <v>RET</v>
          </cell>
          <cell r="D86" t="str">
            <v>Space Heating</v>
          </cell>
          <cell r="E86" t="str">
            <v>Air Source Heat Pump</v>
          </cell>
          <cell r="F86" t="str">
            <v>R</v>
          </cell>
          <cell r="G86" t="str">
            <v>Y</v>
          </cell>
          <cell r="M86" t="str">
            <v>RET</v>
          </cell>
          <cell r="N86" t="str">
            <v>Existing air source heat pump system with HSPF 8.2</v>
          </cell>
          <cell r="O86">
            <v>2021</v>
          </cell>
          <cell r="P86">
            <v>2030</v>
          </cell>
          <cell r="Q86" t="str">
            <v>Single Family</v>
          </cell>
          <cell r="R86" t="str">
            <v>per ton</v>
          </cell>
          <cell r="S86">
            <v>0</v>
          </cell>
          <cell r="T86">
            <v>0</v>
          </cell>
          <cell r="U86">
            <v>0</v>
          </cell>
          <cell r="V86">
            <v>599.80914634146347</v>
          </cell>
          <cell r="W86">
            <v>0.31666666666666671</v>
          </cell>
          <cell r="X86" t="str">
            <v>-</v>
          </cell>
          <cell r="Y86" t="str">
            <v>1,2</v>
          </cell>
          <cell r="Z86" t="str">
            <v>1,2</v>
          </cell>
          <cell r="AA86">
            <v>0</v>
          </cell>
          <cell r="AB86">
            <v>0</v>
          </cell>
          <cell r="AC86">
            <v>1929.01</v>
          </cell>
          <cell r="AD86">
            <v>3.2160396548902237</v>
          </cell>
          <cell r="AE86" t="str">
            <v>9,48</v>
          </cell>
          <cell r="AF86" t="str">
            <v>9,48</v>
          </cell>
          <cell r="AG86">
            <v>15</v>
          </cell>
          <cell r="AH86">
            <v>10</v>
          </cell>
          <cell r="AI86">
            <v>1244.01</v>
          </cell>
          <cell r="AJ86">
            <v>2.0740097205716856</v>
          </cell>
          <cell r="AK86">
            <v>1</v>
          </cell>
          <cell r="AL86" t="str">
            <v>-</v>
          </cell>
          <cell r="AM86" t="str">
            <v>-</v>
          </cell>
          <cell r="AN86" t="str">
            <v/>
          </cell>
          <cell r="AO86">
            <v>0</v>
          </cell>
          <cell r="AP86" t="str">
            <v>-</v>
          </cell>
          <cell r="AQ86">
            <v>0</v>
          </cell>
          <cell r="AR86" t="str">
            <v>-</v>
          </cell>
          <cell r="AS86">
            <v>0</v>
          </cell>
          <cell r="AT86" t="str">
            <v/>
          </cell>
          <cell r="AU86">
            <v>0</v>
          </cell>
          <cell r="AV86" t="str">
            <v>-</v>
          </cell>
          <cell r="AW86">
            <v>0</v>
          </cell>
          <cell r="AX86" t="str">
            <v>-</v>
          </cell>
          <cell r="AY86">
            <v>0</v>
          </cell>
          <cell r="AZ86" t="str">
            <v/>
          </cell>
          <cell r="BA86">
            <v>0</v>
          </cell>
          <cell r="BB86" t="str">
            <v>-</v>
          </cell>
          <cell r="BC86">
            <v>0</v>
          </cell>
          <cell r="BD86" t="str">
            <v>-</v>
          </cell>
          <cell r="BE86">
            <v>0</v>
          </cell>
          <cell r="BF86" t="str">
            <v/>
          </cell>
          <cell r="BG86">
            <v>0</v>
          </cell>
          <cell r="BH86" t="str">
            <v>-</v>
          </cell>
          <cell r="BI86">
            <v>0</v>
          </cell>
          <cell r="BJ86" t="str">
            <v>-</v>
          </cell>
          <cell r="BK86">
            <v>0</v>
          </cell>
          <cell r="BL86">
            <v>0</v>
          </cell>
          <cell r="BM86" t="str">
            <v>-</v>
          </cell>
          <cell r="BN86">
            <v>15</v>
          </cell>
          <cell r="BO86" t="str">
            <v/>
          </cell>
          <cell r="BP86">
            <v>0</v>
          </cell>
          <cell r="BQ86">
            <v>0</v>
          </cell>
          <cell r="BR86" t="str">
            <v>-</v>
          </cell>
          <cell r="BS86">
            <v>0</v>
          </cell>
          <cell r="BT86">
            <v>0</v>
          </cell>
          <cell r="BU86" t="str">
            <v>-</v>
          </cell>
        </row>
        <row r="87">
          <cell r="A87" t="str">
            <v>10911MD</v>
          </cell>
          <cell r="B87">
            <v>10911</v>
          </cell>
          <cell r="C87" t="str">
            <v>MD</v>
          </cell>
          <cell r="D87" t="str">
            <v>Space Heating</v>
          </cell>
          <cell r="E87" t="str">
            <v>Air Source Heat Pump</v>
          </cell>
          <cell r="F87" t="str">
            <v>R</v>
          </cell>
          <cell r="G87" t="str">
            <v>Y</v>
          </cell>
          <cell r="M87" t="str">
            <v>NC, RENO, REPL</v>
          </cell>
          <cell r="N87" t="str">
            <v>Existing electric resistance heating system with HSPF 3.412</v>
          </cell>
          <cell r="O87">
            <v>2021</v>
          </cell>
          <cell r="P87">
            <v>2030</v>
          </cell>
          <cell r="Q87" t="str">
            <v>Single Family</v>
          </cell>
          <cell r="R87" t="str">
            <v>per ton</v>
          </cell>
          <cell r="S87">
            <v>0</v>
          </cell>
          <cell r="T87">
            <v>0</v>
          </cell>
          <cell r="U87">
            <v>0</v>
          </cell>
          <cell r="V87">
            <v>3257.8145076201636</v>
          </cell>
          <cell r="W87">
            <v>0.71566666666666667</v>
          </cell>
          <cell r="X87" t="str">
            <v>-</v>
          </cell>
          <cell r="Y87" t="str">
            <v>1,2</v>
          </cell>
          <cell r="Z87" t="str">
            <v>1,2</v>
          </cell>
          <cell r="AA87">
            <v>0</v>
          </cell>
          <cell r="AB87">
            <v>0</v>
          </cell>
          <cell r="AC87">
            <v>788</v>
          </cell>
          <cell r="AD87">
            <v>0.24187994686524825</v>
          </cell>
          <cell r="AE87">
            <v>9</v>
          </cell>
          <cell r="AF87">
            <v>9</v>
          </cell>
          <cell r="AG87">
            <v>0</v>
          </cell>
          <cell r="AH87">
            <v>0</v>
          </cell>
          <cell r="AI87">
            <v>0</v>
          </cell>
          <cell r="AJ87">
            <v>0</v>
          </cell>
          <cell r="AK87">
            <v>0</v>
          </cell>
          <cell r="AL87" t="str">
            <v>-</v>
          </cell>
          <cell r="AM87" t="str">
            <v>-</v>
          </cell>
          <cell r="AN87" t="str">
            <v/>
          </cell>
          <cell r="AO87">
            <v>0</v>
          </cell>
          <cell r="AP87" t="str">
            <v>-</v>
          </cell>
          <cell r="AQ87">
            <v>0</v>
          </cell>
          <cell r="AR87" t="str">
            <v>-</v>
          </cell>
          <cell r="AS87">
            <v>0</v>
          </cell>
          <cell r="AT87" t="str">
            <v/>
          </cell>
          <cell r="AU87">
            <v>0</v>
          </cell>
          <cell r="AV87" t="str">
            <v>-</v>
          </cell>
          <cell r="AW87">
            <v>0</v>
          </cell>
          <cell r="AX87" t="str">
            <v>-</v>
          </cell>
          <cell r="AY87">
            <v>0</v>
          </cell>
          <cell r="AZ87" t="str">
            <v/>
          </cell>
          <cell r="BA87">
            <v>0</v>
          </cell>
          <cell r="BB87" t="str">
            <v>-</v>
          </cell>
          <cell r="BC87">
            <v>0</v>
          </cell>
          <cell r="BD87" t="str">
            <v>-</v>
          </cell>
          <cell r="BE87">
            <v>0</v>
          </cell>
          <cell r="BF87" t="str">
            <v/>
          </cell>
          <cell r="BG87">
            <v>0</v>
          </cell>
          <cell r="BH87" t="str">
            <v>-</v>
          </cell>
          <cell r="BI87">
            <v>0</v>
          </cell>
          <cell r="BJ87" t="str">
            <v>-</v>
          </cell>
          <cell r="BK87">
            <v>0</v>
          </cell>
          <cell r="BL87">
            <v>0</v>
          </cell>
          <cell r="BM87" t="str">
            <v>-</v>
          </cell>
          <cell r="BN87">
            <v>15</v>
          </cell>
          <cell r="BO87" t="str">
            <v/>
          </cell>
          <cell r="BP87">
            <v>0</v>
          </cell>
          <cell r="BQ87">
            <v>0</v>
          </cell>
          <cell r="BR87" t="str">
            <v>-</v>
          </cell>
          <cell r="BS87">
            <v>0</v>
          </cell>
          <cell r="BT87">
            <v>0</v>
          </cell>
          <cell r="BU87" t="str">
            <v>-</v>
          </cell>
        </row>
        <row r="88">
          <cell r="A88" t="str">
            <v>10912MD</v>
          </cell>
          <cell r="B88">
            <v>10912</v>
          </cell>
          <cell r="C88" t="str">
            <v>MD</v>
          </cell>
          <cell r="D88" t="str">
            <v>Space Heating</v>
          </cell>
          <cell r="E88" t="str">
            <v>Quality Install Air Source Heat Pump</v>
          </cell>
          <cell r="F88" t="str">
            <v>R</v>
          </cell>
          <cell r="G88" t="str">
            <v>Y</v>
          </cell>
          <cell r="M88" t="str">
            <v>NC, RENO, REPL</v>
          </cell>
          <cell r="N88" t="str">
            <v>Existing or baseline air source heat pump system with HSPF 8.2</v>
          </cell>
          <cell r="O88">
            <v>2021</v>
          </cell>
          <cell r="P88">
            <v>2030</v>
          </cell>
          <cell r="Q88" t="str">
            <v>Single Family</v>
          </cell>
          <cell r="R88" t="str">
            <v>per ton</v>
          </cell>
          <cell r="S88">
            <v>0</v>
          </cell>
          <cell r="T88">
            <v>0</v>
          </cell>
          <cell r="U88">
            <v>0</v>
          </cell>
          <cell r="V88">
            <v>743.62303523035234</v>
          </cell>
          <cell r="W88">
            <v>0.39259259259259266</v>
          </cell>
          <cell r="X88" t="str">
            <v>-</v>
          </cell>
          <cell r="Y88" t="str">
            <v>1,2,8</v>
          </cell>
          <cell r="Z88" t="str">
            <v>1,2,8</v>
          </cell>
          <cell r="AA88">
            <v>0</v>
          </cell>
          <cell r="AB88">
            <v>0</v>
          </cell>
          <cell r="AC88">
            <v>788</v>
          </cell>
          <cell r="AD88">
            <v>1.0596766945982261</v>
          </cell>
          <cell r="AE88">
            <v>9</v>
          </cell>
          <cell r="AF88">
            <v>9</v>
          </cell>
          <cell r="AG88">
            <v>0</v>
          </cell>
          <cell r="AH88">
            <v>0</v>
          </cell>
          <cell r="AI88">
            <v>0</v>
          </cell>
          <cell r="AJ88">
            <v>0</v>
          </cell>
          <cell r="AK88">
            <v>0</v>
          </cell>
          <cell r="AL88" t="str">
            <v>-</v>
          </cell>
          <cell r="AM88" t="str">
            <v>-</v>
          </cell>
          <cell r="AN88" t="str">
            <v/>
          </cell>
          <cell r="AO88">
            <v>0</v>
          </cell>
          <cell r="AP88" t="str">
            <v>-</v>
          </cell>
          <cell r="AQ88">
            <v>0</v>
          </cell>
          <cell r="AR88" t="str">
            <v>-</v>
          </cell>
          <cell r="AS88">
            <v>0</v>
          </cell>
          <cell r="AT88" t="str">
            <v/>
          </cell>
          <cell r="AU88">
            <v>0</v>
          </cell>
          <cell r="AV88" t="str">
            <v>-</v>
          </cell>
          <cell r="AW88">
            <v>0</v>
          </cell>
          <cell r="AX88" t="str">
            <v>-</v>
          </cell>
          <cell r="AY88">
            <v>0</v>
          </cell>
          <cell r="AZ88" t="str">
            <v/>
          </cell>
          <cell r="BA88">
            <v>0</v>
          </cell>
          <cell r="BB88" t="str">
            <v>-</v>
          </cell>
          <cell r="BC88">
            <v>0</v>
          </cell>
          <cell r="BD88" t="str">
            <v>-</v>
          </cell>
          <cell r="BE88">
            <v>0</v>
          </cell>
          <cell r="BF88" t="str">
            <v/>
          </cell>
          <cell r="BG88">
            <v>0</v>
          </cell>
          <cell r="BH88" t="str">
            <v>-</v>
          </cell>
          <cell r="BI88">
            <v>0</v>
          </cell>
          <cell r="BJ88" t="str">
            <v>-</v>
          </cell>
          <cell r="BK88">
            <v>0</v>
          </cell>
          <cell r="BL88">
            <v>0</v>
          </cell>
          <cell r="BM88" t="str">
            <v>-</v>
          </cell>
          <cell r="BN88">
            <v>15</v>
          </cell>
          <cell r="BO88" t="str">
            <v/>
          </cell>
          <cell r="BP88">
            <v>0</v>
          </cell>
          <cell r="BQ88">
            <v>0</v>
          </cell>
          <cell r="BR88" t="str">
            <v>-</v>
          </cell>
          <cell r="BS88">
            <v>0</v>
          </cell>
          <cell r="BT88">
            <v>0</v>
          </cell>
          <cell r="BU88" t="str">
            <v>-</v>
          </cell>
        </row>
        <row r="89">
          <cell r="A89" t="str">
            <v>10912RET</v>
          </cell>
          <cell r="B89">
            <v>10912</v>
          </cell>
          <cell r="C89" t="str">
            <v>RET</v>
          </cell>
          <cell r="D89" t="str">
            <v>Space Heating</v>
          </cell>
          <cell r="E89" t="str">
            <v>Quality Install Air Source Heat Pump</v>
          </cell>
          <cell r="F89" t="str">
            <v>R</v>
          </cell>
          <cell r="G89" t="str">
            <v>Y</v>
          </cell>
          <cell r="M89" t="str">
            <v>RET</v>
          </cell>
          <cell r="N89" t="str">
            <v>Existing air source heat pump system with HSPF 8.2</v>
          </cell>
          <cell r="O89">
            <v>2021</v>
          </cell>
          <cell r="P89">
            <v>2030</v>
          </cell>
          <cell r="Q89" t="str">
            <v>Single Family</v>
          </cell>
          <cell r="R89" t="str">
            <v>per ton</v>
          </cell>
          <cell r="S89">
            <v>0</v>
          </cell>
          <cell r="T89">
            <v>0</v>
          </cell>
          <cell r="U89">
            <v>0</v>
          </cell>
          <cell r="V89">
            <v>743.62303523035234</v>
          </cell>
          <cell r="W89">
            <v>0.39259259259259266</v>
          </cell>
          <cell r="X89" t="str">
            <v>-</v>
          </cell>
          <cell r="Y89" t="str">
            <v>1,2,8</v>
          </cell>
          <cell r="Z89" t="str">
            <v>1,2,8</v>
          </cell>
          <cell r="AA89">
            <v>0</v>
          </cell>
          <cell r="AB89">
            <v>0</v>
          </cell>
          <cell r="AC89">
            <v>1929.01</v>
          </cell>
          <cell r="AD89">
            <v>2.5940697216331525</v>
          </cell>
          <cell r="AE89" t="str">
            <v>9,48</v>
          </cell>
          <cell r="AF89" t="str">
            <v>9,48</v>
          </cell>
          <cell r="AG89">
            <v>15</v>
          </cell>
          <cell r="AH89">
            <v>10</v>
          </cell>
          <cell r="AI89">
            <v>1244.01</v>
          </cell>
          <cell r="AJ89">
            <v>1.6729040670648976</v>
          </cell>
          <cell r="AK89">
            <v>1</v>
          </cell>
          <cell r="AL89" t="str">
            <v>-</v>
          </cell>
          <cell r="AM89" t="str">
            <v>-</v>
          </cell>
          <cell r="AN89" t="str">
            <v/>
          </cell>
          <cell r="AO89">
            <v>0</v>
          </cell>
          <cell r="AP89" t="str">
            <v>-</v>
          </cell>
          <cell r="AQ89">
            <v>0</v>
          </cell>
          <cell r="AR89" t="str">
            <v>-</v>
          </cell>
          <cell r="AS89">
            <v>0</v>
          </cell>
          <cell r="AT89" t="str">
            <v/>
          </cell>
          <cell r="AU89">
            <v>0</v>
          </cell>
          <cell r="AV89" t="str">
            <v>-</v>
          </cell>
          <cell r="AW89">
            <v>0</v>
          </cell>
          <cell r="AX89" t="str">
            <v>-</v>
          </cell>
          <cell r="AY89">
            <v>0</v>
          </cell>
          <cell r="AZ89" t="str">
            <v/>
          </cell>
          <cell r="BA89">
            <v>0</v>
          </cell>
          <cell r="BB89" t="str">
            <v>-</v>
          </cell>
          <cell r="BC89">
            <v>0</v>
          </cell>
          <cell r="BD89" t="str">
            <v>-</v>
          </cell>
          <cell r="BE89">
            <v>0</v>
          </cell>
          <cell r="BF89" t="str">
            <v/>
          </cell>
          <cell r="BG89">
            <v>0</v>
          </cell>
          <cell r="BH89" t="str">
            <v>-</v>
          </cell>
          <cell r="BI89">
            <v>0</v>
          </cell>
          <cell r="BJ89" t="str">
            <v>-</v>
          </cell>
          <cell r="BK89">
            <v>0</v>
          </cell>
          <cell r="BL89">
            <v>0</v>
          </cell>
          <cell r="BM89" t="str">
            <v>-</v>
          </cell>
          <cell r="BN89">
            <v>15</v>
          </cell>
          <cell r="BO89" t="str">
            <v/>
          </cell>
          <cell r="BP89">
            <v>0</v>
          </cell>
          <cell r="BQ89">
            <v>0</v>
          </cell>
          <cell r="BR89" t="str">
            <v>-</v>
          </cell>
          <cell r="BS89">
            <v>0</v>
          </cell>
          <cell r="BT89">
            <v>0</v>
          </cell>
          <cell r="BU89" t="str">
            <v>-</v>
          </cell>
        </row>
        <row r="90">
          <cell r="A90" t="str">
            <v>10913MD</v>
          </cell>
          <cell r="B90">
            <v>10913</v>
          </cell>
          <cell r="C90" t="str">
            <v>MD</v>
          </cell>
          <cell r="D90" t="str">
            <v>Space Heating</v>
          </cell>
          <cell r="E90" t="str">
            <v>Quality Install Air Source Heat Pump</v>
          </cell>
          <cell r="F90" t="str">
            <v>R</v>
          </cell>
          <cell r="G90" t="str">
            <v>Y</v>
          </cell>
          <cell r="M90" t="str">
            <v>NC, RENO, REPL</v>
          </cell>
          <cell r="N90" t="str">
            <v>Existing electric resistance heating system with HSPF 3.412</v>
          </cell>
          <cell r="O90">
            <v>2021</v>
          </cell>
          <cell r="P90">
            <v>2030</v>
          </cell>
          <cell r="Q90" t="str">
            <v>Single Family</v>
          </cell>
          <cell r="R90" t="str">
            <v>per ton</v>
          </cell>
          <cell r="S90">
            <v>0</v>
          </cell>
          <cell r="T90">
            <v>0</v>
          </cell>
          <cell r="U90">
            <v>0</v>
          </cell>
          <cell r="V90">
            <v>3401.6283965090524</v>
          </cell>
          <cell r="W90">
            <v>0.74725925925925929</v>
          </cell>
          <cell r="X90" t="str">
            <v>-</v>
          </cell>
          <cell r="Y90" t="str">
            <v>1,2,8</v>
          </cell>
          <cell r="Z90" t="str">
            <v>1,2,8</v>
          </cell>
          <cell r="AA90">
            <v>0</v>
          </cell>
          <cell r="AB90">
            <v>0</v>
          </cell>
          <cell r="AC90">
            <v>788</v>
          </cell>
          <cell r="AD90">
            <v>0.23165375759700593</v>
          </cell>
          <cell r="AE90">
            <v>9</v>
          </cell>
          <cell r="AF90">
            <v>9</v>
          </cell>
          <cell r="AG90">
            <v>0</v>
          </cell>
          <cell r="AH90">
            <v>0</v>
          </cell>
          <cell r="AI90">
            <v>0</v>
          </cell>
          <cell r="AJ90">
            <v>0</v>
          </cell>
          <cell r="AK90">
            <v>0</v>
          </cell>
          <cell r="AL90" t="str">
            <v>-</v>
          </cell>
          <cell r="AM90" t="str">
            <v>-</v>
          </cell>
          <cell r="AN90" t="str">
            <v/>
          </cell>
          <cell r="AO90">
            <v>0</v>
          </cell>
          <cell r="AP90" t="str">
            <v>-</v>
          </cell>
          <cell r="AQ90">
            <v>0</v>
          </cell>
          <cell r="AR90" t="str">
            <v>-</v>
          </cell>
          <cell r="AS90">
            <v>0</v>
          </cell>
          <cell r="AT90" t="str">
            <v/>
          </cell>
          <cell r="AU90">
            <v>0</v>
          </cell>
          <cell r="AV90" t="str">
            <v>-</v>
          </cell>
          <cell r="AW90">
            <v>0</v>
          </cell>
          <cell r="AX90" t="str">
            <v>-</v>
          </cell>
          <cell r="AY90">
            <v>0</v>
          </cell>
          <cell r="AZ90" t="str">
            <v/>
          </cell>
          <cell r="BA90">
            <v>0</v>
          </cell>
          <cell r="BB90" t="str">
            <v>-</v>
          </cell>
          <cell r="BC90">
            <v>0</v>
          </cell>
          <cell r="BD90" t="str">
            <v>-</v>
          </cell>
          <cell r="BE90">
            <v>0</v>
          </cell>
          <cell r="BF90" t="str">
            <v/>
          </cell>
          <cell r="BG90">
            <v>0</v>
          </cell>
          <cell r="BH90" t="str">
            <v>-</v>
          </cell>
          <cell r="BI90">
            <v>0</v>
          </cell>
          <cell r="BJ90" t="str">
            <v>-</v>
          </cell>
          <cell r="BK90">
            <v>0</v>
          </cell>
          <cell r="BL90">
            <v>0</v>
          </cell>
          <cell r="BM90" t="str">
            <v>-</v>
          </cell>
          <cell r="BN90">
            <v>15</v>
          </cell>
          <cell r="BO90" t="str">
            <v/>
          </cell>
          <cell r="BP90">
            <v>0</v>
          </cell>
          <cell r="BQ90">
            <v>0</v>
          </cell>
          <cell r="BR90" t="str">
            <v>-</v>
          </cell>
          <cell r="BS90">
            <v>0</v>
          </cell>
          <cell r="BT90">
            <v>0</v>
          </cell>
          <cell r="BU90" t="str">
            <v>-</v>
          </cell>
        </row>
        <row r="91">
          <cell r="A91" t="str">
            <v>10914RET</v>
          </cell>
          <cell r="B91">
            <v>10914</v>
          </cell>
          <cell r="C91" t="str">
            <v>RET</v>
          </cell>
          <cell r="D91" t="str">
            <v>Space Heating</v>
          </cell>
          <cell r="E91" t="str">
            <v>Air Source Heat Pump Tune Up</v>
          </cell>
          <cell r="F91" t="str">
            <v>R</v>
          </cell>
          <cell r="G91" t="str">
            <v>Y</v>
          </cell>
          <cell r="M91" t="str">
            <v>RET</v>
          </cell>
          <cell r="N91" t="str">
            <v>Existing ASHP system that has not received a tune-up within the last 3 years</v>
          </cell>
          <cell r="O91">
            <v>2021</v>
          </cell>
          <cell r="P91">
            <v>2030</v>
          </cell>
          <cell r="Q91" t="str">
            <v>Single Family</v>
          </cell>
          <cell r="R91" t="str">
            <v>per tune up</v>
          </cell>
          <cell r="S91">
            <v>0</v>
          </cell>
          <cell r="T91">
            <v>0</v>
          </cell>
          <cell r="U91">
            <v>0</v>
          </cell>
          <cell r="V91">
            <v>236.76676829268291</v>
          </cell>
          <cell r="W91">
            <v>0.05</v>
          </cell>
          <cell r="X91" t="str">
            <v>-</v>
          </cell>
          <cell r="Y91" t="str">
            <v>1,2</v>
          </cell>
          <cell r="Z91" t="str">
            <v>1,2</v>
          </cell>
          <cell r="AA91">
            <v>0</v>
          </cell>
          <cell r="AB91">
            <v>0</v>
          </cell>
          <cell r="AC91">
            <v>100</v>
          </cell>
          <cell r="AD91">
            <v>0.42235656938301175</v>
          </cell>
          <cell r="AE91">
            <v>4</v>
          </cell>
          <cell r="AF91">
            <v>4</v>
          </cell>
          <cell r="AG91">
            <v>0</v>
          </cell>
          <cell r="AH91">
            <v>0</v>
          </cell>
          <cell r="AI91">
            <v>0</v>
          </cell>
          <cell r="AJ91">
            <v>0</v>
          </cell>
          <cell r="AK91">
            <v>0</v>
          </cell>
          <cell r="AL91" t="str">
            <v>-</v>
          </cell>
          <cell r="AM91" t="str">
            <v>-</v>
          </cell>
          <cell r="AN91" t="str">
            <v/>
          </cell>
          <cell r="AO91">
            <v>0</v>
          </cell>
          <cell r="AP91" t="str">
            <v>-</v>
          </cell>
          <cell r="AQ91">
            <v>0</v>
          </cell>
          <cell r="AR91" t="str">
            <v>-</v>
          </cell>
          <cell r="AS91">
            <v>0</v>
          </cell>
          <cell r="AT91" t="str">
            <v/>
          </cell>
          <cell r="AU91">
            <v>0</v>
          </cell>
          <cell r="AV91" t="str">
            <v>-</v>
          </cell>
          <cell r="AW91">
            <v>0</v>
          </cell>
          <cell r="AX91" t="str">
            <v>-</v>
          </cell>
          <cell r="AY91">
            <v>0</v>
          </cell>
          <cell r="AZ91" t="str">
            <v/>
          </cell>
          <cell r="BA91">
            <v>0</v>
          </cell>
          <cell r="BB91" t="str">
            <v>-</v>
          </cell>
          <cell r="BC91">
            <v>0</v>
          </cell>
          <cell r="BD91" t="str">
            <v>-</v>
          </cell>
          <cell r="BE91">
            <v>0</v>
          </cell>
          <cell r="BF91" t="str">
            <v/>
          </cell>
          <cell r="BG91">
            <v>0</v>
          </cell>
          <cell r="BH91" t="str">
            <v>-</v>
          </cell>
          <cell r="BI91">
            <v>0</v>
          </cell>
          <cell r="BJ91" t="str">
            <v>-</v>
          </cell>
          <cell r="BK91">
            <v>0</v>
          </cell>
          <cell r="BL91">
            <v>0</v>
          </cell>
          <cell r="BM91" t="str">
            <v>-</v>
          </cell>
          <cell r="BN91">
            <v>3</v>
          </cell>
          <cell r="BO91" t="str">
            <v/>
          </cell>
          <cell r="BP91">
            <v>0</v>
          </cell>
          <cell r="BQ91">
            <v>0</v>
          </cell>
          <cell r="BR91" t="str">
            <v>-</v>
          </cell>
          <cell r="BS91">
            <v>0</v>
          </cell>
          <cell r="BT91">
            <v>0</v>
          </cell>
          <cell r="BU91" t="str">
            <v>-</v>
          </cell>
        </row>
        <row r="92">
          <cell r="A92" t="str">
            <v>10915MD</v>
          </cell>
          <cell r="B92">
            <v>10915</v>
          </cell>
          <cell r="C92" t="str">
            <v>MD</v>
          </cell>
          <cell r="D92" t="str">
            <v>Space Heating</v>
          </cell>
          <cell r="E92" t="str">
            <v>Ductless Mini Split Heat Pump</v>
          </cell>
          <cell r="F92" t="str">
            <v>R</v>
          </cell>
          <cell r="G92" t="str">
            <v>Y</v>
          </cell>
          <cell r="M92" t="str">
            <v>NC, RENO, REPL</v>
          </cell>
          <cell r="N92" t="str">
            <v>Existing or baseline Electric Resistance Heating System with HSPF 3.412</v>
          </cell>
          <cell r="O92">
            <v>2021</v>
          </cell>
          <cell r="P92">
            <v>2030</v>
          </cell>
          <cell r="Q92" t="str">
            <v>Single Family</v>
          </cell>
          <cell r="R92" t="str">
            <v>per ton</v>
          </cell>
          <cell r="S92">
            <v>0</v>
          </cell>
          <cell r="T92">
            <v>0</v>
          </cell>
          <cell r="U92">
            <v>0</v>
          </cell>
          <cell r="V92">
            <v>3897.9363651817121</v>
          </cell>
          <cell r="W92">
            <v>0.71848184818481853</v>
          </cell>
          <cell r="X92" t="str">
            <v>-</v>
          </cell>
          <cell r="Y92" t="str">
            <v>1,2</v>
          </cell>
          <cell r="Z92" t="str">
            <v>1,2</v>
          </cell>
          <cell r="AA92">
            <v>0</v>
          </cell>
          <cell r="AB92">
            <v>0</v>
          </cell>
          <cell r="AC92">
            <v>222.24282937023762</v>
          </cell>
          <cell r="AD92">
            <v>5.7015509887595919E-2</v>
          </cell>
          <cell r="AE92">
            <v>4</v>
          </cell>
          <cell r="AF92">
            <v>4</v>
          </cell>
          <cell r="AG92">
            <v>0</v>
          </cell>
          <cell r="AH92">
            <v>0</v>
          </cell>
          <cell r="AI92">
            <v>0</v>
          </cell>
          <cell r="AJ92">
            <v>0</v>
          </cell>
          <cell r="AK92">
            <v>0</v>
          </cell>
          <cell r="AL92" t="str">
            <v>-</v>
          </cell>
          <cell r="AM92" t="str">
            <v>-</v>
          </cell>
          <cell r="AN92" t="str">
            <v/>
          </cell>
          <cell r="AO92">
            <v>0</v>
          </cell>
          <cell r="AP92" t="str">
            <v>-</v>
          </cell>
          <cell r="AQ92">
            <v>0</v>
          </cell>
          <cell r="AR92" t="str">
            <v>-</v>
          </cell>
          <cell r="AS92">
            <v>0</v>
          </cell>
          <cell r="AT92" t="str">
            <v/>
          </cell>
          <cell r="AU92">
            <v>0</v>
          </cell>
          <cell r="AV92" t="str">
            <v>-</v>
          </cell>
          <cell r="AW92">
            <v>0</v>
          </cell>
          <cell r="AX92" t="str">
            <v>-</v>
          </cell>
          <cell r="AY92">
            <v>0</v>
          </cell>
          <cell r="AZ92" t="str">
            <v/>
          </cell>
          <cell r="BA92">
            <v>0</v>
          </cell>
          <cell r="BB92" t="str">
            <v>-</v>
          </cell>
          <cell r="BC92">
            <v>0</v>
          </cell>
          <cell r="BD92" t="str">
            <v>-</v>
          </cell>
          <cell r="BE92">
            <v>0</v>
          </cell>
          <cell r="BF92" t="str">
            <v/>
          </cell>
          <cell r="BG92">
            <v>0</v>
          </cell>
          <cell r="BH92" t="str">
            <v>-</v>
          </cell>
          <cell r="BI92">
            <v>0</v>
          </cell>
          <cell r="BJ92" t="str">
            <v>-</v>
          </cell>
          <cell r="BK92">
            <v>0</v>
          </cell>
          <cell r="BL92">
            <v>0</v>
          </cell>
          <cell r="BM92" t="str">
            <v>-</v>
          </cell>
          <cell r="BN92">
            <v>15</v>
          </cell>
          <cell r="BO92" t="str">
            <v/>
          </cell>
          <cell r="BP92">
            <v>0</v>
          </cell>
          <cell r="BQ92">
            <v>0</v>
          </cell>
          <cell r="BR92" t="str">
            <v>-</v>
          </cell>
          <cell r="BS92">
            <v>0</v>
          </cell>
          <cell r="BT92">
            <v>0</v>
          </cell>
          <cell r="BU92" t="str">
            <v>-</v>
          </cell>
        </row>
        <row r="93">
          <cell r="A93" t="str">
            <v>10915RET</v>
          </cell>
          <cell r="B93">
            <v>10915</v>
          </cell>
          <cell r="C93" t="str">
            <v>RET</v>
          </cell>
          <cell r="D93" t="str">
            <v>Space Heating</v>
          </cell>
          <cell r="E93" t="str">
            <v>Ductless Mini Split Heat Pump</v>
          </cell>
          <cell r="F93" t="str">
            <v>R</v>
          </cell>
          <cell r="G93" t="str">
            <v>Y</v>
          </cell>
          <cell r="M93" t="str">
            <v>RET</v>
          </cell>
          <cell r="N93" t="str">
            <v>Existing Electric Resistance Heating System with HSPF 3.412</v>
          </cell>
          <cell r="O93">
            <v>2021</v>
          </cell>
          <cell r="P93">
            <v>2030</v>
          </cell>
          <cell r="Q93" t="str">
            <v>Single Family</v>
          </cell>
          <cell r="R93" t="str">
            <v>per ton</v>
          </cell>
          <cell r="S93">
            <v>0</v>
          </cell>
          <cell r="T93">
            <v>0</v>
          </cell>
          <cell r="U93">
            <v>0</v>
          </cell>
          <cell r="V93">
            <v>3897.9363651817121</v>
          </cell>
          <cell r="W93">
            <v>0.71848184818481853</v>
          </cell>
          <cell r="X93" t="str">
            <v>-</v>
          </cell>
          <cell r="Y93" t="str">
            <v>1,2</v>
          </cell>
          <cell r="Z93" t="str">
            <v>1,2</v>
          </cell>
          <cell r="AA93">
            <v>0</v>
          </cell>
          <cell r="AB93">
            <v>0</v>
          </cell>
          <cell r="AC93">
            <v>1472.5382097803547</v>
          </cell>
          <cell r="AD93">
            <v>0.37777379408596595</v>
          </cell>
          <cell r="AE93">
            <v>4</v>
          </cell>
          <cell r="AF93">
            <v>4</v>
          </cell>
          <cell r="AG93">
            <v>15</v>
          </cell>
          <cell r="AH93">
            <v>10</v>
          </cell>
          <cell r="AI93">
            <v>1250.2953804101169</v>
          </cell>
          <cell r="AJ93">
            <v>0.32075828419836999</v>
          </cell>
          <cell r="AK93">
            <v>1</v>
          </cell>
          <cell r="AL93" t="str">
            <v>-</v>
          </cell>
          <cell r="AM93" t="str">
            <v>-</v>
          </cell>
          <cell r="AN93" t="str">
            <v/>
          </cell>
          <cell r="AO93">
            <v>0</v>
          </cell>
          <cell r="AP93" t="str">
            <v>-</v>
          </cell>
          <cell r="AQ93">
            <v>0</v>
          </cell>
          <cell r="AR93" t="str">
            <v>-</v>
          </cell>
          <cell r="AS93">
            <v>0</v>
          </cell>
          <cell r="AT93" t="str">
            <v/>
          </cell>
          <cell r="AU93">
            <v>0</v>
          </cell>
          <cell r="AV93" t="str">
            <v>-</v>
          </cell>
          <cell r="AW93">
            <v>0</v>
          </cell>
          <cell r="AX93" t="str">
            <v>-</v>
          </cell>
          <cell r="AY93">
            <v>0</v>
          </cell>
          <cell r="AZ93" t="str">
            <v/>
          </cell>
          <cell r="BA93">
            <v>0</v>
          </cell>
          <cell r="BB93" t="str">
            <v>-</v>
          </cell>
          <cell r="BC93">
            <v>0</v>
          </cell>
          <cell r="BD93" t="str">
            <v>-</v>
          </cell>
          <cell r="BE93">
            <v>0</v>
          </cell>
          <cell r="BF93" t="str">
            <v/>
          </cell>
          <cell r="BG93">
            <v>0</v>
          </cell>
          <cell r="BH93" t="str">
            <v>-</v>
          </cell>
          <cell r="BI93">
            <v>0</v>
          </cell>
          <cell r="BJ93" t="str">
            <v>-</v>
          </cell>
          <cell r="BK93">
            <v>0</v>
          </cell>
          <cell r="BL93">
            <v>0</v>
          </cell>
          <cell r="BM93" t="str">
            <v>-</v>
          </cell>
          <cell r="BN93">
            <v>15</v>
          </cell>
          <cell r="BO93" t="str">
            <v/>
          </cell>
          <cell r="BP93">
            <v>0</v>
          </cell>
          <cell r="BQ93">
            <v>0</v>
          </cell>
          <cell r="BR93" t="str">
            <v>-</v>
          </cell>
          <cell r="BS93">
            <v>0</v>
          </cell>
          <cell r="BT93">
            <v>0</v>
          </cell>
          <cell r="BU93" t="str">
            <v>-</v>
          </cell>
        </row>
        <row r="94">
          <cell r="A94" t="str">
            <v>10916MD</v>
          </cell>
          <cell r="B94">
            <v>10916</v>
          </cell>
          <cell r="C94" t="str">
            <v>MD</v>
          </cell>
          <cell r="D94" t="str">
            <v>Space Heating</v>
          </cell>
          <cell r="E94" t="str">
            <v>Ground Source Heat Pump</v>
          </cell>
          <cell r="F94" t="str">
            <v>R</v>
          </cell>
          <cell r="G94" t="str">
            <v>Y</v>
          </cell>
          <cell r="M94" t="str">
            <v>NC, RENO, REPL</v>
          </cell>
          <cell r="N94" t="str">
            <v>Existing or baseline Electric Heating System with HSPF 3.412</v>
          </cell>
          <cell r="O94">
            <v>2021</v>
          </cell>
          <cell r="P94">
            <v>2030</v>
          </cell>
          <cell r="Q94" t="str">
            <v>Single Family</v>
          </cell>
          <cell r="R94" t="str">
            <v>per ton</v>
          </cell>
          <cell r="S94">
            <v>0</v>
          </cell>
          <cell r="T94">
            <v>0</v>
          </cell>
          <cell r="U94">
            <v>0</v>
          </cell>
          <cell r="V94">
            <v>3039.2981956825879</v>
          </cell>
          <cell r="W94">
            <v>0.66766367563974738</v>
          </cell>
          <cell r="X94" t="str">
            <v>-</v>
          </cell>
          <cell r="Y94" t="str">
            <v>1,2</v>
          </cell>
          <cell r="Z94" t="str">
            <v>1,2</v>
          </cell>
          <cell r="AA94">
            <v>0</v>
          </cell>
          <cell r="AB94">
            <v>0</v>
          </cell>
          <cell r="AC94">
            <v>3631.1831330467899</v>
          </cell>
          <cell r="AD94">
            <v>1.1947439504965298</v>
          </cell>
          <cell r="AE94" t="str">
            <v>4,48</v>
          </cell>
          <cell r="AF94" t="str">
            <v>4,48</v>
          </cell>
          <cell r="AG94">
            <v>0</v>
          </cell>
          <cell r="AH94">
            <v>0</v>
          </cell>
          <cell r="AI94">
            <v>0</v>
          </cell>
          <cell r="AJ94">
            <v>0</v>
          </cell>
          <cell r="AK94">
            <v>0</v>
          </cell>
          <cell r="AL94" t="str">
            <v>-</v>
          </cell>
          <cell r="AM94" t="str">
            <v>-</v>
          </cell>
          <cell r="AN94" t="str">
            <v/>
          </cell>
          <cell r="AO94">
            <v>0</v>
          </cell>
          <cell r="AP94" t="str">
            <v>-</v>
          </cell>
          <cell r="AQ94">
            <v>0</v>
          </cell>
          <cell r="AR94" t="str">
            <v>-</v>
          </cell>
          <cell r="AS94">
            <v>0</v>
          </cell>
          <cell r="AT94" t="str">
            <v/>
          </cell>
          <cell r="AU94">
            <v>0</v>
          </cell>
          <cell r="AV94" t="str">
            <v>-</v>
          </cell>
          <cell r="AW94">
            <v>0</v>
          </cell>
          <cell r="AX94" t="str">
            <v>-</v>
          </cell>
          <cell r="AY94">
            <v>0</v>
          </cell>
          <cell r="AZ94" t="str">
            <v/>
          </cell>
          <cell r="BA94">
            <v>0</v>
          </cell>
          <cell r="BB94" t="str">
            <v>-</v>
          </cell>
          <cell r="BC94">
            <v>0</v>
          </cell>
          <cell r="BD94" t="str">
            <v>-</v>
          </cell>
          <cell r="BE94">
            <v>0</v>
          </cell>
          <cell r="BF94" t="str">
            <v/>
          </cell>
          <cell r="BG94">
            <v>0</v>
          </cell>
          <cell r="BH94" t="str">
            <v>-</v>
          </cell>
          <cell r="BI94">
            <v>0</v>
          </cell>
          <cell r="BJ94" t="str">
            <v>-</v>
          </cell>
          <cell r="BK94">
            <v>0</v>
          </cell>
          <cell r="BL94">
            <v>0</v>
          </cell>
          <cell r="BM94" t="str">
            <v>-</v>
          </cell>
          <cell r="BN94">
            <v>15</v>
          </cell>
          <cell r="BO94" t="str">
            <v/>
          </cell>
          <cell r="BP94">
            <v>0</v>
          </cell>
          <cell r="BQ94">
            <v>0</v>
          </cell>
          <cell r="BR94" t="str">
            <v>-</v>
          </cell>
          <cell r="BS94">
            <v>0</v>
          </cell>
          <cell r="BT94">
            <v>0</v>
          </cell>
          <cell r="BU94" t="str">
            <v>-</v>
          </cell>
        </row>
        <row r="95">
          <cell r="A95" t="str">
            <v>10916RET</v>
          </cell>
          <cell r="B95">
            <v>10916</v>
          </cell>
          <cell r="C95" t="str">
            <v>RET</v>
          </cell>
          <cell r="D95" t="str">
            <v>Space Heating</v>
          </cell>
          <cell r="E95" t="str">
            <v>Ground Source Heat Pump</v>
          </cell>
          <cell r="F95" t="str">
            <v>R</v>
          </cell>
          <cell r="G95" t="str">
            <v>Y</v>
          </cell>
          <cell r="M95" t="str">
            <v>RET</v>
          </cell>
          <cell r="N95" t="str">
            <v>Existing Electric Heating System with HSPF 3.412</v>
          </cell>
          <cell r="O95">
            <v>2021</v>
          </cell>
          <cell r="P95">
            <v>2030</v>
          </cell>
          <cell r="Q95" t="str">
            <v>Single Family</v>
          </cell>
          <cell r="R95" t="str">
            <v>per ton</v>
          </cell>
          <cell r="S95">
            <v>0</v>
          </cell>
          <cell r="T95">
            <v>0</v>
          </cell>
          <cell r="U95">
            <v>0</v>
          </cell>
          <cell r="V95">
            <v>3039.2981956825879</v>
          </cell>
          <cell r="W95">
            <v>0.66766367563974738</v>
          </cell>
          <cell r="X95" t="str">
            <v>-</v>
          </cell>
          <cell r="Y95" t="str">
            <v>1,2</v>
          </cell>
          <cell r="Z95" t="str">
            <v>1,2</v>
          </cell>
          <cell r="AA95">
            <v>0</v>
          </cell>
          <cell r="AB95">
            <v>0</v>
          </cell>
          <cell r="AC95">
            <v>3631.1831330467899</v>
          </cell>
          <cell r="AD95">
            <v>1.1947439504965298</v>
          </cell>
          <cell r="AE95" t="str">
            <v>4,48</v>
          </cell>
          <cell r="AF95" t="str">
            <v>4,48</v>
          </cell>
          <cell r="AG95">
            <v>15</v>
          </cell>
          <cell r="AH95">
            <v>10</v>
          </cell>
          <cell r="AI95">
            <v>1790.01</v>
          </cell>
          <cell r="AJ95">
            <v>0.58895504315527891</v>
          </cell>
          <cell r="AK95">
            <v>1</v>
          </cell>
          <cell r="AL95" t="str">
            <v>-</v>
          </cell>
          <cell r="AM95" t="str">
            <v>-</v>
          </cell>
          <cell r="AN95" t="str">
            <v/>
          </cell>
          <cell r="AO95">
            <v>0</v>
          </cell>
          <cell r="AP95" t="str">
            <v>-</v>
          </cell>
          <cell r="AQ95">
            <v>0</v>
          </cell>
          <cell r="AR95" t="str">
            <v>-</v>
          </cell>
          <cell r="AS95">
            <v>0</v>
          </cell>
          <cell r="AT95" t="str">
            <v/>
          </cell>
          <cell r="AU95">
            <v>0</v>
          </cell>
          <cell r="AV95" t="str">
            <v>-</v>
          </cell>
          <cell r="AW95">
            <v>0</v>
          </cell>
          <cell r="AX95" t="str">
            <v>-</v>
          </cell>
          <cell r="AY95">
            <v>0</v>
          </cell>
          <cell r="AZ95" t="str">
            <v/>
          </cell>
          <cell r="BA95">
            <v>0</v>
          </cell>
          <cell r="BB95" t="str">
            <v>-</v>
          </cell>
          <cell r="BC95">
            <v>0</v>
          </cell>
          <cell r="BD95" t="str">
            <v>-</v>
          </cell>
          <cell r="BE95">
            <v>0</v>
          </cell>
          <cell r="BF95" t="str">
            <v/>
          </cell>
          <cell r="BG95">
            <v>0</v>
          </cell>
          <cell r="BH95" t="str">
            <v>-</v>
          </cell>
          <cell r="BI95">
            <v>0</v>
          </cell>
          <cell r="BJ95" t="str">
            <v>-</v>
          </cell>
          <cell r="BK95">
            <v>0</v>
          </cell>
          <cell r="BL95">
            <v>0</v>
          </cell>
          <cell r="BM95" t="str">
            <v>-</v>
          </cell>
          <cell r="BN95">
            <v>15</v>
          </cell>
          <cell r="BO95" t="str">
            <v/>
          </cell>
          <cell r="BP95">
            <v>0</v>
          </cell>
          <cell r="BQ95">
            <v>0</v>
          </cell>
          <cell r="BR95" t="str">
            <v>-</v>
          </cell>
          <cell r="BS95">
            <v>0</v>
          </cell>
          <cell r="BT95">
            <v>0</v>
          </cell>
          <cell r="BU95" t="str">
            <v>-</v>
          </cell>
        </row>
        <row r="96">
          <cell r="A96" t="str">
            <v>10917MD</v>
          </cell>
          <cell r="B96">
            <v>10917</v>
          </cell>
          <cell r="C96" t="str">
            <v>MD</v>
          </cell>
          <cell r="D96" t="str">
            <v>Space Heating</v>
          </cell>
          <cell r="E96" t="str">
            <v>Electronic Ignition Hearth</v>
          </cell>
          <cell r="F96" t="str">
            <v>R</v>
          </cell>
          <cell r="G96" t="str">
            <v>N</v>
          </cell>
          <cell r="M96" t="str">
            <v>REPL</v>
          </cell>
          <cell r="N96" t="str">
            <v>Existing hearth/artificial fireplace using a standing pilot</v>
          </cell>
          <cell r="O96">
            <v>2021</v>
          </cell>
          <cell r="P96">
            <v>2030</v>
          </cell>
          <cell r="Q96" t="str">
            <v>Single Family</v>
          </cell>
          <cell r="R96" t="str">
            <v>Unit</v>
          </cell>
          <cell r="S96">
            <v>0</v>
          </cell>
          <cell r="T96">
            <v>4.38</v>
          </cell>
          <cell r="U96">
            <v>0</v>
          </cell>
          <cell r="V96">
            <v>4.38</v>
          </cell>
          <cell r="W96">
            <v>1</v>
          </cell>
          <cell r="X96" t="str">
            <v>-</v>
          </cell>
          <cell r="Y96">
            <v>8</v>
          </cell>
          <cell r="Z96">
            <v>8</v>
          </cell>
          <cell r="AA96">
            <v>193</v>
          </cell>
          <cell r="AB96">
            <v>0</v>
          </cell>
          <cell r="AC96">
            <v>193</v>
          </cell>
          <cell r="AD96">
            <v>44.06392694063927</v>
          </cell>
          <cell r="AE96">
            <v>8</v>
          </cell>
          <cell r="AF96">
            <v>8</v>
          </cell>
          <cell r="AG96">
            <v>0</v>
          </cell>
          <cell r="AH96">
            <v>0</v>
          </cell>
          <cell r="AI96">
            <v>0</v>
          </cell>
          <cell r="AJ96">
            <v>0</v>
          </cell>
          <cell r="AK96">
            <v>0</v>
          </cell>
          <cell r="AL96" t="str">
            <v>-</v>
          </cell>
          <cell r="AM96" t="str">
            <v>-</v>
          </cell>
          <cell r="AN96" t="str">
            <v/>
          </cell>
          <cell r="AO96">
            <v>0</v>
          </cell>
          <cell r="AP96" t="str">
            <v>-</v>
          </cell>
          <cell r="AQ96">
            <v>0</v>
          </cell>
          <cell r="AR96" t="str">
            <v>-</v>
          </cell>
          <cell r="AS96">
            <v>0</v>
          </cell>
          <cell r="AT96" t="str">
            <v/>
          </cell>
          <cell r="AU96">
            <v>0</v>
          </cell>
          <cell r="AV96" t="str">
            <v>-</v>
          </cell>
          <cell r="AW96">
            <v>0</v>
          </cell>
          <cell r="AX96" t="str">
            <v>-</v>
          </cell>
          <cell r="AY96">
            <v>0</v>
          </cell>
          <cell r="AZ96" t="str">
            <v/>
          </cell>
          <cell r="BA96">
            <v>0</v>
          </cell>
          <cell r="BB96" t="str">
            <v>-</v>
          </cell>
          <cell r="BC96">
            <v>0</v>
          </cell>
          <cell r="BD96" t="str">
            <v>-</v>
          </cell>
          <cell r="BE96">
            <v>0</v>
          </cell>
          <cell r="BF96" t="str">
            <v/>
          </cell>
          <cell r="BG96">
            <v>0</v>
          </cell>
          <cell r="BH96" t="str">
            <v>-</v>
          </cell>
          <cell r="BI96">
            <v>0</v>
          </cell>
          <cell r="BJ96" t="str">
            <v>-</v>
          </cell>
          <cell r="BK96">
            <v>0</v>
          </cell>
          <cell r="BL96">
            <v>0</v>
          </cell>
          <cell r="BM96" t="str">
            <v>-</v>
          </cell>
          <cell r="BN96">
            <v>15</v>
          </cell>
          <cell r="BO96" t="str">
            <v/>
          </cell>
          <cell r="BP96">
            <v>0</v>
          </cell>
          <cell r="BQ96">
            <v>0</v>
          </cell>
          <cell r="BR96" t="str">
            <v>-</v>
          </cell>
          <cell r="BS96">
            <v>0</v>
          </cell>
          <cell r="BT96">
            <v>0</v>
          </cell>
          <cell r="BU96" t="str">
            <v>-</v>
          </cell>
        </row>
        <row r="97">
          <cell r="A97" t="str">
            <v>10918MD</v>
          </cell>
          <cell r="B97">
            <v>10918</v>
          </cell>
          <cell r="C97" t="str">
            <v>MD</v>
          </cell>
          <cell r="D97" t="str">
            <v>Space Heating</v>
          </cell>
          <cell r="E97" t="str">
            <v>Smart Thermostat</v>
          </cell>
          <cell r="F97" t="str">
            <v>R</v>
          </cell>
          <cell r="G97" t="str">
            <v>Y</v>
          </cell>
          <cell r="M97" t="str">
            <v>NC</v>
          </cell>
          <cell r="N97" t="str">
            <v>Manual or conventional programmable thermostat</v>
          </cell>
          <cell r="O97">
            <v>2021</v>
          </cell>
          <cell r="P97">
            <v>2030</v>
          </cell>
          <cell r="Q97" t="str">
            <v>Single Family</v>
          </cell>
          <cell r="R97" t="str">
            <v>home</v>
          </cell>
          <cell r="S97">
            <v>0</v>
          </cell>
          <cell r="T97">
            <v>0</v>
          </cell>
          <cell r="U97">
            <v>0</v>
          </cell>
          <cell r="V97">
            <v>529.86651918019129</v>
          </cell>
          <cell r="W97">
            <v>6.4000000000000001E-2</v>
          </cell>
          <cell r="X97" t="str">
            <v>-</v>
          </cell>
          <cell r="Y97">
            <v>2</v>
          </cell>
          <cell r="Z97">
            <v>2</v>
          </cell>
          <cell r="AA97">
            <v>0</v>
          </cell>
          <cell r="AB97">
            <v>0</v>
          </cell>
          <cell r="AC97">
            <v>154</v>
          </cell>
          <cell r="AD97">
            <v>0.29063923540266062</v>
          </cell>
          <cell r="AE97">
            <v>9</v>
          </cell>
          <cell r="AF97">
            <v>9</v>
          </cell>
          <cell r="AG97">
            <v>0</v>
          </cell>
          <cell r="AH97">
            <v>0</v>
          </cell>
          <cell r="AI97">
            <v>0</v>
          </cell>
          <cell r="AJ97">
            <v>0</v>
          </cell>
          <cell r="AK97">
            <v>0</v>
          </cell>
          <cell r="AL97" t="str">
            <v>-</v>
          </cell>
          <cell r="AM97" t="str">
            <v>-</v>
          </cell>
          <cell r="AN97" t="str">
            <v/>
          </cell>
          <cell r="AO97">
            <v>0</v>
          </cell>
          <cell r="AP97" t="str">
            <v>-</v>
          </cell>
          <cell r="AQ97">
            <v>0</v>
          </cell>
          <cell r="AR97" t="str">
            <v>-</v>
          </cell>
          <cell r="AS97">
            <v>0</v>
          </cell>
          <cell r="AT97" t="str">
            <v/>
          </cell>
          <cell r="AU97">
            <v>0</v>
          </cell>
          <cell r="AV97" t="str">
            <v>-</v>
          </cell>
          <cell r="AW97">
            <v>0</v>
          </cell>
          <cell r="AX97" t="str">
            <v>-</v>
          </cell>
          <cell r="AY97">
            <v>0</v>
          </cell>
          <cell r="AZ97" t="str">
            <v/>
          </cell>
          <cell r="BA97">
            <v>0</v>
          </cell>
          <cell r="BB97" t="str">
            <v>-</v>
          </cell>
          <cell r="BC97">
            <v>0</v>
          </cell>
          <cell r="BD97" t="str">
            <v>-</v>
          </cell>
          <cell r="BE97">
            <v>0</v>
          </cell>
          <cell r="BF97" t="str">
            <v/>
          </cell>
          <cell r="BG97">
            <v>0</v>
          </cell>
          <cell r="BH97" t="str">
            <v>-</v>
          </cell>
          <cell r="BI97">
            <v>0</v>
          </cell>
          <cell r="BJ97" t="str">
            <v>-</v>
          </cell>
          <cell r="BK97">
            <v>0</v>
          </cell>
          <cell r="BL97">
            <v>0</v>
          </cell>
          <cell r="BM97" t="str">
            <v>-</v>
          </cell>
          <cell r="BN97">
            <v>11</v>
          </cell>
          <cell r="BO97" t="str">
            <v/>
          </cell>
          <cell r="BP97">
            <v>0</v>
          </cell>
          <cell r="BQ97">
            <v>0</v>
          </cell>
          <cell r="BR97" t="str">
            <v>-</v>
          </cell>
          <cell r="BS97">
            <v>0</v>
          </cell>
          <cell r="BT97">
            <v>0</v>
          </cell>
          <cell r="BU97" t="str">
            <v>-</v>
          </cell>
        </row>
        <row r="98">
          <cell r="A98" t="str">
            <v>10918RET</v>
          </cell>
          <cell r="B98">
            <v>10918</v>
          </cell>
          <cell r="C98" t="str">
            <v>RET</v>
          </cell>
          <cell r="D98" t="str">
            <v>Space Heating</v>
          </cell>
          <cell r="E98" t="str">
            <v>Smart Thermostat</v>
          </cell>
          <cell r="F98" t="str">
            <v>R</v>
          </cell>
          <cell r="G98" t="str">
            <v>Y</v>
          </cell>
          <cell r="M98" t="str">
            <v>RET</v>
          </cell>
          <cell r="N98" t="str">
            <v>Manual or conventional programmable thermostat</v>
          </cell>
          <cell r="O98">
            <v>2021</v>
          </cell>
          <cell r="P98">
            <v>2030</v>
          </cell>
          <cell r="Q98" t="str">
            <v>Single Family</v>
          </cell>
          <cell r="R98" t="str">
            <v>home</v>
          </cell>
          <cell r="S98">
            <v>0</v>
          </cell>
          <cell r="T98">
            <v>0</v>
          </cell>
          <cell r="U98">
            <v>0</v>
          </cell>
          <cell r="V98">
            <v>654.05398461304867</v>
          </cell>
          <cell r="W98">
            <v>7.9000000000000001E-2</v>
          </cell>
          <cell r="X98" t="str">
            <v>-</v>
          </cell>
          <cell r="Y98">
            <v>2</v>
          </cell>
          <cell r="Z98">
            <v>2</v>
          </cell>
          <cell r="AA98">
            <v>0</v>
          </cell>
          <cell r="AB98">
            <v>0</v>
          </cell>
          <cell r="AC98">
            <v>258</v>
          </cell>
          <cell r="AD98">
            <v>0.39446285179752849</v>
          </cell>
          <cell r="AE98">
            <v>9</v>
          </cell>
          <cell r="AF98">
            <v>9</v>
          </cell>
          <cell r="AG98">
            <v>0</v>
          </cell>
          <cell r="AH98">
            <v>0</v>
          </cell>
          <cell r="AI98">
            <v>0</v>
          </cell>
          <cell r="AJ98">
            <v>0</v>
          </cell>
          <cell r="AK98">
            <v>0</v>
          </cell>
          <cell r="AL98" t="str">
            <v>-</v>
          </cell>
          <cell r="AM98" t="str">
            <v>-</v>
          </cell>
          <cell r="AN98" t="str">
            <v/>
          </cell>
          <cell r="AO98">
            <v>0</v>
          </cell>
          <cell r="AP98" t="str">
            <v>-</v>
          </cell>
          <cell r="AQ98">
            <v>0</v>
          </cell>
          <cell r="AR98" t="str">
            <v>-</v>
          </cell>
          <cell r="AS98">
            <v>0</v>
          </cell>
          <cell r="AT98" t="str">
            <v/>
          </cell>
          <cell r="AU98">
            <v>0</v>
          </cell>
          <cell r="AV98" t="str">
            <v>-</v>
          </cell>
          <cell r="AW98">
            <v>0</v>
          </cell>
          <cell r="AX98" t="str">
            <v>-</v>
          </cell>
          <cell r="AY98">
            <v>0</v>
          </cell>
          <cell r="AZ98" t="str">
            <v/>
          </cell>
          <cell r="BA98">
            <v>0</v>
          </cell>
          <cell r="BB98" t="str">
            <v>-</v>
          </cell>
          <cell r="BC98">
            <v>0</v>
          </cell>
          <cell r="BD98" t="str">
            <v>-</v>
          </cell>
          <cell r="BE98">
            <v>0</v>
          </cell>
          <cell r="BF98" t="str">
            <v/>
          </cell>
          <cell r="BG98">
            <v>0</v>
          </cell>
          <cell r="BH98" t="str">
            <v>-</v>
          </cell>
          <cell r="BI98">
            <v>0</v>
          </cell>
          <cell r="BJ98" t="str">
            <v>-</v>
          </cell>
          <cell r="BK98">
            <v>0</v>
          </cell>
          <cell r="BL98">
            <v>0</v>
          </cell>
          <cell r="BM98" t="str">
            <v>-</v>
          </cell>
          <cell r="BN98">
            <v>11</v>
          </cell>
          <cell r="BO98" t="str">
            <v/>
          </cell>
          <cell r="BP98">
            <v>0</v>
          </cell>
          <cell r="BQ98">
            <v>0</v>
          </cell>
          <cell r="BR98" t="str">
            <v>-</v>
          </cell>
          <cell r="BS98">
            <v>0</v>
          </cell>
          <cell r="BT98">
            <v>0</v>
          </cell>
          <cell r="BU98" t="str">
            <v>-</v>
          </cell>
        </row>
        <row r="99">
          <cell r="A99" t="str">
            <v>10919RET</v>
          </cell>
          <cell r="B99">
            <v>10919</v>
          </cell>
          <cell r="C99" t="str">
            <v>RET</v>
          </cell>
          <cell r="D99" t="str">
            <v>Space Heating</v>
          </cell>
          <cell r="E99" t="str">
            <v>Duct Sealing</v>
          </cell>
          <cell r="F99" t="str">
            <v>R</v>
          </cell>
          <cell r="G99" t="str">
            <v>Y</v>
          </cell>
          <cell r="M99" t="str">
            <v>RET</v>
          </cell>
          <cell r="N99" t="str">
            <v>Ducted heating and cooling systems with high exfiltration and infiltration</v>
          </cell>
          <cell r="O99">
            <v>2021</v>
          </cell>
          <cell r="P99">
            <v>2030</v>
          </cell>
          <cell r="Q99" t="str">
            <v>Single Family</v>
          </cell>
          <cell r="R99" t="str">
            <v>home</v>
          </cell>
          <cell r="S99">
            <v>0</v>
          </cell>
          <cell r="T99">
            <v>0</v>
          </cell>
          <cell r="U99">
            <v>0</v>
          </cell>
          <cell r="V99">
            <v>518.04816304606209</v>
          </cell>
          <cell r="W99">
            <v>0.02</v>
          </cell>
          <cell r="X99" t="str">
            <v>-</v>
          </cell>
          <cell r="Y99" t="str">
            <v>7,1,5</v>
          </cell>
          <cell r="Z99" t="str">
            <v>7,1,5</v>
          </cell>
          <cell r="AA99">
            <v>0</v>
          </cell>
          <cell r="AB99">
            <v>0</v>
          </cell>
          <cell r="AC99">
            <v>407.67</v>
          </cell>
          <cell r="AD99">
            <v>0.78693455373521359</v>
          </cell>
          <cell r="AE99">
            <v>55</v>
          </cell>
          <cell r="AF99">
            <v>55</v>
          </cell>
          <cell r="AG99">
            <v>0</v>
          </cell>
          <cell r="AH99">
            <v>0</v>
          </cell>
          <cell r="AI99">
            <v>0</v>
          </cell>
          <cell r="AJ99">
            <v>0</v>
          </cell>
          <cell r="AK99">
            <v>0</v>
          </cell>
          <cell r="AL99" t="str">
            <v>-</v>
          </cell>
          <cell r="AM99" t="str">
            <v>-</v>
          </cell>
          <cell r="AN99" t="str">
            <v/>
          </cell>
          <cell r="AO99">
            <v>0</v>
          </cell>
          <cell r="AP99" t="str">
            <v>-</v>
          </cell>
          <cell r="AQ99">
            <v>0</v>
          </cell>
          <cell r="AR99" t="str">
            <v>-</v>
          </cell>
          <cell r="AS99">
            <v>0</v>
          </cell>
          <cell r="AT99" t="str">
            <v/>
          </cell>
          <cell r="AU99">
            <v>0</v>
          </cell>
          <cell r="AV99" t="str">
            <v>-</v>
          </cell>
          <cell r="AW99">
            <v>0</v>
          </cell>
          <cell r="AX99" t="str">
            <v>-</v>
          </cell>
          <cell r="AY99">
            <v>0</v>
          </cell>
          <cell r="AZ99" t="str">
            <v/>
          </cell>
          <cell r="BA99">
            <v>0</v>
          </cell>
          <cell r="BB99" t="str">
            <v>-</v>
          </cell>
          <cell r="BC99">
            <v>0</v>
          </cell>
          <cell r="BD99" t="str">
            <v>-</v>
          </cell>
          <cell r="BE99">
            <v>0</v>
          </cell>
          <cell r="BF99" t="str">
            <v/>
          </cell>
          <cell r="BG99">
            <v>0</v>
          </cell>
          <cell r="BH99" t="str">
            <v>-</v>
          </cell>
          <cell r="BI99">
            <v>0</v>
          </cell>
          <cell r="BJ99" t="str">
            <v>-</v>
          </cell>
          <cell r="BK99">
            <v>0</v>
          </cell>
          <cell r="BL99">
            <v>0</v>
          </cell>
          <cell r="BM99" t="str">
            <v>-</v>
          </cell>
          <cell r="BN99">
            <v>15</v>
          </cell>
          <cell r="BO99" t="str">
            <v/>
          </cell>
          <cell r="BP99">
            <v>0</v>
          </cell>
          <cell r="BQ99">
            <v>0</v>
          </cell>
          <cell r="BR99" t="str">
            <v>-</v>
          </cell>
          <cell r="BS99">
            <v>0</v>
          </cell>
          <cell r="BT99">
            <v>0</v>
          </cell>
          <cell r="BU99" t="str">
            <v>-</v>
          </cell>
        </row>
        <row r="100">
          <cell r="A100" t="str">
            <v>10920RET</v>
          </cell>
          <cell r="B100">
            <v>10920</v>
          </cell>
          <cell r="C100" t="str">
            <v>RET</v>
          </cell>
          <cell r="D100" t="str">
            <v>Space Heating</v>
          </cell>
          <cell r="E100" t="str">
            <v>Air Sealing</v>
          </cell>
          <cell r="F100" t="str">
            <v>R</v>
          </cell>
          <cell r="G100" t="str">
            <v>Y</v>
          </cell>
          <cell r="M100" t="str">
            <v>RET</v>
          </cell>
          <cell r="N100" t="str">
            <v>Existing building envelope without additional air sealing</v>
          </cell>
          <cell r="O100">
            <v>2021</v>
          </cell>
          <cell r="P100">
            <v>2030</v>
          </cell>
          <cell r="Q100" t="str">
            <v>Single Family</v>
          </cell>
          <cell r="R100" t="str">
            <v>CFM Reduction</v>
          </cell>
          <cell r="S100">
            <v>0</v>
          </cell>
          <cell r="T100">
            <v>0</v>
          </cell>
          <cell r="U100">
            <v>0</v>
          </cell>
          <cell r="V100">
            <v>1.666854028094491</v>
          </cell>
          <cell r="W100">
            <v>0.15</v>
          </cell>
          <cell r="X100" t="str">
            <v>-</v>
          </cell>
          <cell r="Y100" t="str">
            <v>1,8</v>
          </cell>
          <cell r="Z100" t="str">
            <v>1,8</v>
          </cell>
          <cell r="AA100">
            <v>0</v>
          </cell>
          <cell r="AB100">
            <v>0</v>
          </cell>
          <cell r="AC100">
            <v>0.44</v>
          </cell>
          <cell r="AD100">
            <v>0.26397032528577075</v>
          </cell>
          <cell r="AE100">
            <v>4</v>
          </cell>
          <cell r="AF100">
            <v>4</v>
          </cell>
          <cell r="AG100">
            <v>0</v>
          </cell>
          <cell r="AH100">
            <v>0</v>
          </cell>
          <cell r="AI100">
            <v>0</v>
          </cell>
          <cell r="AJ100">
            <v>0</v>
          </cell>
          <cell r="AK100">
            <v>0</v>
          </cell>
          <cell r="AL100" t="str">
            <v>-</v>
          </cell>
          <cell r="AM100" t="str">
            <v>-</v>
          </cell>
          <cell r="AN100" t="str">
            <v/>
          </cell>
          <cell r="AO100">
            <v>0</v>
          </cell>
          <cell r="AP100" t="str">
            <v>-</v>
          </cell>
          <cell r="AQ100">
            <v>0</v>
          </cell>
          <cell r="AR100" t="str">
            <v>-</v>
          </cell>
          <cell r="AS100">
            <v>0</v>
          </cell>
          <cell r="AT100" t="str">
            <v/>
          </cell>
          <cell r="AU100">
            <v>0</v>
          </cell>
          <cell r="AV100" t="str">
            <v>-</v>
          </cell>
          <cell r="AW100">
            <v>0</v>
          </cell>
          <cell r="AX100" t="str">
            <v>-</v>
          </cell>
          <cell r="AY100">
            <v>0</v>
          </cell>
          <cell r="AZ100" t="str">
            <v/>
          </cell>
          <cell r="BA100">
            <v>0</v>
          </cell>
          <cell r="BB100" t="str">
            <v>-</v>
          </cell>
          <cell r="BC100">
            <v>0</v>
          </cell>
          <cell r="BD100" t="str">
            <v>-</v>
          </cell>
          <cell r="BE100">
            <v>0</v>
          </cell>
          <cell r="BF100" t="str">
            <v/>
          </cell>
          <cell r="BG100">
            <v>0</v>
          </cell>
          <cell r="BH100" t="str">
            <v>-</v>
          </cell>
          <cell r="BI100">
            <v>0</v>
          </cell>
          <cell r="BJ100" t="str">
            <v>-</v>
          </cell>
          <cell r="BK100">
            <v>0</v>
          </cell>
          <cell r="BL100">
            <v>0</v>
          </cell>
          <cell r="BM100" t="str">
            <v>-</v>
          </cell>
          <cell r="BN100">
            <v>15</v>
          </cell>
          <cell r="BO100" t="str">
            <v/>
          </cell>
          <cell r="BP100">
            <v>0</v>
          </cell>
          <cell r="BQ100">
            <v>0</v>
          </cell>
          <cell r="BR100" t="str">
            <v>-</v>
          </cell>
          <cell r="BS100">
            <v>0</v>
          </cell>
          <cell r="BT100">
            <v>0</v>
          </cell>
          <cell r="BU100" t="str">
            <v>-</v>
          </cell>
        </row>
        <row r="101">
          <cell r="A101" t="str">
            <v>10921RET</v>
          </cell>
          <cell r="B101">
            <v>10921</v>
          </cell>
          <cell r="C101" t="str">
            <v>RET</v>
          </cell>
          <cell r="D101" t="str">
            <v>Space Heating</v>
          </cell>
          <cell r="E101" t="str">
            <v>Wall Insulation</v>
          </cell>
          <cell r="F101" t="str">
            <v>R</v>
          </cell>
          <cell r="G101" t="str">
            <v>Y</v>
          </cell>
          <cell r="M101" t="str">
            <v>RET</v>
          </cell>
          <cell r="N101" t="str">
            <v>Wall Insulation with R-value of 8.6</v>
          </cell>
          <cell r="O101">
            <v>2021</v>
          </cell>
          <cell r="P101">
            <v>2030</v>
          </cell>
          <cell r="Q101" t="str">
            <v>Single Family</v>
          </cell>
          <cell r="R101" t="str">
            <v>SqFt of Insulation</v>
          </cell>
          <cell r="S101">
            <v>0</v>
          </cell>
          <cell r="T101">
            <v>0</v>
          </cell>
          <cell r="U101">
            <v>0</v>
          </cell>
          <cell r="V101">
            <v>0.54897674669734664</v>
          </cell>
          <cell r="W101">
            <v>0.41095890410958913</v>
          </cell>
          <cell r="X101" t="str">
            <v>-</v>
          </cell>
          <cell r="Y101" t="str">
            <v>1,2,5</v>
          </cell>
          <cell r="Z101" t="str">
            <v>1,2,5</v>
          </cell>
          <cell r="AA101">
            <v>0</v>
          </cell>
          <cell r="AB101">
            <v>0</v>
          </cell>
          <cell r="AC101">
            <v>0</v>
          </cell>
          <cell r="AD101">
            <v>3.4294291392029419</v>
          </cell>
          <cell r="AE101">
            <v>55</v>
          </cell>
          <cell r="AF101">
            <v>55</v>
          </cell>
          <cell r="AG101">
            <v>0</v>
          </cell>
          <cell r="AH101">
            <v>0</v>
          </cell>
          <cell r="AI101">
            <v>0</v>
          </cell>
          <cell r="AJ101">
            <v>0</v>
          </cell>
          <cell r="AK101">
            <v>0</v>
          </cell>
          <cell r="AL101" t="str">
            <v>-</v>
          </cell>
          <cell r="AM101" t="str">
            <v>-</v>
          </cell>
          <cell r="AN101" t="str">
            <v/>
          </cell>
          <cell r="AO101">
            <v>0</v>
          </cell>
          <cell r="AP101" t="str">
            <v>-</v>
          </cell>
          <cell r="AQ101">
            <v>0</v>
          </cell>
          <cell r="AR101" t="str">
            <v>-</v>
          </cell>
          <cell r="AS101">
            <v>0</v>
          </cell>
          <cell r="AT101" t="str">
            <v/>
          </cell>
          <cell r="AU101">
            <v>0</v>
          </cell>
          <cell r="AV101" t="str">
            <v>-</v>
          </cell>
          <cell r="AW101">
            <v>0</v>
          </cell>
          <cell r="AX101" t="str">
            <v>-</v>
          </cell>
          <cell r="AY101">
            <v>0</v>
          </cell>
          <cell r="AZ101" t="str">
            <v/>
          </cell>
          <cell r="BA101">
            <v>0</v>
          </cell>
          <cell r="BB101" t="str">
            <v>-</v>
          </cell>
          <cell r="BC101">
            <v>0</v>
          </cell>
          <cell r="BD101" t="str">
            <v>-</v>
          </cell>
          <cell r="BE101">
            <v>0</v>
          </cell>
          <cell r="BF101" t="str">
            <v/>
          </cell>
          <cell r="BG101">
            <v>0</v>
          </cell>
          <cell r="BH101" t="str">
            <v>-</v>
          </cell>
          <cell r="BI101">
            <v>0</v>
          </cell>
          <cell r="BJ101" t="str">
            <v>-</v>
          </cell>
          <cell r="BK101">
            <v>0</v>
          </cell>
          <cell r="BL101">
            <v>0</v>
          </cell>
          <cell r="BM101" t="str">
            <v>-</v>
          </cell>
          <cell r="BN101">
            <v>15</v>
          </cell>
          <cell r="BO101" t="str">
            <v/>
          </cell>
          <cell r="BP101">
            <v>0</v>
          </cell>
          <cell r="BQ101">
            <v>0</v>
          </cell>
          <cell r="BR101" t="str">
            <v>-</v>
          </cell>
          <cell r="BS101">
            <v>0</v>
          </cell>
          <cell r="BT101">
            <v>0</v>
          </cell>
          <cell r="BU101" t="str">
            <v>-</v>
          </cell>
        </row>
        <row r="102">
          <cell r="A102" t="str">
            <v>10922RET</v>
          </cell>
          <cell r="B102">
            <v>10922</v>
          </cell>
          <cell r="C102" t="str">
            <v>RET</v>
          </cell>
          <cell r="D102" t="str">
            <v>Space Heating</v>
          </cell>
          <cell r="E102" t="str">
            <v>Attic Insulation</v>
          </cell>
          <cell r="F102" t="str">
            <v>R</v>
          </cell>
          <cell r="G102" t="str">
            <v>Y</v>
          </cell>
          <cell r="M102" t="str">
            <v>RET</v>
          </cell>
          <cell r="N102" t="str">
            <v>Attic Insulation with R-value of 18.6</v>
          </cell>
          <cell r="O102">
            <v>2021</v>
          </cell>
          <cell r="P102">
            <v>2030</v>
          </cell>
          <cell r="Q102" t="str">
            <v>Single Family</v>
          </cell>
          <cell r="R102" t="str">
            <v>SqFt of Insulation</v>
          </cell>
          <cell r="S102">
            <v>0</v>
          </cell>
          <cell r="T102">
            <v>0</v>
          </cell>
          <cell r="U102">
            <v>0</v>
          </cell>
          <cell r="V102">
            <v>0.38319388076689576</v>
          </cell>
          <cell r="W102">
            <v>0.62040816326530623</v>
          </cell>
          <cell r="X102" t="str">
            <v>-</v>
          </cell>
          <cell r="Y102" t="str">
            <v>1,2,5</v>
          </cell>
          <cell r="Z102" t="str">
            <v>1,2,5</v>
          </cell>
          <cell r="AA102">
            <v>0</v>
          </cell>
          <cell r="AB102">
            <v>0</v>
          </cell>
          <cell r="AC102">
            <v>0</v>
          </cell>
          <cell r="AD102">
            <v>3.3069065196654215</v>
          </cell>
          <cell r="AE102">
            <v>55</v>
          </cell>
          <cell r="AF102">
            <v>55</v>
          </cell>
          <cell r="AG102">
            <v>0</v>
          </cell>
          <cell r="AH102">
            <v>0</v>
          </cell>
          <cell r="AI102">
            <v>0</v>
          </cell>
          <cell r="AJ102">
            <v>0</v>
          </cell>
          <cell r="AK102">
            <v>0</v>
          </cell>
          <cell r="AL102" t="str">
            <v>-</v>
          </cell>
          <cell r="AM102" t="str">
            <v>-</v>
          </cell>
          <cell r="AN102" t="str">
            <v/>
          </cell>
          <cell r="AO102">
            <v>0</v>
          </cell>
          <cell r="AP102" t="str">
            <v>-</v>
          </cell>
          <cell r="AQ102">
            <v>0</v>
          </cell>
          <cell r="AR102" t="str">
            <v>-</v>
          </cell>
          <cell r="AS102">
            <v>0</v>
          </cell>
          <cell r="AT102" t="str">
            <v/>
          </cell>
          <cell r="AU102">
            <v>0</v>
          </cell>
          <cell r="AV102" t="str">
            <v>-</v>
          </cell>
          <cell r="AW102">
            <v>0</v>
          </cell>
          <cell r="AX102" t="str">
            <v>-</v>
          </cell>
          <cell r="AY102">
            <v>0</v>
          </cell>
          <cell r="AZ102" t="str">
            <v/>
          </cell>
          <cell r="BA102">
            <v>0</v>
          </cell>
          <cell r="BB102" t="str">
            <v>-</v>
          </cell>
          <cell r="BC102">
            <v>0</v>
          </cell>
          <cell r="BD102" t="str">
            <v>-</v>
          </cell>
          <cell r="BE102">
            <v>0</v>
          </cell>
          <cell r="BF102" t="str">
            <v/>
          </cell>
          <cell r="BG102">
            <v>0</v>
          </cell>
          <cell r="BH102" t="str">
            <v>-</v>
          </cell>
          <cell r="BI102">
            <v>0</v>
          </cell>
          <cell r="BJ102" t="str">
            <v>-</v>
          </cell>
          <cell r="BK102">
            <v>0</v>
          </cell>
          <cell r="BL102">
            <v>0</v>
          </cell>
          <cell r="BM102" t="str">
            <v>-</v>
          </cell>
          <cell r="BN102">
            <v>15</v>
          </cell>
          <cell r="BO102" t="str">
            <v/>
          </cell>
          <cell r="BP102">
            <v>0</v>
          </cell>
          <cell r="BQ102">
            <v>0</v>
          </cell>
          <cell r="BR102" t="str">
            <v>-</v>
          </cell>
          <cell r="BS102">
            <v>0</v>
          </cell>
          <cell r="BT102">
            <v>0</v>
          </cell>
          <cell r="BU102" t="str">
            <v>-</v>
          </cell>
        </row>
        <row r="103">
          <cell r="A103" t="str">
            <v>10923RET</v>
          </cell>
          <cell r="B103">
            <v>10923</v>
          </cell>
          <cell r="C103" t="str">
            <v>RET</v>
          </cell>
          <cell r="D103" t="str">
            <v>Space Heating</v>
          </cell>
          <cell r="E103" t="str">
            <v>ENERGY STAR Windows</v>
          </cell>
          <cell r="F103" t="str">
            <v>R</v>
          </cell>
          <cell r="G103" t="str">
            <v>Y</v>
          </cell>
          <cell r="M103" t="str">
            <v>RET</v>
          </cell>
          <cell r="N103" t="str">
            <v>Existing non-Energy Star Windows</v>
          </cell>
          <cell r="O103">
            <v>2021</v>
          </cell>
          <cell r="P103">
            <v>2030</v>
          </cell>
          <cell r="Q103" t="str">
            <v>Single Family</v>
          </cell>
          <cell r="R103" t="str">
            <v>per 100 sq ft of window</v>
          </cell>
          <cell r="S103">
            <v>0</v>
          </cell>
          <cell r="T103">
            <v>0</v>
          </cell>
          <cell r="U103">
            <v>0</v>
          </cell>
          <cell r="V103">
            <v>335.93352077001015</v>
          </cell>
          <cell r="W103">
            <v>0.12</v>
          </cell>
          <cell r="X103" t="str">
            <v>-</v>
          </cell>
          <cell r="Y103" t="str">
            <v>1,2,56</v>
          </cell>
          <cell r="Z103" t="str">
            <v>1,2,56</v>
          </cell>
          <cell r="AA103">
            <v>0</v>
          </cell>
          <cell r="AB103">
            <v>0</v>
          </cell>
          <cell r="AC103">
            <v>1235.37700289345</v>
          </cell>
          <cell r="AD103">
            <v>3.6774448708237872</v>
          </cell>
          <cell r="AE103">
            <v>4</v>
          </cell>
          <cell r="AF103">
            <v>4</v>
          </cell>
          <cell r="AG103">
            <v>0</v>
          </cell>
          <cell r="AH103">
            <v>0</v>
          </cell>
          <cell r="AI103">
            <v>0</v>
          </cell>
          <cell r="AJ103">
            <v>0</v>
          </cell>
          <cell r="AK103">
            <v>0</v>
          </cell>
          <cell r="AL103" t="str">
            <v>-</v>
          </cell>
          <cell r="AM103" t="str">
            <v>-</v>
          </cell>
          <cell r="AN103" t="str">
            <v/>
          </cell>
          <cell r="AO103">
            <v>0</v>
          </cell>
          <cell r="AP103" t="str">
            <v>-</v>
          </cell>
          <cell r="AQ103">
            <v>0</v>
          </cell>
          <cell r="AR103" t="str">
            <v>-</v>
          </cell>
          <cell r="AS103">
            <v>0</v>
          </cell>
          <cell r="AT103" t="str">
            <v/>
          </cell>
          <cell r="AU103">
            <v>0</v>
          </cell>
          <cell r="AV103" t="str">
            <v>-</v>
          </cell>
          <cell r="AW103">
            <v>0</v>
          </cell>
          <cell r="AX103" t="str">
            <v>-</v>
          </cell>
          <cell r="AY103">
            <v>0</v>
          </cell>
          <cell r="AZ103" t="str">
            <v/>
          </cell>
          <cell r="BA103">
            <v>0</v>
          </cell>
          <cell r="BB103" t="str">
            <v>-</v>
          </cell>
          <cell r="BC103">
            <v>0</v>
          </cell>
          <cell r="BD103" t="str">
            <v>-</v>
          </cell>
          <cell r="BE103">
            <v>0</v>
          </cell>
          <cell r="BF103" t="str">
            <v/>
          </cell>
          <cell r="BG103">
            <v>0</v>
          </cell>
          <cell r="BH103" t="str">
            <v>-</v>
          </cell>
          <cell r="BI103">
            <v>0</v>
          </cell>
          <cell r="BJ103" t="str">
            <v>-</v>
          </cell>
          <cell r="BK103">
            <v>0</v>
          </cell>
          <cell r="BL103">
            <v>0</v>
          </cell>
          <cell r="BM103" t="str">
            <v>-</v>
          </cell>
          <cell r="BN103">
            <v>15</v>
          </cell>
          <cell r="BO103" t="str">
            <v/>
          </cell>
          <cell r="BP103">
            <v>0</v>
          </cell>
          <cell r="BQ103">
            <v>0</v>
          </cell>
          <cell r="BR103" t="str">
            <v>-</v>
          </cell>
          <cell r="BS103">
            <v>0</v>
          </cell>
          <cell r="BT103">
            <v>0</v>
          </cell>
          <cell r="BU103" t="str">
            <v>-</v>
          </cell>
        </row>
        <row r="104">
          <cell r="A104" t="str">
            <v>10924MD</v>
          </cell>
          <cell r="B104">
            <v>10924</v>
          </cell>
          <cell r="C104" t="str">
            <v>MD</v>
          </cell>
          <cell r="D104" t="str">
            <v>Space Heating</v>
          </cell>
          <cell r="E104" t="str">
            <v>Window Repair</v>
          </cell>
          <cell r="F104" t="str">
            <v>R</v>
          </cell>
          <cell r="G104" t="str">
            <v>Y</v>
          </cell>
          <cell r="M104" t="str">
            <v>NC, RENO, REPL</v>
          </cell>
          <cell r="N104" t="str">
            <v>Existing windows</v>
          </cell>
          <cell r="O104">
            <v>2021</v>
          </cell>
          <cell r="P104">
            <v>2030</v>
          </cell>
          <cell r="Q104" t="str">
            <v>Single Family</v>
          </cell>
          <cell r="R104" t="str">
            <v>per window</v>
          </cell>
          <cell r="S104">
            <v>0</v>
          </cell>
          <cell r="T104">
            <v>0</v>
          </cell>
          <cell r="U104">
            <v>0</v>
          </cell>
          <cell r="V104">
            <v>2493.1345299005357</v>
          </cell>
          <cell r="W104">
            <v>0.6</v>
          </cell>
          <cell r="X104" t="str">
            <v>-</v>
          </cell>
          <cell r="Y104" t="str">
            <v>1,2</v>
          </cell>
          <cell r="Z104" t="str">
            <v>1,2</v>
          </cell>
          <cell r="AA104">
            <v>0</v>
          </cell>
          <cell r="AB104">
            <v>0</v>
          </cell>
          <cell r="AC104">
            <v>379</v>
          </cell>
          <cell r="AD104">
            <v>0.15201746855398146</v>
          </cell>
          <cell r="AE104">
            <v>58</v>
          </cell>
          <cell r="AF104">
            <v>58</v>
          </cell>
          <cell r="AG104">
            <v>0</v>
          </cell>
          <cell r="AH104">
            <v>0</v>
          </cell>
          <cell r="AI104">
            <v>0</v>
          </cell>
          <cell r="AJ104">
            <v>0</v>
          </cell>
          <cell r="AK104">
            <v>0</v>
          </cell>
          <cell r="AL104" t="str">
            <v>-</v>
          </cell>
          <cell r="AM104" t="str">
            <v>-</v>
          </cell>
          <cell r="AN104" t="str">
            <v/>
          </cell>
          <cell r="AO104">
            <v>0</v>
          </cell>
          <cell r="AP104" t="str">
            <v>-</v>
          </cell>
          <cell r="AQ104">
            <v>0</v>
          </cell>
          <cell r="AR104" t="str">
            <v>-</v>
          </cell>
          <cell r="AS104">
            <v>0</v>
          </cell>
          <cell r="AT104" t="str">
            <v/>
          </cell>
          <cell r="AU104">
            <v>0</v>
          </cell>
          <cell r="AV104" t="str">
            <v>-</v>
          </cell>
          <cell r="AW104">
            <v>0</v>
          </cell>
          <cell r="AX104" t="str">
            <v>-</v>
          </cell>
          <cell r="AY104">
            <v>0</v>
          </cell>
          <cell r="AZ104" t="str">
            <v/>
          </cell>
          <cell r="BA104">
            <v>0</v>
          </cell>
          <cell r="BB104" t="str">
            <v>-</v>
          </cell>
          <cell r="BC104">
            <v>0</v>
          </cell>
          <cell r="BD104" t="str">
            <v>-</v>
          </cell>
          <cell r="BE104">
            <v>0</v>
          </cell>
          <cell r="BF104" t="str">
            <v/>
          </cell>
          <cell r="BG104">
            <v>0</v>
          </cell>
          <cell r="BH104" t="str">
            <v>-</v>
          </cell>
          <cell r="BI104">
            <v>0</v>
          </cell>
          <cell r="BJ104" t="str">
            <v>-</v>
          </cell>
          <cell r="BK104">
            <v>0</v>
          </cell>
          <cell r="BL104">
            <v>0</v>
          </cell>
          <cell r="BM104" t="str">
            <v>-</v>
          </cell>
          <cell r="BN104">
            <v>15</v>
          </cell>
          <cell r="BO104" t="str">
            <v/>
          </cell>
          <cell r="BP104">
            <v>0</v>
          </cell>
          <cell r="BQ104">
            <v>0</v>
          </cell>
          <cell r="BR104" t="str">
            <v>-</v>
          </cell>
          <cell r="BS104">
            <v>0</v>
          </cell>
          <cell r="BT104">
            <v>0</v>
          </cell>
          <cell r="BU104" t="str">
            <v>-</v>
          </cell>
        </row>
        <row r="105">
          <cell r="A105" t="str">
            <v>11101MD</v>
          </cell>
          <cell r="B105">
            <v>11101</v>
          </cell>
          <cell r="C105" t="str">
            <v>MD</v>
          </cell>
          <cell r="D105" t="str">
            <v>Water Heating</v>
          </cell>
          <cell r="E105" t="str">
            <v>Storage Gas Water Heater</v>
          </cell>
          <cell r="F105" t="str">
            <v>R</v>
          </cell>
          <cell r="G105" t="str">
            <v>N</v>
          </cell>
          <cell r="M105" t="str">
            <v>NC, RENO, REPL</v>
          </cell>
          <cell r="N105" t="str">
            <v>Failed storage gas water heater with federal minimum efficiency standard</v>
          </cell>
          <cell r="O105">
            <v>2021</v>
          </cell>
          <cell r="P105">
            <v>2030</v>
          </cell>
          <cell r="Q105" t="str">
            <v>Single Family</v>
          </cell>
          <cell r="R105" t="str">
            <v>per water heater</v>
          </cell>
          <cell r="S105">
            <v>20.141014925373135</v>
          </cell>
          <cell r="T105">
            <v>23.6</v>
          </cell>
          <cell r="U105">
            <v>0</v>
          </cell>
          <cell r="V105">
            <v>3.4589850746268667</v>
          </cell>
          <cell r="W105">
            <v>0.14656716417910451</v>
          </cell>
          <cell r="X105" t="str">
            <v>-</v>
          </cell>
          <cell r="Y105">
            <v>7</v>
          </cell>
          <cell r="Z105">
            <v>7</v>
          </cell>
          <cell r="AA105">
            <v>885</v>
          </cell>
          <cell r="AB105">
            <v>630</v>
          </cell>
          <cell r="AC105">
            <v>255</v>
          </cell>
          <cell r="AD105">
            <v>73.721046636059214</v>
          </cell>
          <cell r="AE105" t="str">
            <v/>
          </cell>
          <cell r="AF105" t="str">
            <v/>
          </cell>
          <cell r="AG105">
            <v>0</v>
          </cell>
          <cell r="AH105">
            <v>0</v>
          </cell>
          <cell r="AI105">
            <v>0</v>
          </cell>
          <cell r="AJ105">
            <v>0</v>
          </cell>
          <cell r="AK105">
            <v>0</v>
          </cell>
          <cell r="AL105" t="str">
            <v>-</v>
          </cell>
          <cell r="AM105" t="str">
            <v>-</v>
          </cell>
          <cell r="AN105" t="str">
            <v/>
          </cell>
          <cell r="AO105">
            <v>0</v>
          </cell>
          <cell r="AP105" t="str">
            <v>-</v>
          </cell>
          <cell r="AQ105">
            <v>0</v>
          </cell>
          <cell r="AR105" t="str">
            <v>-</v>
          </cell>
          <cell r="AS105">
            <v>0</v>
          </cell>
          <cell r="AT105" t="str">
            <v/>
          </cell>
          <cell r="AU105">
            <v>0</v>
          </cell>
          <cell r="AV105" t="str">
            <v>-</v>
          </cell>
          <cell r="AW105">
            <v>0</v>
          </cell>
          <cell r="AX105" t="str">
            <v>-</v>
          </cell>
          <cell r="AY105">
            <v>0</v>
          </cell>
          <cell r="AZ105" t="str">
            <v/>
          </cell>
          <cell r="BA105">
            <v>0</v>
          </cell>
          <cell r="BB105" t="str">
            <v>-</v>
          </cell>
          <cell r="BC105">
            <v>0</v>
          </cell>
          <cell r="BD105" t="str">
            <v>-</v>
          </cell>
          <cell r="BE105">
            <v>0</v>
          </cell>
          <cell r="BF105" t="str">
            <v/>
          </cell>
          <cell r="BG105">
            <v>0</v>
          </cell>
          <cell r="BH105" t="str">
            <v>-</v>
          </cell>
          <cell r="BI105">
            <v>0</v>
          </cell>
          <cell r="BJ105" t="str">
            <v>-</v>
          </cell>
          <cell r="BK105">
            <v>0</v>
          </cell>
          <cell r="BL105">
            <v>0</v>
          </cell>
          <cell r="BM105" t="str">
            <v>-</v>
          </cell>
          <cell r="BN105">
            <v>11</v>
          </cell>
          <cell r="BO105" t="str">
            <v/>
          </cell>
          <cell r="BP105">
            <v>0</v>
          </cell>
          <cell r="BQ105">
            <v>0</v>
          </cell>
          <cell r="BR105" t="str">
            <v>-</v>
          </cell>
          <cell r="BS105">
            <v>0</v>
          </cell>
          <cell r="BT105">
            <v>0</v>
          </cell>
          <cell r="BU105" t="str">
            <v>-</v>
          </cell>
        </row>
        <row r="106">
          <cell r="A106" t="str">
            <v>11101RET</v>
          </cell>
          <cell r="B106">
            <v>11101</v>
          </cell>
          <cell r="C106" t="str">
            <v>RET</v>
          </cell>
          <cell r="D106" t="str">
            <v>Water Heating</v>
          </cell>
          <cell r="E106" t="str">
            <v>Storage Gas Water Heater</v>
          </cell>
          <cell r="F106" t="str">
            <v>R</v>
          </cell>
          <cell r="G106" t="str">
            <v>N</v>
          </cell>
          <cell r="M106" t="str">
            <v>RET</v>
          </cell>
          <cell r="N106" t="str">
            <v>Working storage gas water heater with federal minimum efficiency standard</v>
          </cell>
          <cell r="O106">
            <v>2021</v>
          </cell>
          <cell r="P106">
            <v>2030</v>
          </cell>
          <cell r="Q106" t="str">
            <v>Single Family</v>
          </cell>
          <cell r="R106" t="str">
            <v>per water heater</v>
          </cell>
          <cell r="S106">
            <v>20.141014925373135</v>
          </cell>
          <cell r="T106">
            <v>23.6</v>
          </cell>
          <cell r="U106">
            <v>0</v>
          </cell>
          <cell r="V106">
            <v>3.458985074626868</v>
          </cell>
          <cell r="W106">
            <v>0.14656716417910456</v>
          </cell>
          <cell r="X106" t="str">
            <v>-</v>
          </cell>
          <cell r="Y106">
            <v>7</v>
          </cell>
          <cell r="Z106">
            <v>7</v>
          </cell>
          <cell r="AA106">
            <v>885</v>
          </cell>
          <cell r="AB106">
            <v>0</v>
          </cell>
          <cell r="AC106">
            <v>885</v>
          </cell>
          <cell r="AD106">
            <v>255.85539714867599</v>
          </cell>
          <cell r="AE106" t="str">
            <v/>
          </cell>
          <cell r="AF106" t="str">
            <v/>
          </cell>
          <cell r="AG106">
            <v>11</v>
          </cell>
          <cell r="AH106">
            <v>7</v>
          </cell>
          <cell r="AI106">
            <v>630</v>
          </cell>
          <cell r="AJ106">
            <v>182.13435051261681</v>
          </cell>
          <cell r="AK106">
            <v>0.99999999999999967</v>
          </cell>
          <cell r="AL106" t="str">
            <v>-</v>
          </cell>
          <cell r="AM106" t="str">
            <v>-</v>
          </cell>
          <cell r="AN106" t="str">
            <v/>
          </cell>
          <cell r="AO106">
            <v>0</v>
          </cell>
          <cell r="AP106" t="str">
            <v>-</v>
          </cell>
          <cell r="AQ106">
            <v>0</v>
          </cell>
          <cell r="AR106" t="str">
            <v>-</v>
          </cell>
          <cell r="AS106">
            <v>0</v>
          </cell>
          <cell r="AT106" t="str">
            <v/>
          </cell>
          <cell r="AU106">
            <v>0</v>
          </cell>
          <cell r="AV106" t="str">
            <v>-</v>
          </cell>
          <cell r="AW106">
            <v>0</v>
          </cell>
          <cell r="AX106" t="str">
            <v>-</v>
          </cell>
          <cell r="AY106">
            <v>0</v>
          </cell>
          <cell r="AZ106" t="str">
            <v/>
          </cell>
          <cell r="BA106">
            <v>0</v>
          </cell>
          <cell r="BB106" t="str">
            <v>-</v>
          </cell>
          <cell r="BC106">
            <v>0</v>
          </cell>
          <cell r="BD106" t="str">
            <v>-</v>
          </cell>
          <cell r="BE106">
            <v>0</v>
          </cell>
          <cell r="BF106" t="str">
            <v/>
          </cell>
          <cell r="BG106">
            <v>0</v>
          </cell>
          <cell r="BH106" t="str">
            <v>-</v>
          </cell>
          <cell r="BI106">
            <v>0</v>
          </cell>
          <cell r="BJ106" t="str">
            <v>-</v>
          </cell>
          <cell r="BK106">
            <v>0</v>
          </cell>
          <cell r="BL106">
            <v>0</v>
          </cell>
          <cell r="BM106" t="str">
            <v>-</v>
          </cell>
          <cell r="BN106">
            <v>11</v>
          </cell>
          <cell r="BO106" t="str">
            <v/>
          </cell>
          <cell r="BP106">
            <v>0</v>
          </cell>
          <cell r="BQ106">
            <v>0</v>
          </cell>
          <cell r="BR106" t="str">
            <v>-</v>
          </cell>
          <cell r="BS106">
            <v>0</v>
          </cell>
          <cell r="BT106">
            <v>0</v>
          </cell>
          <cell r="BU106" t="str">
            <v>-</v>
          </cell>
        </row>
        <row r="107">
          <cell r="A107" t="str">
            <v>11102MD</v>
          </cell>
          <cell r="B107">
            <v>11102</v>
          </cell>
          <cell r="C107" t="str">
            <v>MD</v>
          </cell>
          <cell r="D107" t="e">
            <v>#REF!</v>
          </cell>
          <cell r="E107" t="e">
            <v>#REF!</v>
          </cell>
          <cell r="F107" t="e">
            <v>#REF!</v>
          </cell>
          <cell r="G107" t="str">
            <v>N</v>
          </cell>
          <cell r="M107" t="e">
            <v>#REF!</v>
          </cell>
          <cell r="N107" t="e">
            <v>#REF!</v>
          </cell>
          <cell r="O107" t="e">
            <v>#REF!</v>
          </cell>
          <cell r="P107" t="e">
            <v>#REF!</v>
          </cell>
          <cell r="Q107" t="e">
            <v>#REF!</v>
          </cell>
          <cell r="R107" t="e">
            <v>#REF!</v>
          </cell>
          <cell r="S107" t="e">
            <v>#REF!</v>
          </cell>
          <cell r="T107" t="e">
            <v>#REF!</v>
          </cell>
          <cell r="U107" t="e">
            <v>#REF!</v>
          </cell>
          <cell r="V107" t="e">
            <v>#REF!</v>
          </cell>
          <cell r="W107" t="e">
            <v>#REF!</v>
          </cell>
          <cell r="X107" t="e">
            <v>#REF!</v>
          </cell>
          <cell r="Y107" t="e">
            <v>#REF!</v>
          </cell>
          <cell r="Z107" t="e">
            <v>#REF!</v>
          </cell>
          <cell r="AA107" t="e">
            <v>#REF!</v>
          </cell>
          <cell r="AB107" t="e">
            <v>#REF!</v>
          </cell>
          <cell r="AC107" t="e">
            <v>#REF!</v>
          </cell>
          <cell r="AD107" t="e">
            <v>#REF!</v>
          </cell>
          <cell r="AE107" t="e">
            <v>#REF!</v>
          </cell>
          <cell r="AF107" t="e">
            <v>#REF!</v>
          </cell>
          <cell r="AG107" t="e">
            <v>#REF!</v>
          </cell>
          <cell r="AH107" t="e">
            <v>#REF!</v>
          </cell>
          <cell r="AI107" t="e">
            <v>#REF!</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cell r="AW107" t="e">
            <v>#REF!</v>
          </cell>
          <cell r="AX107" t="e">
            <v>#REF!</v>
          </cell>
          <cell r="AY107" t="e">
            <v>#REF!</v>
          </cell>
          <cell r="AZ107" t="e">
            <v>#REF!</v>
          </cell>
          <cell r="BA107" t="e">
            <v>#REF!</v>
          </cell>
          <cell r="BB107" t="e">
            <v>#REF!</v>
          </cell>
          <cell r="BC107" t="e">
            <v>#REF!</v>
          </cell>
          <cell r="BD107" t="e">
            <v>#REF!</v>
          </cell>
          <cell r="BE107" t="e">
            <v>#REF!</v>
          </cell>
          <cell r="BF107" t="e">
            <v>#REF!</v>
          </cell>
          <cell r="BG107" t="e">
            <v>#REF!</v>
          </cell>
          <cell r="BH107" t="e">
            <v>#REF!</v>
          </cell>
          <cell r="BI107" t="e">
            <v>#REF!</v>
          </cell>
          <cell r="BJ107" t="e">
            <v>#REF!</v>
          </cell>
          <cell r="BK107" t="e">
            <v>#REF!</v>
          </cell>
          <cell r="BL107" t="e">
            <v>#REF!</v>
          </cell>
          <cell r="BM107" t="e">
            <v>#REF!</v>
          </cell>
          <cell r="BN107" t="e">
            <v>#REF!</v>
          </cell>
          <cell r="BO107" t="e">
            <v>#REF!</v>
          </cell>
          <cell r="BP107" t="e">
            <v>#REF!</v>
          </cell>
          <cell r="BQ107" t="e">
            <v>#REF!</v>
          </cell>
          <cell r="BR107" t="e">
            <v>#REF!</v>
          </cell>
          <cell r="BS107" t="e">
            <v>#REF!</v>
          </cell>
          <cell r="BT107" t="e">
            <v>#REF!</v>
          </cell>
          <cell r="BU107" t="e">
            <v>#REF!</v>
          </cell>
        </row>
        <row r="108">
          <cell r="A108" t="str">
            <v>11102RET</v>
          </cell>
          <cell r="B108">
            <v>11102</v>
          </cell>
          <cell r="C108" t="str">
            <v>RET</v>
          </cell>
          <cell r="D108" t="e">
            <v>#REF!</v>
          </cell>
          <cell r="E108" t="e">
            <v>#REF!</v>
          </cell>
          <cell r="F108" t="e">
            <v>#REF!</v>
          </cell>
          <cell r="G108" t="str">
            <v>N</v>
          </cell>
          <cell r="M108" t="e">
            <v>#REF!</v>
          </cell>
          <cell r="N108" t="e">
            <v>#REF!</v>
          </cell>
          <cell r="O108" t="e">
            <v>#REF!</v>
          </cell>
          <cell r="P108" t="e">
            <v>#REF!</v>
          </cell>
          <cell r="Q108" t="e">
            <v>#REF!</v>
          </cell>
          <cell r="R108" t="e">
            <v>#REF!</v>
          </cell>
          <cell r="S108" t="e">
            <v>#REF!</v>
          </cell>
          <cell r="T108" t="e">
            <v>#REF!</v>
          </cell>
          <cell r="U108" t="e">
            <v>#REF!</v>
          </cell>
          <cell r="V108" t="e">
            <v>#REF!</v>
          </cell>
          <cell r="W108" t="e">
            <v>#REF!</v>
          </cell>
          <cell r="X108" t="e">
            <v>#REF!</v>
          </cell>
          <cell r="Y108" t="e">
            <v>#REF!</v>
          </cell>
          <cell r="Z108" t="e">
            <v>#REF!</v>
          </cell>
          <cell r="AA108" t="e">
            <v>#REF!</v>
          </cell>
          <cell r="AB108" t="e">
            <v>#REF!</v>
          </cell>
          <cell r="AC108" t="e">
            <v>#REF!</v>
          </cell>
          <cell r="AD108" t="e">
            <v>#REF!</v>
          </cell>
          <cell r="AE108" t="e">
            <v>#REF!</v>
          </cell>
          <cell r="AF108" t="e">
            <v>#REF!</v>
          </cell>
          <cell r="AG108" t="e">
            <v>#REF!</v>
          </cell>
          <cell r="AH108" t="e">
            <v>#REF!</v>
          </cell>
          <cell r="AI108" t="e">
            <v>#REF!</v>
          </cell>
          <cell r="AJ108" t="e">
            <v>#REF!</v>
          </cell>
          <cell r="AK108" t="e">
            <v>#REF!</v>
          </cell>
          <cell r="AL108" t="e">
            <v>#REF!</v>
          </cell>
          <cell r="AM108" t="e">
            <v>#REF!</v>
          </cell>
          <cell r="AN108" t="e">
            <v>#REF!</v>
          </cell>
          <cell r="AO108" t="e">
            <v>#REF!</v>
          </cell>
          <cell r="AP108" t="e">
            <v>#REF!</v>
          </cell>
          <cell r="AQ108" t="e">
            <v>#REF!</v>
          </cell>
          <cell r="AR108" t="e">
            <v>#REF!</v>
          </cell>
          <cell r="AS108" t="e">
            <v>#REF!</v>
          </cell>
          <cell r="AT108" t="e">
            <v>#REF!</v>
          </cell>
          <cell r="AU108" t="e">
            <v>#REF!</v>
          </cell>
          <cell r="AV108" t="e">
            <v>#REF!</v>
          </cell>
          <cell r="AW108" t="e">
            <v>#REF!</v>
          </cell>
          <cell r="AX108" t="e">
            <v>#REF!</v>
          </cell>
          <cell r="AY108" t="e">
            <v>#REF!</v>
          </cell>
          <cell r="AZ108" t="e">
            <v>#REF!</v>
          </cell>
          <cell r="BA108" t="e">
            <v>#REF!</v>
          </cell>
          <cell r="BB108" t="e">
            <v>#REF!</v>
          </cell>
          <cell r="BC108" t="e">
            <v>#REF!</v>
          </cell>
          <cell r="BD108" t="e">
            <v>#REF!</v>
          </cell>
          <cell r="BE108" t="e">
            <v>#REF!</v>
          </cell>
          <cell r="BF108" t="e">
            <v>#REF!</v>
          </cell>
          <cell r="BG108" t="e">
            <v>#REF!</v>
          </cell>
          <cell r="BH108" t="e">
            <v>#REF!</v>
          </cell>
          <cell r="BI108" t="e">
            <v>#REF!</v>
          </cell>
          <cell r="BJ108" t="e">
            <v>#REF!</v>
          </cell>
          <cell r="BK108" t="e">
            <v>#REF!</v>
          </cell>
          <cell r="BL108" t="e">
            <v>#REF!</v>
          </cell>
          <cell r="BM108" t="e">
            <v>#REF!</v>
          </cell>
          <cell r="BN108" t="e">
            <v>#REF!</v>
          </cell>
          <cell r="BO108" t="e">
            <v>#REF!</v>
          </cell>
          <cell r="BP108" t="e">
            <v>#REF!</v>
          </cell>
          <cell r="BQ108" t="e">
            <v>#REF!</v>
          </cell>
          <cell r="BR108" t="e">
            <v>#REF!</v>
          </cell>
          <cell r="BS108" t="e">
            <v>#REF!</v>
          </cell>
          <cell r="BT108" t="e">
            <v>#REF!</v>
          </cell>
          <cell r="BU108" t="e">
            <v>#REF!</v>
          </cell>
        </row>
        <row r="109">
          <cell r="A109" t="str">
            <v>11103RET</v>
          </cell>
          <cell r="B109">
            <v>11103</v>
          </cell>
          <cell r="C109" t="str">
            <v>RET</v>
          </cell>
          <cell r="D109" t="str">
            <v>Water Heating</v>
          </cell>
          <cell r="E109" t="str">
            <v>Heat Pump Water Heater</v>
          </cell>
          <cell r="F109" t="str">
            <v>R</v>
          </cell>
          <cell r="G109" t="str">
            <v>Y</v>
          </cell>
          <cell r="M109" t="str">
            <v>RET</v>
          </cell>
          <cell r="N109" t="str">
            <v>Working storage electric water heater with federal minimum efficiency standard (&gt;55 gal)</v>
          </cell>
          <cell r="O109">
            <v>2021</v>
          </cell>
          <cell r="P109">
            <v>2030</v>
          </cell>
          <cell r="Q109" t="str">
            <v>Single Family</v>
          </cell>
          <cell r="R109" t="str">
            <v/>
          </cell>
          <cell r="S109">
            <v>0</v>
          </cell>
          <cell r="T109">
            <v>0</v>
          </cell>
          <cell r="U109">
            <v>0</v>
          </cell>
          <cell r="V109">
            <v>2187.3031399771639</v>
          </cell>
          <cell r="W109">
            <v>0.68379600656486672</v>
          </cell>
          <cell r="X109" t="str">
            <v>-</v>
          </cell>
          <cell r="Y109" t="str">
            <v>2,5</v>
          </cell>
          <cell r="Z109" t="str">
            <v>2,5</v>
          </cell>
          <cell r="AA109">
            <v>0</v>
          </cell>
          <cell r="AB109">
            <v>0</v>
          </cell>
          <cell r="AC109">
            <v>0</v>
          </cell>
          <cell r="AD109">
            <v>1.0303799201038111</v>
          </cell>
          <cell r="AE109" t="str">
            <v>59,60</v>
          </cell>
          <cell r="AF109" t="str">
            <v>59,60</v>
          </cell>
          <cell r="AG109">
            <v>10</v>
          </cell>
          <cell r="AH109">
            <v>6.6666666666666661</v>
          </cell>
          <cell r="AI109">
            <v>1350.3529411764707</v>
          </cell>
          <cell r="AJ109">
            <v>0.61735975983217795</v>
          </cell>
          <cell r="AK109">
            <v>0.38488077744423105</v>
          </cell>
          <cell r="AL109" t="str">
            <v>-</v>
          </cell>
          <cell r="AM109" t="str">
            <v>-</v>
          </cell>
          <cell r="AN109" t="str">
            <v/>
          </cell>
          <cell r="AO109">
            <v>0</v>
          </cell>
          <cell r="AP109" t="str">
            <v>-</v>
          </cell>
          <cell r="AQ109">
            <v>0</v>
          </cell>
          <cell r="AR109" t="str">
            <v>-</v>
          </cell>
          <cell r="AS109">
            <v>0</v>
          </cell>
          <cell r="AT109" t="str">
            <v/>
          </cell>
          <cell r="AU109">
            <v>0</v>
          </cell>
          <cell r="AV109" t="str">
            <v>-</v>
          </cell>
          <cell r="AW109">
            <v>0</v>
          </cell>
          <cell r="AX109" t="str">
            <v>-</v>
          </cell>
          <cell r="AY109">
            <v>0</v>
          </cell>
          <cell r="AZ109" t="str">
            <v/>
          </cell>
          <cell r="BA109">
            <v>0</v>
          </cell>
          <cell r="BB109" t="str">
            <v>-</v>
          </cell>
          <cell r="BC109">
            <v>0</v>
          </cell>
          <cell r="BD109" t="str">
            <v>-</v>
          </cell>
          <cell r="BE109">
            <v>0</v>
          </cell>
          <cell r="BF109" t="str">
            <v/>
          </cell>
          <cell r="BG109">
            <v>0</v>
          </cell>
          <cell r="BH109" t="str">
            <v>-</v>
          </cell>
          <cell r="BI109">
            <v>0</v>
          </cell>
          <cell r="BJ109" t="str">
            <v>-</v>
          </cell>
          <cell r="BK109">
            <v>0</v>
          </cell>
          <cell r="BL109">
            <v>0</v>
          </cell>
          <cell r="BM109" t="str">
            <v>-</v>
          </cell>
          <cell r="BN109">
            <v>10</v>
          </cell>
          <cell r="BO109" t="str">
            <v/>
          </cell>
          <cell r="BP109">
            <v>0</v>
          </cell>
          <cell r="BQ109">
            <v>0</v>
          </cell>
          <cell r="BR109" t="str">
            <v>-</v>
          </cell>
          <cell r="BS109">
            <v>0</v>
          </cell>
          <cell r="BT109">
            <v>0</v>
          </cell>
          <cell r="BU109" t="str">
            <v>-</v>
          </cell>
        </row>
        <row r="110">
          <cell r="A110" t="str">
            <v>11103MD</v>
          </cell>
          <cell r="B110">
            <v>11103</v>
          </cell>
          <cell r="C110" t="str">
            <v>MD</v>
          </cell>
          <cell r="D110" t="str">
            <v>Water Heating</v>
          </cell>
          <cell r="E110" t="str">
            <v>Heat Pump Water Heater</v>
          </cell>
          <cell r="F110" t="str">
            <v>R</v>
          </cell>
          <cell r="G110" t="str">
            <v>Y</v>
          </cell>
          <cell r="M110" t="str">
            <v>NC, RENO, REPL</v>
          </cell>
          <cell r="N110" t="str">
            <v>Failed or baseline storage electric water heater with federal minimum efficiency standard (&gt;55 gal)</v>
          </cell>
          <cell r="O110">
            <v>2021</v>
          </cell>
          <cell r="P110">
            <v>2030</v>
          </cell>
          <cell r="Q110" t="str">
            <v>Single Family</v>
          </cell>
          <cell r="R110" t="str">
            <v/>
          </cell>
          <cell r="S110">
            <v>0</v>
          </cell>
          <cell r="T110">
            <v>0</v>
          </cell>
          <cell r="U110">
            <v>0</v>
          </cell>
          <cell r="V110">
            <v>364.63772780493252</v>
          </cell>
          <cell r="W110">
            <v>0.26317993861994643</v>
          </cell>
          <cell r="X110" t="str">
            <v>-</v>
          </cell>
          <cell r="Y110" t="str">
            <v>2,5</v>
          </cell>
          <cell r="Z110" t="str">
            <v>2,5</v>
          </cell>
          <cell r="AA110">
            <v>0</v>
          </cell>
          <cell r="AB110">
            <v>0</v>
          </cell>
          <cell r="AC110">
            <v>0</v>
          </cell>
          <cell r="AD110">
            <v>1.8074499505855535</v>
          </cell>
          <cell r="AE110">
            <v>59</v>
          </cell>
          <cell r="AF110">
            <v>59</v>
          </cell>
          <cell r="AG110">
            <v>0</v>
          </cell>
          <cell r="AH110">
            <v>0</v>
          </cell>
          <cell r="AI110">
            <v>0</v>
          </cell>
          <cell r="AJ110">
            <v>0</v>
          </cell>
          <cell r="AK110">
            <v>0</v>
          </cell>
          <cell r="AL110" t="str">
            <v>-</v>
          </cell>
          <cell r="AM110" t="str">
            <v>-</v>
          </cell>
          <cell r="AN110" t="str">
            <v/>
          </cell>
          <cell r="AO110">
            <v>0</v>
          </cell>
          <cell r="AP110" t="str">
            <v>-</v>
          </cell>
          <cell r="AQ110">
            <v>0</v>
          </cell>
          <cell r="AR110" t="str">
            <v>-</v>
          </cell>
          <cell r="AS110">
            <v>0</v>
          </cell>
          <cell r="AT110" t="str">
            <v/>
          </cell>
          <cell r="AU110">
            <v>0</v>
          </cell>
          <cell r="AV110" t="str">
            <v>-</v>
          </cell>
          <cell r="AW110">
            <v>0</v>
          </cell>
          <cell r="AX110" t="str">
            <v>-</v>
          </cell>
          <cell r="AY110">
            <v>0</v>
          </cell>
          <cell r="AZ110" t="str">
            <v/>
          </cell>
          <cell r="BA110">
            <v>0</v>
          </cell>
          <cell r="BB110" t="str">
            <v>-</v>
          </cell>
          <cell r="BC110">
            <v>0</v>
          </cell>
          <cell r="BD110" t="str">
            <v>-</v>
          </cell>
          <cell r="BE110">
            <v>0</v>
          </cell>
          <cell r="BF110" t="str">
            <v/>
          </cell>
          <cell r="BG110">
            <v>0</v>
          </cell>
          <cell r="BH110" t="str">
            <v>-</v>
          </cell>
          <cell r="BI110">
            <v>0</v>
          </cell>
          <cell r="BJ110" t="str">
            <v>-</v>
          </cell>
          <cell r="BK110">
            <v>0</v>
          </cell>
          <cell r="BL110">
            <v>0</v>
          </cell>
          <cell r="BM110" t="str">
            <v>-</v>
          </cell>
          <cell r="BN110">
            <v>10</v>
          </cell>
          <cell r="BO110" t="str">
            <v/>
          </cell>
          <cell r="BP110">
            <v>0</v>
          </cell>
          <cell r="BQ110">
            <v>0</v>
          </cell>
          <cell r="BR110" t="str">
            <v>-</v>
          </cell>
          <cell r="BS110">
            <v>0</v>
          </cell>
          <cell r="BT110">
            <v>0</v>
          </cell>
          <cell r="BU110" t="str">
            <v>-</v>
          </cell>
        </row>
        <row r="111">
          <cell r="A111" t="str">
            <v>11104RET</v>
          </cell>
          <cell r="B111">
            <v>11104</v>
          </cell>
          <cell r="C111" t="str">
            <v>RET</v>
          </cell>
          <cell r="D111" t="str">
            <v>Water Heating</v>
          </cell>
          <cell r="E111" t="str">
            <v>Heat Pump Water Heater with Gas Secondary Fuel</v>
          </cell>
          <cell r="F111" t="str">
            <v>R</v>
          </cell>
          <cell r="G111" t="str">
            <v>Y</v>
          </cell>
          <cell r="M111" t="str">
            <v>RET</v>
          </cell>
          <cell r="N111" t="str">
            <v>Working storage electric water heater with federal minimum efficiency standard (&gt;55 gal)</v>
          </cell>
          <cell r="O111">
            <v>2021</v>
          </cell>
          <cell r="P111">
            <v>2030</v>
          </cell>
          <cell r="Q111" t="str">
            <v>Single Family</v>
          </cell>
          <cell r="R111" t="str">
            <v/>
          </cell>
          <cell r="S111">
            <v>0</v>
          </cell>
          <cell r="T111">
            <v>0</v>
          </cell>
          <cell r="U111">
            <v>0</v>
          </cell>
          <cell r="V111">
            <v>2187.3031399771639</v>
          </cell>
          <cell r="W111">
            <v>0.68379600656486672</v>
          </cell>
          <cell r="X111" t="str">
            <v>-</v>
          </cell>
          <cell r="Y111" t="str">
            <v>2,5,8</v>
          </cell>
          <cell r="Z111" t="str">
            <v>2,5,8</v>
          </cell>
          <cell r="AA111">
            <v>0</v>
          </cell>
          <cell r="AB111">
            <v>0</v>
          </cell>
          <cell r="AC111">
            <v>0</v>
          </cell>
          <cell r="AD111">
            <v>1.0303799201038111</v>
          </cell>
          <cell r="AE111" t="str">
            <v>59,60</v>
          </cell>
          <cell r="AF111" t="str">
            <v>59,60</v>
          </cell>
          <cell r="AG111">
            <v>10</v>
          </cell>
          <cell r="AH111">
            <v>6.6666666666666661</v>
          </cell>
          <cell r="AI111">
            <v>1350.3529411764707</v>
          </cell>
          <cell r="AJ111">
            <v>0.61735975983217795</v>
          </cell>
          <cell r="AK111">
            <v>0.38488077744423105</v>
          </cell>
          <cell r="AL111" t="str">
            <v>-</v>
          </cell>
          <cell r="AM111" t="str">
            <v>-</v>
          </cell>
          <cell r="AN111" t="str">
            <v/>
          </cell>
          <cell r="AO111">
            <v>0</v>
          </cell>
          <cell r="AP111" t="str">
            <v>-</v>
          </cell>
          <cell r="AQ111">
            <v>0</v>
          </cell>
          <cell r="AR111" t="str">
            <v>-</v>
          </cell>
          <cell r="AS111">
            <v>0</v>
          </cell>
          <cell r="AT111" t="str">
            <v/>
          </cell>
          <cell r="AU111">
            <v>0</v>
          </cell>
          <cell r="AV111" t="str">
            <v>-</v>
          </cell>
          <cell r="AW111">
            <v>0</v>
          </cell>
          <cell r="AX111" t="str">
            <v>-</v>
          </cell>
          <cell r="AY111">
            <v>0</v>
          </cell>
          <cell r="AZ111" t="str">
            <v/>
          </cell>
          <cell r="BA111">
            <v>0</v>
          </cell>
          <cell r="BB111" t="str">
            <v>-</v>
          </cell>
          <cell r="BC111">
            <v>0</v>
          </cell>
          <cell r="BD111" t="str">
            <v>-</v>
          </cell>
          <cell r="BE111">
            <v>0</v>
          </cell>
          <cell r="BF111" t="str">
            <v/>
          </cell>
          <cell r="BG111">
            <v>0</v>
          </cell>
          <cell r="BH111" t="str">
            <v>-</v>
          </cell>
          <cell r="BI111">
            <v>0</v>
          </cell>
          <cell r="BJ111" t="str">
            <v>-</v>
          </cell>
          <cell r="BK111">
            <v>0</v>
          </cell>
          <cell r="BL111">
            <v>0</v>
          </cell>
          <cell r="BM111" t="str">
            <v>-</v>
          </cell>
          <cell r="BN111">
            <v>10</v>
          </cell>
          <cell r="BO111" t="str">
            <v>G</v>
          </cell>
          <cell r="BP111">
            <v>-4.8510009038413537</v>
          </cell>
          <cell r="BQ111">
            <v>-2.2177999999999998E-3</v>
          </cell>
          <cell r="BR111" t="str">
            <v>-</v>
          </cell>
          <cell r="BS111">
            <v>0</v>
          </cell>
          <cell r="BT111">
            <v>0</v>
          </cell>
          <cell r="BU111" t="str">
            <v>-</v>
          </cell>
        </row>
        <row r="112">
          <cell r="A112" t="str">
            <v>11104MD</v>
          </cell>
          <cell r="B112">
            <v>11104</v>
          </cell>
          <cell r="C112" t="str">
            <v>MD</v>
          </cell>
          <cell r="D112" t="str">
            <v>Water Heating</v>
          </cell>
          <cell r="E112" t="str">
            <v>Heat Pump Water Heater with Gas Secondary Fuel</v>
          </cell>
          <cell r="F112" t="str">
            <v>R</v>
          </cell>
          <cell r="G112" t="str">
            <v>Y</v>
          </cell>
          <cell r="M112" t="str">
            <v>NC, RENO, REPL</v>
          </cell>
          <cell r="N112" t="str">
            <v>Failed or baseline storage electric water heater with federal minimum efficiency standard (&gt;55 gal)</v>
          </cell>
          <cell r="O112">
            <v>2021</v>
          </cell>
          <cell r="P112">
            <v>2030</v>
          </cell>
          <cell r="Q112" t="str">
            <v>Single Family</v>
          </cell>
          <cell r="R112" t="str">
            <v/>
          </cell>
          <cell r="S112">
            <v>0</v>
          </cell>
          <cell r="T112">
            <v>0</v>
          </cell>
          <cell r="U112">
            <v>0</v>
          </cell>
          <cell r="V112">
            <v>364.63772780493252</v>
          </cell>
          <cell r="W112">
            <v>0.26317993861994643</v>
          </cell>
          <cell r="X112" t="str">
            <v>-</v>
          </cell>
          <cell r="Y112" t="str">
            <v>2,5,8</v>
          </cell>
          <cell r="Z112" t="str">
            <v>2,5,8</v>
          </cell>
          <cell r="AA112">
            <v>0</v>
          </cell>
          <cell r="AB112">
            <v>0</v>
          </cell>
          <cell r="AC112">
            <v>0</v>
          </cell>
          <cell r="AD112">
            <v>1.8074499505855535</v>
          </cell>
          <cell r="AE112">
            <v>59</v>
          </cell>
          <cell r="AF112">
            <v>59</v>
          </cell>
          <cell r="AG112">
            <v>0</v>
          </cell>
          <cell r="AH112">
            <v>0</v>
          </cell>
          <cell r="AI112">
            <v>0</v>
          </cell>
          <cell r="AJ112">
            <v>0</v>
          </cell>
          <cell r="AK112">
            <v>0</v>
          </cell>
          <cell r="AL112" t="str">
            <v>-</v>
          </cell>
          <cell r="AM112" t="str">
            <v>-</v>
          </cell>
          <cell r="AN112" t="str">
            <v/>
          </cell>
          <cell r="AO112">
            <v>0</v>
          </cell>
          <cell r="AP112" t="str">
            <v>-</v>
          </cell>
          <cell r="AQ112">
            <v>0</v>
          </cell>
          <cell r="AR112" t="str">
            <v>-</v>
          </cell>
          <cell r="AS112">
            <v>0</v>
          </cell>
          <cell r="AT112" t="str">
            <v/>
          </cell>
          <cell r="AU112">
            <v>0</v>
          </cell>
          <cell r="AV112" t="str">
            <v>-</v>
          </cell>
          <cell r="AW112">
            <v>0</v>
          </cell>
          <cell r="AX112" t="str">
            <v>-</v>
          </cell>
          <cell r="AY112">
            <v>0</v>
          </cell>
          <cell r="AZ112" t="str">
            <v/>
          </cell>
          <cell r="BA112">
            <v>0</v>
          </cell>
          <cell r="BB112" t="str">
            <v>-</v>
          </cell>
          <cell r="BC112">
            <v>0</v>
          </cell>
          <cell r="BD112" t="str">
            <v>-</v>
          </cell>
          <cell r="BE112">
            <v>0</v>
          </cell>
          <cell r="BF112" t="str">
            <v/>
          </cell>
          <cell r="BG112">
            <v>0</v>
          </cell>
          <cell r="BH112" t="str">
            <v>-</v>
          </cell>
          <cell r="BI112">
            <v>0</v>
          </cell>
          <cell r="BJ112" t="str">
            <v>-</v>
          </cell>
          <cell r="BK112">
            <v>0</v>
          </cell>
          <cell r="BL112">
            <v>0</v>
          </cell>
          <cell r="BM112" t="str">
            <v>-</v>
          </cell>
          <cell r="BN112">
            <v>10</v>
          </cell>
          <cell r="BO112" t="str">
            <v>G</v>
          </cell>
          <cell r="BP112">
            <v>-0.80869355272577914</v>
          </cell>
          <cell r="BQ112">
            <v>-2.2177999999999994E-3</v>
          </cell>
          <cell r="BR112" t="str">
            <v>-</v>
          </cell>
          <cell r="BS112">
            <v>0</v>
          </cell>
          <cell r="BT112">
            <v>0</v>
          </cell>
          <cell r="BU112" t="str">
            <v>-</v>
          </cell>
        </row>
        <row r="113">
          <cell r="A113" t="str">
            <v>11105RET</v>
          </cell>
          <cell r="B113">
            <v>11105</v>
          </cell>
          <cell r="C113" t="str">
            <v>RET</v>
          </cell>
          <cell r="D113" t="str">
            <v>Water Heating</v>
          </cell>
          <cell r="E113" t="str">
            <v>Heat Pump Water Heater</v>
          </cell>
          <cell r="F113" t="str">
            <v>R</v>
          </cell>
          <cell r="G113" t="str">
            <v>Y</v>
          </cell>
          <cell r="M113" t="str">
            <v>RET</v>
          </cell>
          <cell r="N113" t="str">
            <v>Working storage electric water heater with federal minimum efficiency standard (&lt;55 gal)</v>
          </cell>
          <cell r="O113">
            <v>2021</v>
          </cell>
          <cell r="P113">
            <v>2030</v>
          </cell>
          <cell r="Q113" t="str">
            <v>Single Family</v>
          </cell>
          <cell r="R113" t="str">
            <v/>
          </cell>
          <cell r="S113">
            <v>0</v>
          </cell>
          <cell r="T113">
            <v>0</v>
          </cell>
          <cell r="U113">
            <v>0</v>
          </cell>
          <cell r="V113">
            <v>1962.5836954519727</v>
          </cell>
          <cell r="W113">
            <v>0.65641175190032663</v>
          </cell>
          <cell r="X113" t="str">
            <v>-</v>
          </cell>
          <cell r="Y113" t="str">
            <v>2,5</v>
          </cell>
          <cell r="Z113" t="str">
            <v>2,5</v>
          </cell>
          <cell r="AA113">
            <v>0</v>
          </cell>
          <cell r="AB113">
            <v>0</v>
          </cell>
          <cell r="AC113">
            <v>0</v>
          </cell>
          <cell r="AD113">
            <v>1.1614583548918695</v>
          </cell>
          <cell r="AE113" t="str">
            <v>59,60</v>
          </cell>
          <cell r="AF113" t="str">
            <v>59,60</v>
          </cell>
          <cell r="AG113">
            <v>10</v>
          </cell>
          <cell r="AH113">
            <v>6.6666666666666661</v>
          </cell>
          <cell r="AI113">
            <v>1032.0000000000002</v>
          </cell>
          <cell r="AJ113">
            <v>0.5258374470304239</v>
          </cell>
          <cell r="AK113">
            <v>0.99810161165821643</v>
          </cell>
          <cell r="AL113" t="str">
            <v>-</v>
          </cell>
          <cell r="AM113" t="str">
            <v>-</v>
          </cell>
          <cell r="AN113" t="str">
            <v/>
          </cell>
          <cell r="AO113">
            <v>0</v>
          </cell>
          <cell r="AP113" t="str">
            <v>-</v>
          </cell>
          <cell r="AQ113">
            <v>0</v>
          </cell>
          <cell r="AR113" t="str">
            <v>-</v>
          </cell>
          <cell r="AS113">
            <v>0</v>
          </cell>
          <cell r="AT113" t="str">
            <v/>
          </cell>
          <cell r="AU113">
            <v>0</v>
          </cell>
          <cell r="AV113" t="str">
            <v>-</v>
          </cell>
          <cell r="AW113">
            <v>0</v>
          </cell>
          <cell r="AX113" t="str">
            <v>-</v>
          </cell>
          <cell r="AY113">
            <v>0</v>
          </cell>
          <cell r="AZ113" t="str">
            <v/>
          </cell>
          <cell r="BA113">
            <v>0</v>
          </cell>
          <cell r="BB113" t="str">
            <v>-</v>
          </cell>
          <cell r="BC113">
            <v>0</v>
          </cell>
          <cell r="BD113" t="str">
            <v>-</v>
          </cell>
          <cell r="BE113">
            <v>0</v>
          </cell>
          <cell r="BF113" t="str">
            <v/>
          </cell>
          <cell r="BG113">
            <v>0</v>
          </cell>
          <cell r="BH113" t="str">
            <v>-</v>
          </cell>
          <cell r="BI113">
            <v>0</v>
          </cell>
          <cell r="BJ113" t="str">
            <v>-</v>
          </cell>
          <cell r="BK113">
            <v>0</v>
          </cell>
          <cell r="BL113">
            <v>0</v>
          </cell>
          <cell r="BM113" t="str">
            <v>-</v>
          </cell>
          <cell r="BN113">
            <v>10</v>
          </cell>
          <cell r="BO113" t="str">
            <v/>
          </cell>
          <cell r="BP113">
            <v>0</v>
          </cell>
          <cell r="BQ113">
            <v>0</v>
          </cell>
          <cell r="BR113" t="str">
            <v>-</v>
          </cell>
          <cell r="BS113">
            <v>0</v>
          </cell>
          <cell r="BT113">
            <v>0</v>
          </cell>
          <cell r="BU113" t="str">
            <v>-</v>
          </cell>
        </row>
        <row r="114">
          <cell r="A114" t="str">
            <v>11105MD</v>
          </cell>
          <cell r="B114">
            <v>11105</v>
          </cell>
          <cell r="C114" t="str">
            <v>MD</v>
          </cell>
          <cell r="D114" t="str">
            <v>Water Heating</v>
          </cell>
          <cell r="E114" t="str">
            <v>Heat Pump Water Heater</v>
          </cell>
          <cell r="F114" t="str">
            <v>R</v>
          </cell>
          <cell r="G114" t="str">
            <v>Y</v>
          </cell>
          <cell r="M114" t="str">
            <v>NC, RENO, REPL</v>
          </cell>
          <cell r="N114" t="str">
            <v>Failed or baseline storage electric water heater with federal minimum efficiency standard (&lt;55 gal)</v>
          </cell>
          <cell r="O114">
            <v>2021</v>
          </cell>
          <cell r="P114">
            <v>2030</v>
          </cell>
          <cell r="Q114" t="str">
            <v>Single Family</v>
          </cell>
          <cell r="R114" t="str">
            <v/>
          </cell>
          <cell r="S114">
            <v>0</v>
          </cell>
          <cell r="T114">
            <v>0</v>
          </cell>
          <cell r="U114">
            <v>0</v>
          </cell>
          <cell r="V114">
            <v>1954.233555238307</v>
          </cell>
          <cell r="W114">
            <v>0.65516562748310936</v>
          </cell>
          <cell r="X114" t="str">
            <v>-</v>
          </cell>
          <cell r="Y114" t="str">
            <v>2,5</v>
          </cell>
          <cell r="Z114" t="str">
            <v>2,5</v>
          </cell>
          <cell r="AA114">
            <v>0</v>
          </cell>
          <cell r="AB114">
            <v>0</v>
          </cell>
          <cell r="AC114">
            <v>0</v>
          </cell>
          <cell r="AD114">
            <v>0.53885325884573076</v>
          </cell>
          <cell r="AE114">
            <v>59</v>
          </cell>
          <cell r="AF114">
            <v>59</v>
          </cell>
          <cell r="AG114">
            <v>0</v>
          </cell>
          <cell r="AH114">
            <v>0</v>
          </cell>
          <cell r="AI114">
            <v>0</v>
          </cell>
          <cell r="AJ114">
            <v>0</v>
          </cell>
          <cell r="AK114">
            <v>0</v>
          </cell>
          <cell r="AL114" t="str">
            <v>-</v>
          </cell>
          <cell r="AM114" t="str">
            <v>-</v>
          </cell>
          <cell r="AN114" t="str">
            <v/>
          </cell>
          <cell r="AO114">
            <v>0</v>
          </cell>
          <cell r="AP114" t="str">
            <v>-</v>
          </cell>
          <cell r="AQ114">
            <v>0</v>
          </cell>
          <cell r="AR114" t="str">
            <v>-</v>
          </cell>
          <cell r="AS114">
            <v>0</v>
          </cell>
          <cell r="AT114" t="str">
            <v/>
          </cell>
          <cell r="AU114">
            <v>0</v>
          </cell>
          <cell r="AV114" t="str">
            <v>-</v>
          </cell>
          <cell r="AW114">
            <v>0</v>
          </cell>
          <cell r="AX114" t="str">
            <v>-</v>
          </cell>
          <cell r="AY114">
            <v>0</v>
          </cell>
          <cell r="AZ114" t="str">
            <v/>
          </cell>
          <cell r="BA114">
            <v>0</v>
          </cell>
          <cell r="BB114" t="str">
            <v>-</v>
          </cell>
          <cell r="BC114">
            <v>0</v>
          </cell>
          <cell r="BD114" t="str">
            <v>-</v>
          </cell>
          <cell r="BE114">
            <v>0</v>
          </cell>
          <cell r="BF114" t="str">
            <v/>
          </cell>
          <cell r="BG114">
            <v>0</v>
          </cell>
          <cell r="BH114" t="str">
            <v>-</v>
          </cell>
          <cell r="BI114">
            <v>0</v>
          </cell>
          <cell r="BJ114" t="str">
            <v>-</v>
          </cell>
          <cell r="BK114">
            <v>0</v>
          </cell>
          <cell r="BL114">
            <v>0</v>
          </cell>
          <cell r="BM114" t="str">
            <v>-</v>
          </cell>
          <cell r="BN114">
            <v>10</v>
          </cell>
          <cell r="BO114" t="str">
            <v/>
          </cell>
          <cell r="BP114">
            <v>0</v>
          </cell>
          <cell r="BQ114">
            <v>0</v>
          </cell>
          <cell r="BR114" t="str">
            <v>-</v>
          </cell>
          <cell r="BS114">
            <v>0</v>
          </cell>
          <cell r="BT114">
            <v>0</v>
          </cell>
          <cell r="BU114" t="str">
            <v>-</v>
          </cell>
        </row>
        <row r="115">
          <cell r="A115" t="str">
            <v>11106RET</v>
          </cell>
          <cell r="B115">
            <v>11106</v>
          </cell>
          <cell r="C115" t="str">
            <v>RET</v>
          </cell>
          <cell r="D115" t="str">
            <v>Water Heating</v>
          </cell>
          <cell r="E115" t="str">
            <v>Heat Pump Water Heater with Gas Secondary Fuel</v>
          </cell>
          <cell r="F115" t="str">
            <v>R</v>
          </cell>
          <cell r="G115" t="str">
            <v>Y</v>
          </cell>
          <cell r="M115" t="str">
            <v>RET</v>
          </cell>
          <cell r="N115" t="str">
            <v>Working storage electric water heater with federal minimum efficiency standard (&lt;55 gal)</v>
          </cell>
          <cell r="O115">
            <v>2021</v>
          </cell>
          <cell r="P115">
            <v>2030</v>
          </cell>
          <cell r="Q115" t="str">
            <v>Single Family</v>
          </cell>
          <cell r="R115" t="str">
            <v/>
          </cell>
          <cell r="S115">
            <v>0</v>
          </cell>
          <cell r="T115">
            <v>0</v>
          </cell>
          <cell r="U115">
            <v>0</v>
          </cell>
          <cell r="V115">
            <v>1962.5836954519727</v>
          </cell>
          <cell r="W115">
            <v>0.65641175190032663</v>
          </cell>
          <cell r="X115" t="str">
            <v>-</v>
          </cell>
          <cell r="Y115" t="str">
            <v>2,5,8</v>
          </cell>
          <cell r="Z115" t="str">
            <v>2,5,8</v>
          </cell>
          <cell r="AA115">
            <v>0</v>
          </cell>
          <cell r="AB115">
            <v>0</v>
          </cell>
          <cell r="AC115">
            <v>0</v>
          </cell>
          <cell r="AD115">
            <v>1.1614583548918695</v>
          </cell>
          <cell r="AE115" t="str">
            <v>59,60</v>
          </cell>
          <cell r="AF115" t="str">
            <v>59,60</v>
          </cell>
          <cell r="AG115">
            <v>10</v>
          </cell>
          <cell r="AH115">
            <v>6.6666666666666661</v>
          </cell>
          <cell r="AI115">
            <v>1032.0000000000002</v>
          </cell>
          <cell r="AJ115">
            <v>0.5258374470304239</v>
          </cell>
          <cell r="AK115">
            <v>0.99810161165821643</v>
          </cell>
          <cell r="AL115" t="str">
            <v>-</v>
          </cell>
          <cell r="AM115" t="str">
            <v>-</v>
          </cell>
          <cell r="AN115" t="str">
            <v/>
          </cell>
          <cell r="AO115">
            <v>0</v>
          </cell>
          <cell r="AP115" t="str">
            <v>-</v>
          </cell>
          <cell r="AQ115">
            <v>0</v>
          </cell>
          <cell r="AR115" t="str">
            <v>-</v>
          </cell>
          <cell r="AS115">
            <v>0</v>
          </cell>
          <cell r="AT115" t="str">
            <v/>
          </cell>
          <cell r="AU115">
            <v>0</v>
          </cell>
          <cell r="AV115" t="str">
            <v>-</v>
          </cell>
          <cell r="AW115">
            <v>0</v>
          </cell>
          <cell r="AX115" t="str">
            <v>-</v>
          </cell>
          <cell r="AY115">
            <v>0</v>
          </cell>
          <cell r="AZ115" t="str">
            <v/>
          </cell>
          <cell r="BA115">
            <v>0</v>
          </cell>
          <cell r="BB115" t="str">
            <v>-</v>
          </cell>
          <cell r="BC115">
            <v>0</v>
          </cell>
          <cell r="BD115" t="str">
            <v>-</v>
          </cell>
          <cell r="BE115">
            <v>0</v>
          </cell>
          <cell r="BF115" t="str">
            <v/>
          </cell>
          <cell r="BG115">
            <v>0</v>
          </cell>
          <cell r="BH115" t="str">
            <v>-</v>
          </cell>
          <cell r="BI115">
            <v>0</v>
          </cell>
          <cell r="BJ115" t="str">
            <v>-</v>
          </cell>
          <cell r="BK115">
            <v>0</v>
          </cell>
          <cell r="BL115">
            <v>0</v>
          </cell>
          <cell r="BM115" t="str">
            <v>-</v>
          </cell>
          <cell r="BN115">
            <v>10</v>
          </cell>
          <cell r="BO115" t="str">
            <v>G</v>
          </cell>
          <cell r="BP115">
            <v>-4.3526181197733855</v>
          </cell>
          <cell r="BQ115">
            <v>-2.2178000000000002E-3</v>
          </cell>
          <cell r="BR115" t="str">
            <v>-</v>
          </cell>
          <cell r="BS115">
            <v>0</v>
          </cell>
          <cell r="BT115">
            <v>0</v>
          </cell>
          <cell r="BU115" t="str">
            <v>-</v>
          </cell>
        </row>
        <row r="116">
          <cell r="A116" t="str">
            <v>11106MD</v>
          </cell>
          <cell r="B116">
            <v>11106</v>
          </cell>
          <cell r="C116" t="str">
            <v>MD</v>
          </cell>
          <cell r="D116" t="str">
            <v>Water Heating</v>
          </cell>
          <cell r="E116" t="str">
            <v>Heat Pump Water Heater with Gas Secondary Fuel</v>
          </cell>
          <cell r="F116" t="str">
            <v>R</v>
          </cell>
          <cell r="G116" t="str">
            <v>Y</v>
          </cell>
          <cell r="M116" t="str">
            <v>NC, RENO, REPL</v>
          </cell>
          <cell r="N116" t="str">
            <v>Failed or baseline storage electric water heater with federal minimum efficiency standard (&lt;55 gal)</v>
          </cell>
          <cell r="O116">
            <v>2021</v>
          </cell>
          <cell r="P116">
            <v>2030</v>
          </cell>
          <cell r="Q116" t="str">
            <v>Single Family</v>
          </cell>
          <cell r="R116" t="str">
            <v/>
          </cell>
          <cell r="S116">
            <v>0</v>
          </cell>
          <cell r="T116">
            <v>0</v>
          </cell>
          <cell r="U116">
            <v>0</v>
          </cell>
          <cell r="V116">
            <v>1954.233555238307</v>
          </cell>
          <cell r="W116">
            <v>0.65516562748310936</v>
          </cell>
          <cell r="X116" t="str">
            <v>-</v>
          </cell>
          <cell r="Y116" t="str">
            <v>2,5,8</v>
          </cell>
          <cell r="Z116" t="str">
            <v>2,5,8</v>
          </cell>
          <cell r="AA116">
            <v>0</v>
          </cell>
          <cell r="AB116">
            <v>0</v>
          </cell>
          <cell r="AC116">
            <v>0</v>
          </cell>
          <cell r="AD116">
            <v>0.53885325884573076</v>
          </cell>
          <cell r="AE116">
            <v>59</v>
          </cell>
          <cell r="AF116">
            <v>59</v>
          </cell>
          <cell r="AG116">
            <v>0</v>
          </cell>
          <cell r="AH116">
            <v>0</v>
          </cell>
          <cell r="AI116">
            <v>0</v>
          </cell>
          <cell r="AJ116">
            <v>0</v>
          </cell>
          <cell r="AK116">
            <v>0</v>
          </cell>
          <cell r="AL116" t="str">
            <v>-</v>
          </cell>
          <cell r="AM116" t="str">
            <v>-</v>
          </cell>
          <cell r="AN116" t="str">
            <v/>
          </cell>
          <cell r="AO116">
            <v>0</v>
          </cell>
          <cell r="AP116" t="str">
            <v>-</v>
          </cell>
          <cell r="AQ116">
            <v>0</v>
          </cell>
          <cell r="AR116" t="str">
            <v>-</v>
          </cell>
          <cell r="AS116">
            <v>0</v>
          </cell>
          <cell r="AT116" t="str">
            <v/>
          </cell>
          <cell r="AU116">
            <v>0</v>
          </cell>
          <cell r="AV116" t="str">
            <v>-</v>
          </cell>
          <cell r="AW116">
            <v>0</v>
          </cell>
          <cell r="AX116" t="str">
            <v>-</v>
          </cell>
          <cell r="AY116">
            <v>0</v>
          </cell>
          <cell r="AZ116" t="str">
            <v/>
          </cell>
          <cell r="BA116">
            <v>0</v>
          </cell>
          <cell r="BB116" t="str">
            <v>-</v>
          </cell>
          <cell r="BC116">
            <v>0</v>
          </cell>
          <cell r="BD116" t="str">
            <v>-</v>
          </cell>
          <cell r="BE116">
            <v>0</v>
          </cell>
          <cell r="BF116" t="str">
            <v/>
          </cell>
          <cell r="BG116">
            <v>0</v>
          </cell>
          <cell r="BH116" t="str">
            <v>-</v>
          </cell>
          <cell r="BI116">
            <v>0</v>
          </cell>
          <cell r="BJ116" t="str">
            <v>-</v>
          </cell>
          <cell r="BK116">
            <v>0</v>
          </cell>
          <cell r="BL116">
            <v>0</v>
          </cell>
          <cell r="BM116" t="str">
            <v>-</v>
          </cell>
          <cell r="BN116">
            <v>10</v>
          </cell>
          <cell r="BO116" t="str">
            <v>G</v>
          </cell>
          <cell r="BP116">
            <v>-4.3340991788075165</v>
          </cell>
          <cell r="BQ116">
            <v>-2.2177999999999998E-3</v>
          </cell>
          <cell r="BR116" t="str">
            <v>-</v>
          </cell>
          <cell r="BS116">
            <v>0</v>
          </cell>
          <cell r="BT116">
            <v>0</v>
          </cell>
          <cell r="BU116" t="str">
            <v>-</v>
          </cell>
        </row>
        <row r="117">
          <cell r="A117" t="str">
            <v>11107MD</v>
          </cell>
          <cell r="B117">
            <v>11107</v>
          </cell>
          <cell r="C117" t="str">
            <v>MD</v>
          </cell>
          <cell r="D117" t="e">
            <v>#REF!</v>
          </cell>
          <cell r="E117" t="e">
            <v>#REF!</v>
          </cell>
          <cell r="F117" t="e">
            <v>#REF!</v>
          </cell>
          <cell r="G117" t="str">
            <v>N</v>
          </cell>
          <cell r="M117" t="e">
            <v>#REF!</v>
          </cell>
          <cell r="N117" t="e">
            <v>#REF!</v>
          </cell>
          <cell r="O117" t="e">
            <v>#REF!</v>
          </cell>
          <cell r="P117" t="e">
            <v>#REF!</v>
          </cell>
          <cell r="Q117" t="e">
            <v>#REF!</v>
          </cell>
          <cell r="R117" t="e">
            <v>#REF!</v>
          </cell>
          <cell r="S117" t="e">
            <v>#REF!</v>
          </cell>
          <cell r="T117" t="e">
            <v>#REF!</v>
          </cell>
          <cell r="U117" t="e">
            <v>#REF!</v>
          </cell>
          <cell r="V117" t="e">
            <v>#REF!</v>
          </cell>
          <cell r="W117" t="e">
            <v>#REF!</v>
          </cell>
          <cell r="X117" t="e">
            <v>#REF!</v>
          </cell>
          <cell r="Y117" t="e">
            <v>#REF!</v>
          </cell>
          <cell r="Z117" t="e">
            <v>#REF!</v>
          </cell>
          <cell r="AA117" t="e">
            <v>#REF!</v>
          </cell>
          <cell r="AB117" t="e">
            <v>#REF!</v>
          </cell>
          <cell r="AC117" t="e">
            <v>#REF!</v>
          </cell>
          <cell r="AD117" t="e">
            <v>#REF!</v>
          </cell>
          <cell r="AE117" t="e">
            <v>#REF!</v>
          </cell>
          <cell r="AF117" t="e">
            <v>#REF!</v>
          </cell>
          <cell r="AG117" t="e">
            <v>#REF!</v>
          </cell>
          <cell r="AH117" t="e">
            <v>#REF!</v>
          </cell>
          <cell r="AI117" t="e">
            <v>#REF!</v>
          </cell>
          <cell r="AJ117" t="e">
            <v>#REF!</v>
          </cell>
          <cell r="AK117" t="e">
            <v>#REF!</v>
          </cell>
          <cell r="AL117" t="e">
            <v>#REF!</v>
          </cell>
          <cell r="AM117" t="e">
            <v>#REF!</v>
          </cell>
          <cell r="AN117" t="e">
            <v>#REF!</v>
          </cell>
          <cell r="AO117" t="e">
            <v>#REF!</v>
          </cell>
          <cell r="AP117" t="e">
            <v>#REF!</v>
          </cell>
          <cell r="AQ117" t="e">
            <v>#REF!</v>
          </cell>
          <cell r="AR117" t="e">
            <v>#REF!</v>
          </cell>
          <cell r="AS117" t="e">
            <v>#REF!</v>
          </cell>
          <cell r="AT117" t="e">
            <v>#REF!</v>
          </cell>
          <cell r="AU117" t="e">
            <v>#REF!</v>
          </cell>
          <cell r="AV117" t="e">
            <v>#REF!</v>
          </cell>
          <cell r="AW117" t="e">
            <v>#REF!</v>
          </cell>
          <cell r="AX117" t="e">
            <v>#REF!</v>
          </cell>
          <cell r="AY117" t="e">
            <v>#REF!</v>
          </cell>
          <cell r="AZ117" t="e">
            <v>#REF!</v>
          </cell>
          <cell r="BA117" t="e">
            <v>#REF!</v>
          </cell>
          <cell r="BB117" t="e">
            <v>#REF!</v>
          </cell>
          <cell r="BC117" t="e">
            <v>#REF!</v>
          </cell>
          <cell r="BD117" t="e">
            <v>#REF!</v>
          </cell>
          <cell r="BE117" t="e">
            <v>#REF!</v>
          </cell>
          <cell r="BF117" t="e">
            <v>#REF!</v>
          </cell>
          <cell r="BG117" t="e">
            <v>#REF!</v>
          </cell>
          <cell r="BH117" t="e">
            <v>#REF!</v>
          </cell>
          <cell r="BI117" t="e">
            <v>#REF!</v>
          </cell>
          <cell r="BJ117" t="e">
            <v>#REF!</v>
          </cell>
          <cell r="BK117" t="e">
            <v>#REF!</v>
          </cell>
          <cell r="BL117" t="e">
            <v>#REF!</v>
          </cell>
          <cell r="BM117" t="e">
            <v>#REF!</v>
          </cell>
          <cell r="BN117" t="e">
            <v>#REF!</v>
          </cell>
          <cell r="BO117" t="e">
            <v>#REF!</v>
          </cell>
          <cell r="BP117" t="e">
            <v>#REF!</v>
          </cell>
          <cell r="BQ117" t="e">
            <v>#REF!</v>
          </cell>
          <cell r="BR117" t="e">
            <v>#REF!</v>
          </cell>
          <cell r="BS117" t="e">
            <v>#REF!</v>
          </cell>
          <cell r="BT117" t="e">
            <v>#REF!</v>
          </cell>
          <cell r="BU117" t="e">
            <v>#REF!</v>
          </cell>
        </row>
        <row r="118">
          <cell r="A118" t="str">
            <v>11107RET</v>
          </cell>
          <cell r="B118">
            <v>11107</v>
          </cell>
          <cell r="C118" t="str">
            <v>RET</v>
          </cell>
          <cell r="D118" t="e">
            <v>#REF!</v>
          </cell>
          <cell r="E118" t="e">
            <v>#REF!</v>
          </cell>
          <cell r="F118" t="e">
            <v>#REF!</v>
          </cell>
          <cell r="G118" t="str">
            <v>N</v>
          </cell>
          <cell r="M118" t="e">
            <v>#REF!</v>
          </cell>
          <cell r="N118" t="e">
            <v>#REF!</v>
          </cell>
          <cell r="O118" t="e">
            <v>#REF!</v>
          </cell>
          <cell r="P118" t="e">
            <v>#REF!</v>
          </cell>
          <cell r="Q118" t="e">
            <v>#REF!</v>
          </cell>
          <cell r="R118" t="e">
            <v>#REF!</v>
          </cell>
          <cell r="S118" t="e">
            <v>#REF!</v>
          </cell>
          <cell r="T118" t="e">
            <v>#REF!</v>
          </cell>
          <cell r="U118" t="e">
            <v>#REF!</v>
          </cell>
          <cell r="V118" t="e">
            <v>#REF!</v>
          </cell>
          <cell r="W118" t="e">
            <v>#REF!</v>
          </cell>
          <cell r="X118" t="e">
            <v>#REF!</v>
          </cell>
          <cell r="Y118" t="e">
            <v>#REF!</v>
          </cell>
          <cell r="Z118" t="e">
            <v>#REF!</v>
          </cell>
          <cell r="AA118" t="e">
            <v>#REF!</v>
          </cell>
          <cell r="AB118" t="e">
            <v>#REF!</v>
          </cell>
          <cell r="AC118" t="e">
            <v>#REF!</v>
          </cell>
          <cell r="AD118" t="e">
            <v>#REF!</v>
          </cell>
          <cell r="AE118" t="e">
            <v>#REF!</v>
          </cell>
          <cell r="AF118" t="e">
            <v>#REF!</v>
          </cell>
          <cell r="AG118" t="e">
            <v>#REF!</v>
          </cell>
          <cell r="AH118" t="e">
            <v>#REF!</v>
          </cell>
          <cell r="AI118" t="e">
            <v>#REF!</v>
          </cell>
          <cell r="AJ118" t="e">
            <v>#REF!</v>
          </cell>
          <cell r="AK118" t="e">
            <v>#REF!</v>
          </cell>
          <cell r="AL118" t="e">
            <v>#REF!</v>
          </cell>
          <cell r="AM118" t="e">
            <v>#REF!</v>
          </cell>
          <cell r="AN118" t="e">
            <v>#REF!</v>
          </cell>
          <cell r="AO118" t="e">
            <v>#REF!</v>
          </cell>
          <cell r="AP118" t="e">
            <v>#REF!</v>
          </cell>
          <cell r="AQ118" t="e">
            <v>#REF!</v>
          </cell>
          <cell r="AR118" t="e">
            <v>#REF!</v>
          </cell>
          <cell r="AS118" t="e">
            <v>#REF!</v>
          </cell>
          <cell r="AT118" t="e">
            <v>#REF!</v>
          </cell>
          <cell r="AU118" t="e">
            <v>#REF!</v>
          </cell>
          <cell r="AV118" t="e">
            <v>#REF!</v>
          </cell>
          <cell r="AW118" t="e">
            <v>#REF!</v>
          </cell>
          <cell r="AX118" t="e">
            <v>#REF!</v>
          </cell>
          <cell r="AY118" t="e">
            <v>#REF!</v>
          </cell>
          <cell r="AZ118" t="e">
            <v>#REF!</v>
          </cell>
          <cell r="BA118" t="e">
            <v>#REF!</v>
          </cell>
          <cell r="BB118" t="e">
            <v>#REF!</v>
          </cell>
          <cell r="BC118" t="e">
            <v>#REF!</v>
          </cell>
          <cell r="BD118" t="e">
            <v>#REF!</v>
          </cell>
          <cell r="BE118" t="e">
            <v>#REF!</v>
          </cell>
          <cell r="BF118" t="e">
            <v>#REF!</v>
          </cell>
          <cell r="BG118" t="e">
            <v>#REF!</v>
          </cell>
          <cell r="BH118" t="e">
            <v>#REF!</v>
          </cell>
          <cell r="BI118" t="e">
            <v>#REF!</v>
          </cell>
          <cell r="BJ118" t="e">
            <v>#REF!</v>
          </cell>
          <cell r="BK118" t="e">
            <v>#REF!</v>
          </cell>
          <cell r="BL118" t="e">
            <v>#REF!</v>
          </cell>
          <cell r="BM118" t="e">
            <v>#REF!</v>
          </cell>
          <cell r="BN118" t="e">
            <v>#REF!</v>
          </cell>
          <cell r="BO118" t="e">
            <v>#REF!</v>
          </cell>
          <cell r="BP118" t="e">
            <v>#REF!</v>
          </cell>
          <cell r="BQ118" t="e">
            <v>#REF!</v>
          </cell>
          <cell r="BR118" t="e">
            <v>#REF!</v>
          </cell>
          <cell r="BS118" t="e">
            <v>#REF!</v>
          </cell>
          <cell r="BT118" t="e">
            <v>#REF!</v>
          </cell>
          <cell r="BU118" t="e">
            <v>#REF!</v>
          </cell>
        </row>
        <row r="119">
          <cell r="A119" t="str">
            <v>11107RET</v>
          </cell>
          <cell r="B119">
            <v>11107</v>
          </cell>
          <cell r="C119" t="str">
            <v>RET</v>
          </cell>
          <cell r="D119" t="str">
            <v>Water Heating</v>
          </cell>
          <cell r="E119" t="str">
            <v>Water Heater Setback, Gas DHW</v>
          </cell>
          <cell r="F119" t="str">
            <v>R</v>
          </cell>
          <cell r="G119" t="str">
            <v>N</v>
          </cell>
          <cell r="M119" t="str">
            <v>RET</v>
          </cell>
          <cell r="N119" t="str">
            <v>Water heater with set point temperature of 130°F</v>
          </cell>
          <cell r="O119">
            <v>2021</v>
          </cell>
          <cell r="P119">
            <v>2030</v>
          </cell>
          <cell r="Q119" t="str">
            <v>Single Family</v>
          </cell>
          <cell r="R119" t="str">
            <v>per water heater</v>
          </cell>
          <cell r="S119">
            <v>0</v>
          </cell>
          <cell r="T119">
            <v>0</v>
          </cell>
          <cell r="U119">
            <v>0</v>
          </cell>
          <cell r="V119">
            <v>0.64379292263999988</v>
          </cell>
          <cell r="W119">
            <v>0.04</v>
          </cell>
          <cell r="X119" t="str">
            <v>-</v>
          </cell>
          <cell r="Y119">
            <v>7</v>
          </cell>
          <cell r="Z119">
            <v>7</v>
          </cell>
          <cell r="AA119">
            <v>0</v>
          </cell>
          <cell r="AB119">
            <v>0</v>
          </cell>
          <cell r="AC119">
            <v>0</v>
          </cell>
          <cell r="AD119">
            <v>0</v>
          </cell>
          <cell r="AE119" t="str">
            <v/>
          </cell>
          <cell r="AF119" t="str">
            <v/>
          </cell>
          <cell r="AG119">
            <v>0</v>
          </cell>
          <cell r="AH119">
            <v>0</v>
          </cell>
          <cell r="AI119">
            <v>0</v>
          </cell>
          <cell r="AJ119">
            <v>0</v>
          </cell>
          <cell r="AK119">
            <v>0</v>
          </cell>
          <cell r="AL119" t="str">
            <v>-</v>
          </cell>
          <cell r="AM119" t="str">
            <v>-</v>
          </cell>
          <cell r="AN119" t="str">
            <v/>
          </cell>
          <cell r="AO119">
            <v>0</v>
          </cell>
          <cell r="AP119" t="str">
            <v>-</v>
          </cell>
          <cell r="AQ119">
            <v>0</v>
          </cell>
          <cell r="AR119" t="str">
            <v>-</v>
          </cell>
          <cell r="AS119">
            <v>0</v>
          </cell>
          <cell r="AT119" t="str">
            <v/>
          </cell>
          <cell r="AU119">
            <v>0</v>
          </cell>
          <cell r="AV119" t="str">
            <v>-</v>
          </cell>
          <cell r="AW119">
            <v>0</v>
          </cell>
          <cell r="AX119" t="str">
            <v>-</v>
          </cell>
          <cell r="AY119">
            <v>0</v>
          </cell>
          <cell r="AZ119" t="str">
            <v/>
          </cell>
          <cell r="BA119">
            <v>0</v>
          </cell>
          <cell r="BB119" t="str">
            <v>-</v>
          </cell>
          <cell r="BC119">
            <v>0</v>
          </cell>
          <cell r="BD119" t="str">
            <v>-</v>
          </cell>
          <cell r="BE119">
            <v>0</v>
          </cell>
          <cell r="BF119" t="str">
            <v/>
          </cell>
          <cell r="BG119">
            <v>0</v>
          </cell>
          <cell r="BH119" t="str">
            <v>-</v>
          </cell>
          <cell r="BI119">
            <v>0</v>
          </cell>
          <cell r="BJ119" t="str">
            <v>-</v>
          </cell>
          <cell r="BK119">
            <v>0</v>
          </cell>
          <cell r="BL119">
            <v>0</v>
          </cell>
          <cell r="BM119" t="str">
            <v>-</v>
          </cell>
          <cell r="BN119">
            <v>2</v>
          </cell>
          <cell r="BO119" t="str">
            <v/>
          </cell>
          <cell r="BP119">
            <v>0</v>
          </cell>
          <cell r="BQ119">
            <v>0</v>
          </cell>
          <cell r="BR119" t="str">
            <v>-</v>
          </cell>
          <cell r="BS119">
            <v>0</v>
          </cell>
          <cell r="BT119">
            <v>0</v>
          </cell>
          <cell r="BU119" t="str">
            <v>-</v>
          </cell>
        </row>
        <row r="120">
          <cell r="A120" t="str">
            <v>11108RET</v>
          </cell>
          <cell r="B120">
            <v>11108</v>
          </cell>
          <cell r="C120" t="str">
            <v>RET</v>
          </cell>
          <cell r="D120" t="str">
            <v>Water Heating</v>
          </cell>
          <cell r="E120" t="str">
            <v>Water Heater Setback, Gas DHW</v>
          </cell>
          <cell r="F120" t="str">
            <v>R</v>
          </cell>
          <cell r="G120" t="str">
            <v>N</v>
          </cell>
          <cell r="M120" t="str">
            <v>RET</v>
          </cell>
          <cell r="N120" t="str">
            <v>Water heater with set point temperature of 130°F</v>
          </cell>
          <cell r="O120">
            <v>2021</v>
          </cell>
          <cell r="P120">
            <v>2030</v>
          </cell>
          <cell r="Q120" t="str">
            <v>Multifamily</v>
          </cell>
          <cell r="R120" t="str">
            <v>per water heater</v>
          </cell>
          <cell r="S120">
            <v>0</v>
          </cell>
          <cell r="T120">
            <v>0</v>
          </cell>
          <cell r="U120">
            <v>0</v>
          </cell>
          <cell r="V120">
            <v>0.49444456445999996</v>
          </cell>
          <cell r="W120">
            <v>0.04</v>
          </cell>
          <cell r="X120" t="str">
            <v>-</v>
          </cell>
          <cell r="Y120" t="str">
            <v>8,7</v>
          </cell>
          <cell r="Z120" t="str">
            <v>8,7</v>
          </cell>
          <cell r="AA120">
            <v>0</v>
          </cell>
          <cell r="AB120">
            <v>0</v>
          </cell>
          <cell r="AC120">
            <v>0</v>
          </cell>
          <cell r="AD120">
            <v>0</v>
          </cell>
          <cell r="AE120">
            <v>8</v>
          </cell>
          <cell r="AF120">
            <v>8</v>
          </cell>
          <cell r="AG120">
            <v>0</v>
          </cell>
          <cell r="AH120">
            <v>0</v>
          </cell>
          <cell r="AI120">
            <v>0</v>
          </cell>
          <cell r="AJ120">
            <v>0</v>
          </cell>
          <cell r="AK120">
            <v>0</v>
          </cell>
          <cell r="AL120" t="str">
            <v>-</v>
          </cell>
          <cell r="AM120" t="str">
            <v>-</v>
          </cell>
          <cell r="AN120" t="str">
            <v/>
          </cell>
          <cell r="AO120">
            <v>0</v>
          </cell>
          <cell r="AP120" t="str">
            <v>-</v>
          </cell>
          <cell r="AQ120">
            <v>0</v>
          </cell>
          <cell r="AR120" t="str">
            <v>-</v>
          </cell>
          <cell r="AS120">
            <v>0</v>
          </cell>
          <cell r="AT120" t="str">
            <v/>
          </cell>
          <cell r="AU120">
            <v>0</v>
          </cell>
          <cell r="AV120" t="str">
            <v>-</v>
          </cell>
          <cell r="AW120">
            <v>0</v>
          </cell>
          <cell r="AX120" t="str">
            <v>-</v>
          </cell>
          <cell r="AY120">
            <v>0</v>
          </cell>
          <cell r="AZ120" t="str">
            <v/>
          </cell>
          <cell r="BA120">
            <v>0</v>
          </cell>
          <cell r="BB120" t="str">
            <v>-</v>
          </cell>
          <cell r="BC120">
            <v>0</v>
          </cell>
          <cell r="BD120" t="str">
            <v>-</v>
          </cell>
          <cell r="BE120">
            <v>0</v>
          </cell>
          <cell r="BF120" t="str">
            <v/>
          </cell>
          <cell r="BG120">
            <v>0</v>
          </cell>
          <cell r="BH120" t="str">
            <v>-</v>
          </cell>
          <cell r="BI120">
            <v>0</v>
          </cell>
          <cell r="BJ120" t="str">
            <v>-</v>
          </cell>
          <cell r="BK120">
            <v>0</v>
          </cell>
          <cell r="BL120">
            <v>0</v>
          </cell>
          <cell r="BM120" t="str">
            <v>-</v>
          </cell>
          <cell r="BN120">
            <v>2</v>
          </cell>
          <cell r="BO120" t="str">
            <v/>
          </cell>
          <cell r="BP120">
            <v>0</v>
          </cell>
          <cell r="BQ120">
            <v>0</v>
          </cell>
          <cell r="BR120" t="str">
            <v>-</v>
          </cell>
          <cell r="BS120">
            <v>0</v>
          </cell>
          <cell r="BT120">
            <v>0</v>
          </cell>
          <cell r="BU120" t="str">
            <v>-</v>
          </cell>
        </row>
        <row r="121">
          <cell r="A121" t="str">
            <v>11109RET</v>
          </cell>
          <cell r="B121">
            <v>11109</v>
          </cell>
          <cell r="C121" t="str">
            <v>RET</v>
          </cell>
          <cell r="D121" t="e">
            <v>#REF!</v>
          </cell>
          <cell r="E121" t="e">
            <v>#REF!</v>
          </cell>
          <cell r="F121" t="e">
            <v>#REF!</v>
          </cell>
          <cell r="G121" t="str">
            <v>Y</v>
          </cell>
          <cell r="M121" t="e">
            <v>#REF!</v>
          </cell>
          <cell r="N121" t="e">
            <v>#REF!</v>
          </cell>
          <cell r="O121" t="e">
            <v>#REF!</v>
          </cell>
          <cell r="P121" t="e">
            <v>#REF!</v>
          </cell>
          <cell r="Q121" t="e">
            <v>#REF!</v>
          </cell>
          <cell r="R121" t="e">
            <v>#REF!</v>
          </cell>
          <cell r="S121" t="e">
            <v>#REF!</v>
          </cell>
          <cell r="T121" t="e">
            <v>#REF!</v>
          </cell>
          <cell r="U121" t="e">
            <v>#REF!</v>
          </cell>
          <cell r="V121" t="e">
            <v>#REF!</v>
          </cell>
          <cell r="W121" t="e">
            <v>#REF!</v>
          </cell>
          <cell r="X121" t="e">
            <v>#REF!</v>
          </cell>
          <cell r="Y121" t="e">
            <v>#REF!</v>
          </cell>
          <cell r="Z121" t="e">
            <v>#REF!</v>
          </cell>
          <cell r="AA121" t="e">
            <v>#REF!</v>
          </cell>
          <cell r="AB121" t="e">
            <v>#REF!</v>
          </cell>
          <cell r="AC121" t="e">
            <v>#REF!</v>
          </cell>
          <cell r="AD121" t="e">
            <v>#REF!</v>
          </cell>
          <cell r="AE121" t="e">
            <v>#REF!</v>
          </cell>
          <cell r="AF121" t="e">
            <v>#REF!</v>
          </cell>
          <cell r="AG121" t="e">
            <v>#REF!</v>
          </cell>
          <cell r="AH121" t="e">
            <v>#REF!</v>
          </cell>
          <cell r="AI121" t="e">
            <v>#REF!</v>
          </cell>
          <cell r="AJ121" t="e">
            <v>#REF!</v>
          </cell>
          <cell r="AK121" t="e">
            <v>#REF!</v>
          </cell>
          <cell r="AL121" t="e">
            <v>#REF!</v>
          </cell>
          <cell r="AM121" t="e">
            <v>#REF!</v>
          </cell>
          <cell r="AN121" t="e">
            <v>#REF!</v>
          </cell>
          <cell r="AO121" t="e">
            <v>#REF!</v>
          </cell>
          <cell r="AP121" t="e">
            <v>#REF!</v>
          </cell>
          <cell r="AQ121" t="e">
            <v>#REF!</v>
          </cell>
          <cell r="AR121" t="e">
            <v>#REF!</v>
          </cell>
          <cell r="AS121" t="e">
            <v>#REF!</v>
          </cell>
          <cell r="AT121" t="e">
            <v>#REF!</v>
          </cell>
          <cell r="AU121" t="e">
            <v>#REF!</v>
          </cell>
          <cell r="AV121" t="e">
            <v>#REF!</v>
          </cell>
          <cell r="AW121" t="e">
            <v>#REF!</v>
          </cell>
          <cell r="AX121" t="e">
            <v>#REF!</v>
          </cell>
          <cell r="AY121" t="e">
            <v>#REF!</v>
          </cell>
          <cell r="AZ121" t="e">
            <v>#REF!</v>
          </cell>
          <cell r="BA121" t="e">
            <v>#REF!</v>
          </cell>
          <cell r="BB121" t="e">
            <v>#REF!</v>
          </cell>
          <cell r="BC121" t="e">
            <v>#REF!</v>
          </cell>
          <cell r="BD121" t="e">
            <v>#REF!</v>
          </cell>
          <cell r="BE121" t="e">
            <v>#REF!</v>
          </cell>
          <cell r="BF121" t="e">
            <v>#REF!</v>
          </cell>
          <cell r="BG121" t="e">
            <v>#REF!</v>
          </cell>
          <cell r="BH121" t="e">
            <v>#REF!</v>
          </cell>
          <cell r="BI121" t="e">
            <v>#REF!</v>
          </cell>
          <cell r="BJ121" t="e">
            <v>#REF!</v>
          </cell>
          <cell r="BK121" t="e">
            <v>#REF!</v>
          </cell>
          <cell r="BL121" t="e">
            <v>#REF!</v>
          </cell>
          <cell r="BM121" t="e">
            <v>#REF!</v>
          </cell>
          <cell r="BN121" t="e">
            <v>#REF!</v>
          </cell>
          <cell r="BO121" t="e">
            <v>#REF!</v>
          </cell>
          <cell r="BP121" t="e">
            <v>#REF!</v>
          </cell>
          <cell r="BQ121" t="e">
            <v>#REF!</v>
          </cell>
          <cell r="BR121" t="e">
            <v>#REF!</v>
          </cell>
          <cell r="BS121" t="e">
            <v>#REF!</v>
          </cell>
          <cell r="BT121" t="e">
            <v>#REF!</v>
          </cell>
          <cell r="BU121" t="e">
            <v>#REF!</v>
          </cell>
        </row>
        <row r="122">
          <cell r="A122" t="str">
            <v>11110RET</v>
          </cell>
          <cell r="B122">
            <v>11110</v>
          </cell>
          <cell r="C122" t="str">
            <v>RET</v>
          </cell>
          <cell r="D122" t="str">
            <v>Water Heating</v>
          </cell>
          <cell r="E122" t="str">
            <v>Therm Restrict Valve, Gas DHW</v>
          </cell>
          <cell r="F122" t="str">
            <v>R</v>
          </cell>
          <cell r="G122" t="str">
            <v>N</v>
          </cell>
          <cell r="M122" t="str">
            <v>RET</v>
          </cell>
          <cell r="N122" t="str">
            <v>Shower with no thermostatic restriction valve</v>
          </cell>
          <cell r="O122">
            <v>2021</v>
          </cell>
          <cell r="P122">
            <v>2030</v>
          </cell>
          <cell r="Q122" t="str">
            <v>Single Family</v>
          </cell>
          <cell r="R122" t="str">
            <v>per shower</v>
          </cell>
          <cell r="S122">
            <v>0</v>
          </cell>
          <cell r="T122">
            <v>0</v>
          </cell>
          <cell r="U122">
            <v>0</v>
          </cell>
          <cell r="V122">
            <v>0.32006268017872719</v>
          </cell>
          <cell r="W122">
            <v>0.12051282051282047</v>
          </cell>
          <cell r="X122" t="str">
            <v>-</v>
          </cell>
          <cell r="Y122" t="str">
            <v>8,7</v>
          </cell>
          <cell r="Z122" t="str">
            <v>8,7</v>
          </cell>
          <cell r="AA122">
            <v>30</v>
          </cell>
          <cell r="AB122">
            <v>0</v>
          </cell>
          <cell r="AC122">
            <v>30</v>
          </cell>
          <cell r="AD122">
            <v>93.731640262612331</v>
          </cell>
          <cell r="AE122">
            <v>8</v>
          </cell>
          <cell r="AF122">
            <v>8</v>
          </cell>
          <cell r="AG122">
            <v>0</v>
          </cell>
          <cell r="AH122">
            <v>0</v>
          </cell>
          <cell r="AI122">
            <v>0</v>
          </cell>
          <cell r="AJ122">
            <v>0</v>
          </cell>
          <cell r="AK122">
            <v>0</v>
          </cell>
          <cell r="AL122" t="str">
            <v>-</v>
          </cell>
          <cell r="AM122" t="str">
            <v>-</v>
          </cell>
          <cell r="AN122" t="str">
            <v/>
          </cell>
          <cell r="AO122">
            <v>0</v>
          </cell>
          <cell r="AP122" t="str">
            <v>-</v>
          </cell>
          <cell r="AQ122">
            <v>0</v>
          </cell>
          <cell r="AR122" t="str">
            <v>-</v>
          </cell>
          <cell r="AS122">
            <v>0</v>
          </cell>
          <cell r="AT122" t="str">
            <v/>
          </cell>
          <cell r="AU122">
            <v>0</v>
          </cell>
          <cell r="AV122" t="str">
            <v>-</v>
          </cell>
          <cell r="AW122">
            <v>0</v>
          </cell>
          <cell r="AX122" t="str">
            <v>-</v>
          </cell>
          <cell r="AY122">
            <v>0</v>
          </cell>
          <cell r="AZ122" t="str">
            <v/>
          </cell>
          <cell r="BA122">
            <v>0</v>
          </cell>
          <cell r="BB122" t="str">
            <v>-</v>
          </cell>
          <cell r="BC122">
            <v>0</v>
          </cell>
          <cell r="BD122" t="str">
            <v>-</v>
          </cell>
          <cell r="BE122">
            <v>0</v>
          </cell>
          <cell r="BF122" t="str">
            <v/>
          </cell>
          <cell r="BG122">
            <v>0</v>
          </cell>
          <cell r="BH122" t="str">
            <v>-</v>
          </cell>
          <cell r="BI122">
            <v>0</v>
          </cell>
          <cell r="BJ122" t="str">
            <v>-</v>
          </cell>
          <cell r="BK122">
            <v>0</v>
          </cell>
          <cell r="BL122">
            <v>0</v>
          </cell>
          <cell r="BM122" t="str">
            <v>-</v>
          </cell>
          <cell r="BN122">
            <v>10</v>
          </cell>
          <cell r="BO122" t="str">
            <v/>
          </cell>
          <cell r="BP122">
            <v>0</v>
          </cell>
          <cell r="BQ122">
            <v>0</v>
          </cell>
          <cell r="BR122" t="str">
            <v>-</v>
          </cell>
          <cell r="BS122">
            <v>0</v>
          </cell>
          <cell r="BT122">
            <v>0</v>
          </cell>
          <cell r="BU122" t="str">
            <v>-</v>
          </cell>
        </row>
        <row r="123">
          <cell r="A123" t="str">
            <v>11111RET</v>
          </cell>
          <cell r="B123">
            <v>11111</v>
          </cell>
          <cell r="C123" t="str">
            <v>RET</v>
          </cell>
          <cell r="D123" t="str">
            <v>Water Heating</v>
          </cell>
          <cell r="E123" t="str">
            <v>Therm Restrict Valve, Gas DHW</v>
          </cell>
          <cell r="F123" t="str">
            <v>R</v>
          </cell>
          <cell r="G123" t="str">
            <v>N</v>
          </cell>
          <cell r="M123" t="str">
            <v>RET</v>
          </cell>
          <cell r="N123" t="str">
            <v>Shower with no thermostatic restriction valve</v>
          </cell>
          <cell r="O123">
            <v>2021</v>
          </cell>
          <cell r="P123">
            <v>2030</v>
          </cell>
          <cell r="Q123" t="str">
            <v>Multifamily</v>
          </cell>
          <cell r="R123" t="str">
            <v>per shower</v>
          </cell>
          <cell r="S123">
            <v>0</v>
          </cell>
          <cell r="T123">
            <v>0</v>
          </cell>
          <cell r="U123">
            <v>0</v>
          </cell>
          <cell r="V123">
            <v>0.36923655141616585</v>
          </cell>
          <cell r="W123">
            <v>0.12051282051282051</v>
          </cell>
          <cell r="X123" t="str">
            <v>-</v>
          </cell>
          <cell r="Y123" t="str">
            <v>8,7</v>
          </cell>
          <cell r="Z123" t="str">
            <v>8,7</v>
          </cell>
          <cell r="AA123">
            <v>30</v>
          </cell>
          <cell r="AB123">
            <v>0</v>
          </cell>
          <cell r="AC123">
            <v>30</v>
          </cell>
          <cell r="AD123">
            <v>81.248727637982554</v>
          </cell>
          <cell r="AE123">
            <v>8</v>
          </cell>
          <cell r="AF123">
            <v>8</v>
          </cell>
          <cell r="AG123">
            <v>0</v>
          </cell>
          <cell r="AH123">
            <v>0</v>
          </cell>
          <cell r="AI123">
            <v>0</v>
          </cell>
          <cell r="AJ123">
            <v>0</v>
          </cell>
          <cell r="AK123">
            <v>0</v>
          </cell>
          <cell r="AL123" t="str">
            <v>-</v>
          </cell>
          <cell r="AM123" t="str">
            <v>-</v>
          </cell>
          <cell r="AN123" t="str">
            <v/>
          </cell>
          <cell r="AO123">
            <v>0</v>
          </cell>
          <cell r="AP123" t="str">
            <v>-</v>
          </cell>
          <cell r="AQ123">
            <v>0</v>
          </cell>
          <cell r="AR123" t="str">
            <v>-</v>
          </cell>
          <cell r="AS123">
            <v>0</v>
          </cell>
          <cell r="AT123" t="str">
            <v/>
          </cell>
          <cell r="AU123">
            <v>0</v>
          </cell>
          <cell r="AV123" t="str">
            <v>-</v>
          </cell>
          <cell r="AW123">
            <v>0</v>
          </cell>
          <cell r="AX123" t="str">
            <v>-</v>
          </cell>
          <cell r="AY123">
            <v>0</v>
          </cell>
          <cell r="AZ123" t="str">
            <v/>
          </cell>
          <cell r="BA123">
            <v>0</v>
          </cell>
          <cell r="BB123" t="str">
            <v>-</v>
          </cell>
          <cell r="BC123">
            <v>0</v>
          </cell>
          <cell r="BD123" t="str">
            <v>-</v>
          </cell>
          <cell r="BE123">
            <v>0</v>
          </cell>
          <cell r="BF123" t="str">
            <v/>
          </cell>
          <cell r="BG123">
            <v>0</v>
          </cell>
          <cell r="BH123" t="str">
            <v>-</v>
          </cell>
          <cell r="BI123">
            <v>0</v>
          </cell>
          <cell r="BJ123" t="str">
            <v>-</v>
          </cell>
          <cell r="BK123">
            <v>0</v>
          </cell>
          <cell r="BL123">
            <v>0</v>
          </cell>
          <cell r="BM123" t="str">
            <v>-</v>
          </cell>
          <cell r="BN123">
            <v>10</v>
          </cell>
          <cell r="BO123" t="str">
            <v/>
          </cell>
          <cell r="BP123">
            <v>0</v>
          </cell>
          <cell r="BQ123">
            <v>0</v>
          </cell>
          <cell r="BR123" t="str">
            <v>-</v>
          </cell>
          <cell r="BS123">
            <v>0</v>
          </cell>
          <cell r="BT123">
            <v>0</v>
          </cell>
          <cell r="BU123" t="str">
            <v>-</v>
          </cell>
        </row>
        <row r="124">
          <cell r="A124" t="str">
            <v>11112RET</v>
          </cell>
          <cell r="B124">
            <v>11112</v>
          </cell>
          <cell r="C124" t="str">
            <v>RET</v>
          </cell>
          <cell r="D124" t="e">
            <v>#REF!</v>
          </cell>
          <cell r="E124" t="e">
            <v>#REF!</v>
          </cell>
          <cell r="F124" t="e">
            <v>#REF!</v>
          </cell>
          <cell r="G124" t="str">
            <v>Y</v>
          </cell>
          <cell r="M124" t="e">
            <v>#REF!</v>
          </cell>
          <cell r="N124" t="e">
            <v>#REF!</v>
          </cell>
          <cell r="O124" t="e">
            <v>#REF!</v>
          </cell>
          <cell r="P124" t="e">
            <v>#REF!</v>
          </cell>
          <cell r="Q124" t="e">
            <v>#REF!</v>
          </cell>
          <cell r="R124" t="e">
            <v>#REF!</v>
          </cell>
          <cell r="S124" t="e">
            <v>#REF!</v>
          </cell>
          <cell r="T124" t="e">
            <v>#REF!</v>
          </cell>
          <cell r="U124" t="e">
            <v>#REF!</v>
          </cell>
          <cell r="V124" t="e">
            <v>#REF!</v>
          </cell>
          <cell r="W124" t="e">
            <v>#REF!</v>
          </cell>
          <cell r="X124" t="e">
            <v>#REF!</v>
          </cell>
          <cell r="Y124" t="e">
            <v>#REF!</v>
          </cell>
          <cell r="Z124" t="e">
            <v>#REF!</v>
          </cell>
          <cell r="AA124" t="e">
            <v>#REF!</v>
          </cell>
          <cell r="AB124" t="e">
            <v>#REF!</v>
          </cell>
          <cell r="AC124" t="e">
            <v>#REF!</v>
          </cell>
          <cell r="AD124" t="e">
            <v>#REF!</v>
          </cell>
          <cell r="AE124" t="e">
            <v>#REF!</v>
          </cell>
          <cell r="AF124" t="e">
            <v>#REF!</v>
          </cell>
          <cell r="AG124" t="e">
            <v>#REF!</v>
          </cell>
          <cell r="AH124" t="e">
            <v>#REF!</v>
          </cell>
          <cell r="AI124" t="e">
            <v>#REF!</v>
          </cell>
          <cell r="AJ124" t="e">
            <v>#REF!</v>
          </cell>
          <cell r="AK124" t="e">
            <v>#REF!</v>
          </cell>
          <cell r="AL124" t="e">
            <v>#REF!</v>
          </cell>
          <cell r="AM124" t="e">
            <v>#REF!</v>
          </cell>
          <cell r="AN124" t="e">
            <v>#REF!</v>
          </cell>
          <cell r="AO124" t="e">
            <v>#REF!</v>
          </cell>
          <cell r="AP124" t="e">
            <v>#REF!</v>
          </cell>
          <cell r="AQ124" t="e">
            <v>#REF!</v>
          </cell>
          <cell r="AR124" t="e">
            <v>#REF!</v>
          </cell>
          <cell r="AS124" t="e">
            <v>#REF!</v>
          </cell>
          <cell r="AT124" t="e">
            <v>#REF!</v>
          </cell>
          <cell r="AU124" t="e">
            <v>#REF!</v>
          </cell>
          <cell r="AV124" t="e">
            <v>#REF!</v>
          </cell>
          <cell r="AW124" t="e">
            <v>#REF!</v>
          </cell>
          <cell r="AX124" t="e">
            <v>#REF!</v>
          </cell>
          <cell r="AY124" t="e">
            <v>#REF!</v>
          </cell>
          <cell r="AZ124" t="e">
            <v>#REF!</v>
          </cell>
          <cell r="BA124" t="e">
            <v>#REF!</v>
          </cell>
          <cell r="BB124" t="e">
            <v>#REF!</v>
          </cell>
          <cell r="BC124" t="e">
            <v>#REF!</v>
          </cell>
          <cell r="BD124" t="e">
            <v>#REF!</v>
          </cell>
          <cell r="BE124" t="e">
            <v>#REF!</v>
          </cell>
          <cell r="BF124" t="e">
            <v>#REF!</v>
          </cell>
          <cell r="BG124" t="e">
            <v>#REF!</v>
          </cell>
          <cell r="BH124" t="e">
            <v>#REF!</v>
          </cell>
          <cell r="BI124" t="e">
            <v>#REF!</v>
          </cell>
          <cell r="BJ124" t="e">
            <v>#REF!</v>
          </cell>
          <cell r="BK124" t="e">
            <v>#REF!</v>
          </cell>
          <cell r="BL124" t="e">
            <v>#REF!</v>
          </cell>
          <cell r="BM124" t="e">
            <v>#REF!</v>
          </cell>
          <cell r="BN124" t="e">
            <v>#REF!</v>
          </cell>
          <cell r="BO124" t="e">
            <v>#REF!</v>
          </cell>
          <cell r="BP124" t="e">
            <v>#REF!</v>
          </cell>
          <cell r="BQ124" t="e">
            <v>#REF!</v>
          </cell>
          <cell r="BR124" t="e">
            <v>#REF!</v>
          </cell>
          <cell r="BS124" t="e">
            <v>#REF!</v>
          </cell>
          <cell r="BT124" t="e">
            <v>#REF!</v>
          </cell>
          <cell r="BU124" t="e">
            <v>#REF!</v>
          </cell>
        </row>
        <row r="125">
          <cell r="A125" t="str">
            <v>11113RET</v>
          </cell>
          <cell r="B125">
            <v>11113</v>
          </cell>
          <cell r="C125" t="str">
            <v>RET</v>
          </cell>
          <cell r="D125" t="str">
            <v>Water Heating</v>
          </cell>
          <cell r="E125" t="str">
            <v>Water Heater Drainpipe Heat Exchange, Gas</v>
          </cell>
          <cell r="F125" t="str">
            <v>R</v>
          </cell>
          <cell r="G125" t="str">
            <v>N</v>
          </cell>
          <cell r="M125" t="str">
            <v>RET</v>
          </cell>
          <cell r="N125" t="str">
            <v>Residential or multi-family building with no drainpipe heat exchanger</v>
          </cell>
          <cell r="O125">
            <v>2021</v>
          </cell>
          <cell r="P125">
            <v>2030</v>
          </cell>
          <cell r="Q125" t="str">
            <v>Single Family</v>
          </cell>
          <cell r="R125" t="str">
            <v>per unit</v>
          </cell>
          <cell r="S125">
            <v>10.527829593749999</v>
          </cell>
          <cell r="T125">
            <v>14.037106124999999</v>
          </cell>
          <cell r="U125">
            <v>0</v>
          </cell>
          <cell r="V125">
            <v>3.5092765312499998</v>
          </cell>
          <cell r="W125">
            <v>0.25</v>
          </cell>
          <cell r="X125" t="str">
            <v>-</v>
          </cell>
          <cell r="Y125" t="str">
            <v>8,7</v>
          </cell>
          <cell r="Z125" t="str">
            <v>8,7</v>
          </cell>
          <cell r="AA125">
            <v>742</v>
          </cell>
          <cell r="AB125">
            <v>0</v>
          </cell>
          <cell r="AC125">
            <v>742</v>
          </cell>
          <cell r="AD125">
            <v>211.43959257485488</v>
          </cell>
          <cell r="AE125">
            <v>8</v>
          </cell>
          <cell r="AF125">
            <v>8</v>
          </cell>
          <cell r="AG125">
            <v>0</v>
          </cell>
          <cell r="AH125">
            <v>0</v>
          </cell>
          <cell r="AI125">
            <v>0</v>
          </cell>
          <cell r="AJ125">
            <v>0</v>
          </cell>
          <cell r="AK125">
            <v>0</v>
          </cell>
          <cell r="AL125" t="str">
            <v>-</v>
          </cell>
          <cell r="AM125" t="str">
            <v>-</v>
          </cell>
          <cell r="AN125" t="str">
            <v/>
          </cell>
          <cell r="AO125">
            <v>0</v>
          </cell>
          <cell r="AP125" t="str">
            <v>-</v>
          </cell>
          <cell r="AQ125">
            <v>0</v>
          </cell>
          <cell r="AR125" t="str">
            <v>-</v>
          </cell>
          <cell r="AS125">
            <v>0</v>
          </cell>
          <cell r="AT125" t="str">
            <v/>
          </cell>
          <cell r="AU125">
            <v>0</v>
          </cell>
          <cell r="AV125" t="str">
            <v>-</v>
          </cell>
          <cell r="AW125">
            <v>0</v>
          </cell>
          <cell r="AX125" t="str">
            <v>-</v>
          </cell>
          <cell r="AY125">
            <v>0</v>
          </cell>
          <cell r="AZ125" t="str">
            <v/>
          </cell>
          <cell r="BA125">
            <v>0</v>
          </cell>
          <cell r="BB125" t="str">
            <v>-</v>
          </cell>
          <cell r="BC125">
            <v>0</v>
          </cell>
          <cell r="BD125" t="str">
            <v>-</v>
          </cell>
          <cell r="BE125">
            <v>0</v>
          </cell>
          <cell r="BF125" t="str">
            <v/>
          </cell>
          <cell r="BG125">
            <v>0</v>
          </cell>
          <cell r="BH125" t="str">
            <v>-</v>
          </cell>
          <cell r="BI125">
            <v>0</v>
          </cell>
          <cell r="BJ125" t="str">
            <v>-</v>
          </cell>
          <cell r="BK125">
            <v>0</v>
          </cell>
          <cell r="BL125">
            <v>0</v>
          </cell>
          <cell r="BM125" t="str">
            <v>-</v>
          </cell>
          <cell r="BN125">
            <v>20</v>
          </cell>
          <cell r="BO125" t="str">
            <v/>
          </cell>
          <cell r="BP125">
            <v>0</v>
          </cell>
          <cell r="BQ125">
            <v>0</v>
          </cell>
          <cell r="BR125" t="str">
            <v>-</v>
          </cell>
          <cell r="BS125">
            <v>0</v>
          </cell>
          <cell r="BT125">
            <v>0</v>
          </cell>
          <cell r="BU125" t="str">
            <v>-</v>
          </cell>
        </row>
        <row r="126">
          <cell r="A126" t="str">
            <v>11114RET</v>
          </cell>
          <cell r="B126">
            <v>11114</v>
          </cell>
          <cell r="C126" t="str">
            <v>RET</v>
          </cell>
          <cell r="D126" t="str">
            <v>Water Heating</v>
          </cell>
          <cell r="E126" t="str">
            <v>Water Heater Drainpipe Heat Exchange, Gas</v>
          </cell>
          <cell r="F126" t="str">
            <v>R</v>
          </cell>
          <cell r="G126" t="str">
            <v>N</v>
          </cell>
          <cell r="M126" t="str">
            <v>RET</v>
          </cell>
          <cell r="N126" t="str">
            <v>Residential or multi-family building with no drainpipe heat exchanger</v>
          </cell>
          <cell r="O126">
            <v>2021</v>
          </cell>
          <cell r="P126">
            <v>2030</v>
          </cell>
          <cell r="Q126" t="str">
            <v>Multifamily</v>
          </cell>
          <cell r="R126" t="str">
            <v>per unit</v>
          </cell>
          <cell r="S126">
            <v>8.0906470312500005</v>
          </cell>
          <cell r="T126">
            <v>10.787529375</v>
          </cell>
          <cell r="U126">
            <v>0</v>
          </cell>
          <cell r="V126">
            <v>2.69688234375</v>
          </cell>
          <cell r="W126">
            <v>0.25</v>
          </cell>
          <cell r="X126" t="str">
            <v>-</v>
          </cell>
          <cell r="Y126" t="str">
            <v>8,7</v>
          </cell>
          <cell r="Z126" t="str">
            <v>8,7</v>
          </cell>
          <cell r="AA126">
            <v>742</v>
          </cell>
          <cell r="AB126">
            <v>0</v>
          </cell>
          <cell r="AC126">
            <v>742</v>
          </cell>
          <cell r="AD126">
            <v>275.1325068813544</v>
          </cell>
          <cell r="AE126">
            <v>8</v>
          </cell>
          <cell r="AF126">
            <v>8</v>
          </cell>
          <cell r="AG126">
            <v>0</v>
          </cell>
          <cell r="AH126">
            <v>0</v>
          </cell>
          <cell r="AI126">
            <v>0</v>
          </cell>
          <cell r="AJ126">
            <v>0</v>
          </cell>
          <cell r="AK126">
            <v>0</v>
          </cell>
          <cell r="AL126" t="str">
            <v>-</v>
          </cell>
          <cell r="AM126" t="str">
            <v>-</v>
          </cell>
          <cell r="AN126" t="str">
            <v/>
          </cell>
          <cell r="AO126">
            <v>0</v>
          </cell>
          <cell r="AP126" t="str">
            <v>-</v>
          </cell>
          <cell r="AQ126">
            <v>0</v>
          </cell>
          <cell r="AR126" t="str">
            <v>-</v>
          </cell>
          <cell r="AS126">
            <v>0</v>
          </cell>
          <cell r="AT126" t="str">
            <v/>
          </cell>
          <cell r="AU126">
            <v>0</v>
          </cell>
          <cell r="AV126" t="str">
            <v>-</v>
          </cell>
          <cell r="AW126">
            <v>0</v>
          </cell>
          <cell r="AX126" t="str">
            <v>-</v>
          </cell>
          <cell r="AY126">
            <v>0</v>
          </cell>
          <cell r="AZ126" t="str">
            <v/>
          </cell>
          <cell r="BA126">
            <v>0</v>
          </cell>
          <cell r="BB126" t="str">
            <v>-</v>
          </cell>
          <cell r="BC126">
            <v>0</v>
          </cell>
          <cell r="BD126" t="str">
            <v>-</v>
          </cell>
          <cell r="BE126">
            <v>0</v>
          </cell>
          <cell r="BF126" t="str">
            <v/>
          </cell>
          <cell r="BG126">
            <v>0</v>
          </cell>
          <cell r="BH126" t="str">
            <v>-</v>
          </cell>
          <cell r="BI126">
            <v>0</v>
          </cell>
          <cell r="BJ126" t="str">
            <v>-</v>
          </cell>
          <cell r="BK126">
            <v>0</v>
          </cell>
          <cell r="BL126">
            <v>0</v>
          </cell>
          <cell r="BM126" t="str">
            <v>-</v>
          </cell>
          <cell r="BN126">
            <v>20</v>
          </cell>
          <cell r="BO126" t="str">
            <v/>
          </cell>
          <cell r="BP126">
            <v>0</v>
          </cell>
          <cell r="BQ126">
            <v>0</v>
          </cell>
          <cell r="BR126" t="str">
            <v>-</v>
          </cell>
          <cell r="BS126">
            <v>0</v>
          </cell>
          <cell r="BT126">
            <v>0</v>
          </cell>
          <cell r="BU126" t="str">
            <v>-</v>
          </cell>
        </row>
        <row r="127">
          <cell r="A127" t="str">
            <v>11115RET</v>
          </cell>
          <cell r="B127">
            <v>11115</v>
          </cell>
          <cell r="C127" t="str">
            <v>RET</v>
          </cell>
          <cell r="D127" t="e">
            <v>#REF!</v>
          </cell>
          <cell r="E127" t="e">
            <v>#REF!</v>
          </cell>
          <cell r="F127" t="e">
            <v>#REF!</v>
          </cell>
          <cell r="G127" t="str">
            <v>N</v>
          </cell>
          <cell r="M127" t="e">
            <v>#REF!</v>
          </cell>
          <cell r="N127" t="e">
            <v>#REF!</v>
          </cell>
          <cell r="O127" t="e">
            <v>#REF!</v>
          </cell>
          <cell r="P127" t="e">
            <v>#REF!</v>
          </cell>
          <cell r="Q127" t="e">
            <v>#REF!</v>
          </cell>
          <cell r="R127" t="e">
            <v>#REF!</v>
          </cell>
          <cell r="S127" t="e">
            <v>#REF!</v>
          </cell>
          <cell r="T127" t="e">
            <v>#REF!</v>
          </cell>
          <cell r="U127" t="e">
            <v>#REF!</v>
          </cell>
          <cell r="V127" t="e">
            <v>#REF!</v>
          </cell>
          <cell r="W127" t="e">
            <v>#REF!</v>
          </cell>
          <cell r="X127" t="e">
            <v>#REF!</v>
          </cell>
          <cell r="Y127" t="e">
            <v>#REF!</v>
          </cell>
          <cell r="Z127" t="e">
            <v>#REF!</v>
          </cell>
          <cell r="AA127" t="e">
            <v>#REF!</v>
          </cell>
          <cell r="AB127" t="e">
            <v>#REF!</v>
          </cell>
          <cell r="AC127" t="e">
            <v>#REF!</v>
          </cell>
          <cell r="AD127" t="e">
            <v>#REF!</v>
          </cell>
          <cell r="AE127" t="e">
            <v>#REF!</v>
          </cell>
          <cell r="AF127" t="e">
            <v>#REF!</v>
          </cell>
          <cell r="AG127" t="e">
            <v>#REF!</v>
          </cell>
          <cell r="AH127" t="e">
            <v>#REF!</v>
          </cell>
          <cell r="AI127" t="e">
            <v>#REF!</v>
          </cell>
          <cell r="AJ127" t="e">
            <v>#REF!</v>
          </cell>
          <cell r="AK127" t="e">
            <v>#REF!</v>
          </cell>
          <cell r="AL127" t="e">
            <v>#REF!</v>
          </cell>
          <cell r="AM127" t="e">
            <v>#REF!</v>
          </cell>
          <cell r="AN127" t="e">
            <v>#REF!</v>
          </cell>
          <cell r="AO127" t="e">
            <v>#REF!</v>
          </cell>
          <cell r="AP127" t="e">
            <v>#REF!</v>
          </cell>
          <cell r="AQ127" t="e">
            <v>#REF!</v>
          </cell>
          <cell r="AR127" t="e">
            <v>#REF!</v>
          </cell>
          <cell r="AS127" t="e">
            <v>#REF!</v>
          </cell>
          <cell r="AT127" t="e">
            <v>#REF!</v>
          </cell>
          <cell r="AU127" t="e">
            <v>#REF!</v>
          </cell>
          <cell r="AV127" t="e">
            <v>#REF!</v>
          </cell>
          <cell r="AW127" t="e">
            <v>#REF!</v>
          </cell>
          <cell r="AX127" t="e">
            <v>#REF!</v>
          </cell>
          <cell r="AY127" t="e">
            <v>#REF!</v>
          </cell>
          <cell r="AZ127" t="e">
            <v>#REF!</v>
          </cell>
          <cell r="BA127" t="e">
            <v>#REF!</v>
          </cell>
          <cell r="BB127" t="e">
            <v>#REF!</v>
          </cell>
          <cell r="BC127" t="e">
            <v>#REF!</v>
          </cell>
          <cell r="BD127" t="e">
            <v>#REF!</v>
          </cell>
          <cell r="BE127" t="e">
            <v>#REF!</v>
          </cell>
          <cell r="BF127" t="e">
            <v>#REF!</v>
          </cell>
          <cell r="BG127" t="e">
            <v>#REF!</v>
          </cell>
          <cell r="BH127" t="e">
            <v>#REF!</v>
          </cell>
          <cell r="BI127" t="e">
            <v>#REF!</v>
          </cell>
          <cell r="BJ127" t="e">
            <v>#REF!</v>
          </cell>
          <cell r="BK127" t="e">
            <v>#REF!</v>
          </cell>
          <cell r="BL127" t="e">
            <v>#REF!</v>
          </cell>
          <cell r="BM127" t="e">
            <v>#REF!</v>
          </cell>
          <cell r="BN127" t="e">
            <v>#REF!</v>
          </cell>
          <cell r="BO127" t="e">
            <v>#REF!</v>
          </cell>
          <cell r="BP127" t="e">
            <v>#REF!</v>
          </cell>
          <cell r="BQ127" t="e">
            <v>#REF!</v>
          </cell>
          <cell r="BR127" t="e">
            <v>#REF!</v>
          </cell>
          <cell r="BS127" t="e">
            <v>#REF!</v>
          </cell>
          <cell r="BT127" t="e">
            <v>#REF!</v>
          </cell>
          <cell r="BU127" t="e">
            <v>#REF!</v>
          </cell>
        </row>
        <row r="128">
          <cell r="A128" t="str">
            <v>11116RET</v>
          </cell>
          <cell r="B128">
            <v>11116</v>
          </cell>
          <cell r="C128" t="str">
            <v>RET</v>
          </cell>
          <cell r="D128" t="str">
            <v>Water Heating</v>
          </cell>
          <cell r="E128" t="str">
            <v>Pipe Insulation with Gas Water Heater</v>
          </cell>
          <cell r="F128" t="str">
            <v>R</v>
          </cell>
          <cell r="G128" t="str">
            <v>N</v>
          </cell>
          <cell r="M128" t="str">
            <v>RET</v>
          </cell>
          <cell r="N128" t="str">
            <v>Un-insulated piping of a gas water heating system</v>
          </cell>
          <cell r="O128">
            <v>2021</v>
          </cell>
          <cell r="P128">
            <v>2030</v>
          </cell>
          <cell r="Q128" t="str">
            <v>Single Family</v>
          </cell>
          <cell r="R128" t="str">
            <v>Per 3 linear feet of insulated piping</v>
          </cell>
          <cell r="S128">
            <v>0</v>
          </cell>
          <cell r="T128">
            <v>0</v>
          </cell>
          <cell r="U128">
            <v>0</v>
          </cell>
          <cell r="V128">
            <v>0.255</v>
          </cell>
          <cell r="W128">
            <v>0.47288747069794979</v>
          </cell>
          <cell r="X128" t="str">
            <v>-</v>
          </cell>
          <cell r="Y128">
            <v>8</v>
          </cell>
          <cell r="Z128">
            <v>8</v>
          </cell>
          <cell r="AA128">
            <v>10.89</v>
          </cell>
          <cell r="AB128">
            <v>0</v>
          </cell>
          <cell r="AC128">
            <v>10.89</v>
          </cell>
          <cell r="AD128">
            <v>42.705882352941181</v>
          </cell>
          <cell r="AE128">
            <v>8</v>
          </cell>
          <cell r="AF128">
            <v>8</v>
          </cell>
          <cell r="AG128">
            <v>0</v>
          </cell>
          <cell r="AH128">
            <v>0</v>
          </cell>
          <cell r="AI128">
            <v>0</v>
          </cell>
          <cell r="AJ128">
            <v>0</v>
          </cell>
          <cell r="AK128">
            <v>0</v>
          </cell>
          <cell r="AL128" t="str">
            <v>-</v>
          </cell>
          <cell r="AM128" t="str">
            <v>-</v>
          </cell>
          <cell r="AN128" t="str">
            <v/>
          </cell>
          <cell r="AO128">
            <v>0</v>
          </cell>
          <cell r="AP128" t="str">
            <v>-</v>
          </cell>
          <cell r="AQ128">
            <v>0</v>
          </cell>
          <cell r="AR128" t="str">
            <v>-</v>
          </cell>
          <cell r="AS128">
            <v>0</v>
          </cell>
          <cell r="AT128" t="str">
            <v/>
          </cell>
          <cell r="AU128">
            <v>0</v>
          </cell>
          <cell r="AV128" t="str">
            <v>-</v>
          </cell>
          <cell r="AW128">
            <v>0</v>
          </cell>
          <cell r="AX128" t="str">
            <v>-</v>
          </cell>
          <cell r="AY128">
            <v>0</v>
          </cell>
          <cell r="AZ128" t="str">
            <v/>
          </cell>
          <cell r="BA128">
            <v>0</v>
          </cell>
          <cell r="BB128" t="str">
            <v>-</v>
          </cell>
          <cell r="BC128">
            <v>0</v>
          </cell>
          <cell r="BD128" t="str">
            <v>-</v>
          </cell>
          <cell r="BE128">
            <v>0</v>
          </cell>
          <cell r="BF128" t="str">
            <v/>
          </cell>
          <cell r="BG128">
            <v>0</v>
          </cell>
          <cell r="BH128" t="str">
            <v>-</v>
          </cell>
          <cell r="BI128">
            <v>0</v>
          </cell>
          <cell r="BJ128" t="str">
            <v>-</v>
          </cell>
          <cell r="BK128">
            <v>0</v>
          </cell>
          <cell r="BL128">
            <v>0</v>
          </cell>
          <cell r="BM128" t="str">
            <v>-</v>
          </cell>
          <cell r="BN128">
            <v>11</v>
          </cell>
          <cell r="BO128" t="str">
            <v/>
          </cell>
          <cell r="BP128">
            <v>0</v>
          </cell>
          <cell r="BQ128">
            <v>0</v>
          </cell>
          <cell r="BR128" t="str">
            <v>-</v>
          </cell>
          <cell r="BS128">
            <v>0</v>
          </cell>
          <cell r="BT128">
            <v>0</v>
          </cell>
          <cell r="BU128" t="str">
            <v>-</v>
          </cell>
        </row>
        <row r="129">
          <cell r="A129" t="str">
            <v>11117RET</v>
          </cell>
          <cell r="B129">
            <v>11117</v>
          </cell>
          <cell r="C129" t="str">
            <v>RET</v>
          </cell>
          <cell r="D129" t="e">
            <v>#REF!</v>
          </cell>
          <cell r="E129" t="e">
            <v>#REF!</v>
          </cell>
          <cell r="F129" t="e">
            <v>#REF!</v>
          </cell>
          <cell r="G129" t="str">
            <v>Y</v>
          </cell>
          <cell r="M129" t="e">
            <v>#REF!</v>
          </cell>
          <cell r="N129" t="e">
            <v>#REF!</v>
          </cell>
          <cell r="O129" t="e">
            <v>#REF!</v>
          </cell>
          <cell r="P129" t="e">
            <v>#REF!</v>
          </cell>
          <cell r="Q129" t="e">
            <v>#REF!</v>
          </cell>
          <cell r="R129" t="e">
            <v>#REF!</v>
          </cell>
          <cell r="S129" t="e">
            <v>#REF!</v>
          </cell>
          <cell r="T129" t="e">
            <v>#REF!</v>
          </cell>
          <cell r="U129" t="e">
            <v>#REF!</v>
          </cell>
          <cell r="V129" t="e">
            <v>#REF!</v>
          </cell>
          <cell r="W129" t="e">
            <v>#REF!</v>
          </cell>
          <cell r="X129" t="e">
            <v>#REF!</v>
          </cell>
          <cell r="Y129" t="e">
            <v>#REF!</v>
          </cell>
          <cell r="Z129" t="e">
            <v>#REF!</v>
          </cell>
          <cell r="AA129" t="e">
            <v>#REF!</v>
          </cell>
          <cell r="AB129" t="e">
            <v>#REF!</v>
          </cell>
          <cell r="AC129" t="e">
            <v>#REF!</v>
          </cell>
          <cell r="AD129" t="e">
            <v>#REF!</v>
          </cell>
          <cell r="AE129" t="e">
            <v>#REF!</v>
          </cell>
          <cell r="AF129" t="e">
            <v>#REF!</v>
          </cell>
          <cell r="AG129" t="e">
            <v>#REF!</v>
          </cell>
          <cell r="AH129" t="e">
            <v>#REF!</v>
          </cell>
          <cell r="AI129" t="e">
            <v>#REF!</v>
          </cell>
          <cell r="AJ129" t="e">
            <v>#REF!</v>
          </cell>
          <cell r="AK129" t="e">
            <v>#REF!</v>
          </cell>
          <cell r="AL129" t="e">
            <v>#REF!</v>
          </cell>
          <cell r="AM129" t="e">
            <v>#REF!</v>
          </cell>
          <cell r="AN129" t="e">
            <v>#REF!</v>
          </cell>
          <cell r="AO129" t="e">
            <v>#REF!</v>
          </cell>
          <cell r="AP129" t="e">
            <v>#REF!</v>
          </cell>
          <cell r="AQ129" t="e">
            <v>#REF!</v>
          </cell>
          <cell r="AR129" t="e">
            <v>#REF!</v>
          </cell>
          <cell r="AS129" t="e">
            <v>#REF!</v>
          </cell>
          <cell r="AT129" t="e">
            <v>#REF!</v>
          </cell>
          <cell r="AU129" t="e">
            <v>#REF!</v>
          </cell>
          <cell r="AV129" t="e">
            <v>#REF!</v>
          </cell>
          <cell r="AW129" t="e">
            <v>#REF!</v>
          </cell>
          <cell r="AX129" t="e">
            <v>#REF!</v>
          </cell>
          <cell r="AY129" t="e">
            <v>#REF!</v>
          </cell>
          <cell r="AZ129" t="e">
            <v>#REF!</v>
          </cell>
          <cell r="BA129" t="e">
            <v>#REF!</v>
          </cell>
          <cell r="BB129" t="e">
            <v>#REF!</v>
          </cell>
          <cell r="BC129" t="e">
            <v>#REF!</v>
          </cell>
          <cell r="BD129" t="e">
            <v>#REF!</v>
          </cell>
          <cell r="BE129" t="e">
            <v>#REF!</v>
          </cell>
          <cell r="BF129" t="e">
            <v>#REF!</v>
          </cell>
          <cell r="BG129" t="e">
            <v>#REF!</v>
          </cell>
          <cell r="BH129" t="e">
            <v>#REF!</v>
          </cell>
          <cell r="BI129" t="e">
            <v>#REF!</v>
          </cell>
          <cell r="BJ129" t="e">
            <v>#REF!</v>
          </cell>
          <cell r="BK129" t="e">
            <v>#REF!</v>
          </cell>
          <cell r="BL129" t="e">
            <v>#REF!</v>
          </cell>
          <cell r="BM129" t="e">
            <v>#REF!</v>
          </cell>
          <cell r="BN129" t="e">
            <v>#REF!</v>
          </cell>
          <cell r="BO129" t="e">
            <v>#REF!</v>
          </cell>
          <cell r="BP129" t="e">
            <v>#REF!</v>
          </cell>
          <cell r="BQ129" t="e">
            <v>#REF!</v>
          </cell>
          <cell r="BR129" t="e">
            <v>#REF!</v>
          </cell>
          <cell r="BS129" t="e">
            <v>#REF!</v>
          </cell>
          <cell r="BT129" t="e">
            <v>#REF!</v>
          </cell>
          <cell r="BU129" t="e">
            <v>#REF!</v>
          </cell>
        </row>
        <row r="130">
          <cell r="A130" t="str">
            <v>11118RET</v>
          </cell>
          <cell r="B130">
            <v>11118</v>
          </cell>
          <cell r="C130" t="str">
            <v>RET</v>
          </cell>
          <cell r="D130" t="e">
            <v>#REF!</v>
          </cell>
          <cell r="E130" t="e">
            <v>#REF!</v>
          </cell>
          <cell r="F130" t="e">
            <v>#REF!</v>
          </cell>
          <cell r="G130" t="str">
            <v>Y</v>
          </cell>
          <cell r="M130" t="e">
            <v>#REF!</v>
          </cell>
          <cell r="N130" t="e">
            <v>#REF!</v>
          </cell>
          <cell r="O130" t="e">
            <v>#REF!</v>
          </cell>
          <cell r="P130" t="e">
            <v>#REF!</v>
          </cell>
          <cell r="Q130" t="e">
            <v>#REF!</v>
          </cell>
          <cell r="R130" t="e">
            <v>#REF!</v>
          </cell>
          <cell r="S130" t="e">
            <v>#REF!</v>
          </cell>
          <cell r="T130" t="e">
            <v>#REF!</v>
          </cell>
          <cell r="U130" t="e">
            <v>#REF!</v>
          </cell>
          <cell r="V130" t="e">
            <v>#REF!</v>
          </cell>
          <cell r="W130" t="e">
            <v>#REF!</v>
          </cell>
          <cell r="X130" t="e">
            <v>#REF!</v>
          </cell>
          <cell r="Y130" t="e">
            <v>#REF!</v>
          </cell>
          <cell r="Z130" t="e">
            <v>#REF!</v>
          </cell>
          <cell r="AA130" t="e">
            <v>#REF!</v>
          </cell>
          <cell r="AB130" t="e">
            <v>#REF!</v>
          </cell>
          <cell r="AC130" t="e">
            <v>#REF!</v>
          </cell>
          <cell r="AD130" t="e">
            <v>#REF!</v>
          </cell>
          <cell r="AE130" t="e">
            <v>#REF!</v>
          </cell>
          <cell r="AF130" t="e">
            <v>#REF!</v>
          </cell>
          <cell r="AG130" t="e">
            <v>#REF!</v>
          </cell>
          <cell r="AH130" t="e">
            <v>#REF!</v>
          </cell>
          <cell r="AI130" t="e">
            <v>#REF!</v>
          </cell>
          <cell r="AJ130" t="e">
            <v>#REF!</v>
          </cell>
          <cell r="AK130" t="e">
            <v>#REF!</v>
          </cell>
          <cell r="AL130" t="e">
            <v>#REF!</v>
          </cell>
          <cell r="AM130" t="e">
            <v>#REF!</v>
          </cell>
          <cell r="AN130" t="e">
            <v>#REF!</v>
          </cell>
          <cell r="AO130" t="e">
            <v>#REF!</v>
          </cell>
          <cell r="AP130" t="e">
            <v>#REF!</v>
          </cell>
          <cell r="AQ130" t="e">
            <v>#REF!</v>
          </cell>
          <cell r="AR130" t="e">
            <v>#REF!</v>
          </cell>
          <cell r="AS130" t="e">
            <v>#REF!</v>
          </cell>
          <cell r="AT130" t="e">
            <v>#REF!</v>
          </cell>
          <cell r="AU130" t="e">
            <v>#REF!</v>
          </cell>
          <cell r="AV130" t="e">
            <v>#REF!</v>
          </cell>
          <cell r="AW130" t="e">
            <v>#REF!</v>
          </cell>
          <cell r="AX130" t="e">
            <v>#REF!</v>
          </cell>
          <cell r="AY130" t="e">
            <v>#REF!</v>
          </cell>
          <cell r="AZ130" t="e">
            <v>#REF!</v>
          </cell>
          <cell r="BA130" t="e">
            <v>#REF!</v>
          </cell>
          <cell r="BB130" t="e">
            <v>#REF!</v>
          </cell>
          <cell r="BC130" t="e">
            <v>#REF!</v>
          </cell>
          <cell r="BD130" t="e">
            <v>#REF!</v>
          </cell>
          <cell r="BE130" t="e">
            <v>#REF!</v>
          </cell>
          <cell r="BF130" t="e">
            <v>#REF!</v>
          </cell>
          <cell r="BG130" t="e">
            <v>#REF!</v>
          </cell>
          <cell r="BH130" t="e">
            <v>#REF!</v>
          </cell>
          <cell r="BI130" t="e">
            <v>#REF!</v>
          </cell>
          <cell r="BJ130" t="e">
            <v>#REF!</v>
          </cell>
          <cell r="BK130" t="e">
            <v>#REF!</v>
          </cell>
          <cell r="BL130" t="e">
            <v>#REF!</v>
          </cell>
          <cell r="BM130" t="e">
            <v>#REF!</v>
          </cell>
          <cell r="BN130" t="e">
            <v>#REF!</v>
          </cell>
          <cell r="BO130" t="e">
            <v>#REF!</v>
          </cell>
          <cell r="BP130" t="e">
            <v>#REF!</v>
          </cell>
          <cell r="BQ130" t="e">
            <v>#REF!</v>
          </cell>
          <cell r="BR130" t="e">
            <v>#REF!</v>
          </cell>
          <cell r="BS130" t="e">
            <v>#REF!</v>
          </cell>
          <cell r="BT130" t="e">
            <v>#REF!</v>
          </cell>
          <cell r="BU130" t="e">
            <v>#REF!</v>
          </cell>
        </row>
        <row r="131">
          <cell r="A131" t="str">
            <v>11119RET</v>
          </cell>
          <cell r="B131">
            <v>11119</v>
          </cell>
          <cell r="C131" t="str">
            <v>RET</v>
          </cell>
          <cell r="D131" t="str">
            <v>Water Heating</v>
          </cell>
          <cell r="E131" t="str">
            <v>Low Flow Showerhead, Gas DHW</v>
          </cell>
          <cell r="F131" t="str">
            <v>R</v>
          </cell>
          <cell r="G131" t="str">
            <v>N</v>
          </cell>
          <cell r="M131" t="str">
            <v>RET</v>
          </cell>
          <cell r="N131" t="str">
            <v>Existing 2.5 GPM showerhead</v>
          </cell>
          <cell r="O131">
            <v>2021</v>
          </cell>
          <cell r="P131">
            <v>2030</v>
          </cell>
          <cell r="Q131" t="str">
            <v>Single Family</v>
          </cell>
          <cell r="R131" t="str">
            <v>per shower</v>
          </cell>
          <cell r="S131">
            <v>2.3250000000000002</v>
          </cell>
          <cell r="T131">
            <v>3.875</v>
          </cell>
          <cell r="U131">
            <v>0</v>
          </cell>
          <cell r="V131">
            <v>1.55</v>
          </cell>
          <cell r="W131">
            <v>0.4</v>
          </cell>
          <cell r="X131" t="str">
            <v>-</v>
          </cell>
          <cell r="Y131">
            <v>7</v>
          </cell>
          <cell r="Z131">
            <v>7</v>
          </cell>
          <cell r="AA131">
            <v>12</v>
          </cell>
          <cell r="AB131">
            <v>0</v>
          </cell>
          <cell r="AC131">
            <v>12</v>
          </cell>
          <cell r="AD131">
            <v>7.7419354838709671</v>
          </cell>
          <cell r="AE131">
            <v>8</v>
          </cell>
          <cell r="AF131">
            <v>8</v>
          </cell>
          <cell r="AG131">
            <v>0</v>
          </cell>
          <cell r="AH131">
            <v>0</v>
          </cell>
          <cell r="AI131">
            <v>0</v>
          </cell>
          <cell r="AJ131">
            <v>0</v>
          </cell>
          <cell r="AK131">
            <v>0</v>
          </cell>
          <cell r="AL131" t="str">
            <v>-</v>
          </cell>
          <cell r="AM131" t="str">
            <v>-</v>
          </cell>
          <cell r="AN131" t="str">
            <v/>
          </cell>
          <cell r="AO131">
            <v>0</v>
          </cell>
          <cell r="AP131" t="str">
            <v>-</v>
          </cell>
          <cell r="AQ131">
            <v>0</v>
          </cell>
          <cell r="AR131" t="str">
            <v>-</v>
          </cell>
          <cell r="AS131">
            <v>0</v>
          </cell>
          <cell r="AT131" t="str">
            <v/>
          </cell>
          <cell r="AU131">
            <v>0</v>
          </cell>
          <cell r="AV131" t="str">
            <v>-</v>
          </cell>
          <cell r="AW131">
            <v>0</v>
          </cell>
          <cell r="AX131" t="str">
            <v>-</v>
          </cell>
          <cell r="AY131">
            <v>0</v>
          </cell>
          <cell r="AZ131" t="str">
            <v/>
          </cell>
          <cell r="BA131">
            <v>0</v>
          </cell>
          <cell r="BB131" t="str">
            <v>-</v>
          </cell>
          <cell r="BC131">
            <v>0</v>
          </cell>
          <cell r="BD131" t="str">
            <v>-</v>
          </cell>
          <cell r="BE131">
            <v>0</v>
          </cell>
          <cell r="BF131" t="str">
            <v/>
          </cell>
          <cell r="BG131">
            <v>0</v>
          </cell>
          <cell r="BH131" t="str">
            <v>-</v>
          </cell>
          <cell r="BI131">
            <v>0</v>
          </cell>
          <cell r="BJ131" t="str">
            <v>-</v>
          </cell>
          <cell r="BK131">
            <v>0</v>
          </cell>
          <cell r="BL131">
            <v>0</v>
          </cell>
          <cell r="BM131" t="str">
            <v>-</v>
          </cell>
          <cell r="BN131">
            <v>10</v>
          </cell>
          <cell r="BO131" t="str">
            <v/>
          </cell>
          <cell r="BP131">
            <v>0</v>
          </cell>
          <cell r="BQ131">
            <v>0</v>
          </cell>
          <cell r="BR131" t="str">
            <v>-</v>
          </cell>
          <cell r="BS131">
            <v>3640</v>
          </cell>
          <cell r="BT131">
            <v>2348.3870967741937</v>
          </cell>
          <cell r="BU131" t="str">
            <v>-</v>
          </cell>
        </row>
        <row r="132">
          <cell r="A132" t="str">
            <v>11120RET</v>
          </cell>
          <cell r="B132">
            <v>11120</v>
          </cell>
          <cell r="C132" t="str">
            <v>RET</v>
          </cell>
          <cell r="D132" t="str">
            <v>Water Heating</v>
          </cell>
          <cell r="E132" t="str">
            <v>Low Flow Showerhead, Gas DHW</v>
          </cell>
          <cell r="F132" t="str">
            <v>R</v>
          </cell>
          <cell r="G132" t="str">
            <v>N</v>
          </cell>
          <cell r="M132" t="str">
            <v>RET</v>
          </cell>
          <cell r="N132" t="str">
            <v>Existing 2.5 GPM showerhead</v>
          </cell>
          <cell r="O132">
            <v>2021</v>
          </cell>
          <cell r="P132">
            <v>2030</v>
          </cell>
          <cell r="Q132" t="str">
            <v>Multifamily</v>
          </cell>
          <cell r="R132" t="str">
            <v>per shower</v>
          </cell>
          <cell r="S132">
            <v>2.5349999999999997</v>
          </cell>
          <cell r="T132">
            <v>4.2249999999999996</v>
          </cell>
          <cell r="U132">
            <v>0</v>
          </cell>
          <cell r="V132">
            <v>1.69</v>
          </cell>
          <cell r="W132">
            <v>0.4</v>
          </cell>
          <cell r="X132" t="str">
            <v>-</v>
          </cell>
          <cell r="Y132">
            <v>7</v>
          </cell>
          <cell r="Z132">
            <v>7</v>
          </cell>
          <cell r="AA132">
            <v>12</v>
          </cell>
          <cell r="AB132">
            <v>0</v>
          </cell>
          <cell r="AC132">
            <v>12</v>
          </cell>
          <cell r="AD132">
            <v>7.1005917159763312</v>
          </cell>
          <cell r="AE132">
            <v>8</v>
          </cell>
          <cell r="AF132">
            <v>8</v>
          </cell>
          <cell r="AG132">
            <v>0</v>
          </cell>
          <cell r="AH132">
            <v>0</v>
          </cell>
          <cell r="AI132">
            <v>0</v>
          </cell>
          <cell r="AJ132">
            <v>0</v>
          </cell>
          <cell r="AK132">
            <v>0</v>
          </cell>
          <cell r="AL132" t="str">
            <v>-</v>
          </cell>
          <cell r="AM132" t="str">
            <v>-</v>
          </cell>
          <cell r="AN132" t="str">
            <v/>
          </cell>
          <cell r="AO132">
            <v>0</v>
          </cell>
          <cell r="AP132" t="str">
            <v>-</v>
          </cell>
          <cell r="AQ132">
            <v>0</v>
          </cell>
          <cell r="AR132" t="str">
            <v>-</v>
          </cell>
          <cell r="AS132">
            <v>0</v>
          </cell>
          <cell r="AT132" t="str">
            <v/>
          </cell>
          <cell r="AU132">
            <v>0</v>
          </cell>
          <cell r="AV132" t="str">
            <v>-</v>
          </cell>
          <cell r="AW132">
            <v>0</v>
          </cell>
          <cell r="AX132" t="str">
            <v>-</v>
          </cell>
          <cell r="AY132">
            <v>0</v>
          </cell>
          <cell r="AZ132" t="str">
            <v/>
          </cell>
          <cell r="BA132">
            <v>0</v>
          </cell>
          <cell r="BB132" t="str">
            <v>-</v>
          </cell>
          <cell r="BC132">
            <v>0</v>
          </cell>
          <cell r="BD132" t="str">
            <v>-</v>
          </cell>
          <cell r="BE132">
            <v>0</v>
          </cell>
          <cell r="BF132" t="str">
            <v/>
          </cell>
          <cell r="BG132">
            <v>0</v>
          </cell>
          <cell r="BH132" t="str">
            <v>-</v>
          </cell>
          <cell r="BI132">
            <v>0</v>
          </cell>
          <cell r="BJ132" t="str">
            <v>-</v>
          </cell>
          <cell r="BK132">
            <v>0</v>
          </cell>
          <cell r="BL132">
            <v>0</v>
          </cell>
          <cell r="BM132" t="str">
            <v>-</v>
          </cell>
          <cell r="BN132">
            <v>10</v>
          </cell>
          <cell r="BO132" t="str">
            <v/>
          </cell>
          <cell r="BP132">
            <v>0</v>
          </cell>
          <cell r="BQ132">
            <v>0</v>
          </cell>
          <cell r="BR132" t="str">
            <v>-</v>
          </cell>
          <cell r="BS132">
            <v>3640</v>
          </cell>
          <cell r="BT132">
            <v>2348.3870967741937</v>
          </cell>
          <cell r="BU132" t="str">
            <v>-</v>
          </cell>
        </row>
        <row r="133">
          <cell r="A133" t="str">
            <v>11121RET</v>
          </cell>
          <cell r="B133">
            <v>11121</v>
          </cell>
          <cell r="C133" t="str">
            <v>RET</v>
          </cell>
          <cell r="D133" t="e">
            <v>#REF!</v>
          </cell>
          <cell r="E133" t="e">
            <v>#REF!</v>
          </cell>
          <cell r="F133" t="e">
            <v>#REF!</v>
          </cell>
          <cell r="G133" t="str">
            <v>Y</v>
          </cell>
          <cell r="M133" t="e">
            <v>#REF!</v>
          </cell>
          <cell r="N133" t="e">
            <v>#REF!</v>
          </cell>
          <cell r="O133" t="e">
            <v>#REF!</v>
          </cell>
          <cell r="P133" t="e">
            <v>#REF!</v>
          </cell>
          <cell r="Q133" t="e">
            <v>#REF!</v>
          </cell>
          <cell r="R133" t="e">
            <v>#REF!</v>
          </cell>
          <cell r="S133" t="e">
            <v>#REF!</v>
          </cell>
          <cell r="T133" t="e">
            <v>#REF!</v>
          </cell>
          <cell r="U133" t="e">
            <v>#REF!</v>
          </cell>
          <cell r="V133" t="e">
            <v>#REF!</v>
          </cell>
          <cell r="W133" t="e">
            <v>#REF!</v>
          </cell>
          <cell r="X133" t="e">
            <v>#REF!</v>
          </cell>
          <cell r="Y133" t="e">
            <v>#REF!</v>
          </cell>
          <cell r="Z133" t="e">
            <v>#REF!</v>
          </cell>
          <cell r="AA133" t="e">
            <v>#REF!</v>
          </cell>
          <cell r="AB133" t="e">
            <v>#REF!</v>
          </cell>
          <cell r="AC133" t="e">
            <v>#REF!</v>
          </cell>
          <cell r="AD133" t="e">
            <v>#REF!</v>
          </cell>
          <cell r="AE133" t="e">
            <v>#REF!</v>
          </cell>
          <cell r="AF133" t="e">
            <v>#REF!</v>
          </cell>
          <cell r="AG133" t="e">
            <v>#REF!</v>
          </cell>
          <cell r="AH133" t="e">
            <v>#REF!</v>
          </cell>
          <cell r="AI133" t="e">
            <v>#REF!</v>
          </cell>
          <cell r="AJ133" t="e">
            <v>#REF!</v>
          </cell>
          <cell r="AK133" t="e">
            <v>#REF!</v>
          </cell>
          <cell r="AL133" t="e">
            <v>#REF!</v>
          </cell>
          <cell r="AM133" t="e">
            <v>#REF!</v>
          </cell>
          <cell r="AN133" t="e">
            <v>#REF!</v>
          </cell>
          <cell r="AO133" t="e">
            <v>#REF!</v>
          </cell>
          <cell r="AP133" t="e">
            <v>#REF!</v>
          </cell>
          <cell r="AQ133" t="e">
            <v>#REF!</v>
          </cell>
          <cell r="AR133" t="e">
            <v>#REF!</v>
          </cell>
          <cell r="AS133" t="e">
            <v>#REF!</v>
          </cell>
          <cell r="AT133" t="e">
            <v>#REF!</v>
          </cell>
          <cell r="AU133" t="e">
            <v>#REF!</v>
          </cell>
          <cell r="AV133" t="e">
            <v>#REF!</v>
          </cell>
          <cell r="AW133" t="e">
            <v>#REF!</v>
          </cell>
          <cell r="AX133" t="e">
            <v>#REF!</v>
          </cell>
          <cell r="AY133" t="e">
            <v>#REF!</v>
          </cell>
          <cell r="AZ133" t="e">
            <v>#REF!</v>
          </cell>
          <cell r="BA133" t="e">
            <v>#REF!</v>
          </cell>
          <cell r="BB133" t="e">
            <v>#REF!</v>
          </cell>
          <cell r="BC133" t="e">
            <v>#REF!</v>
          </cell>
          <cell r="BD133" t="e">
            <v>#REF!</v>
          </cell>
          <cell r="BE133" t="e">
            <v>#REF!</v>
          </cell>
          <cell r="BF133" t="e">
            <v>#REF!</v>
          </cell>
          <cell r="BG133" t="e">
            <v>#REF!</v>
          </cell>
          <cell r="BH133" t="e">
            <v>#REF!</v>
          </cell>
          <cell r="BI133" t="e">
            <v>#REF!</v>
          </cell>
          <cell r="BJ133" t="e">
            <v>#REF!</v>
          </cell>
          <cell r="BK133" t="e">
            <v>#REF!</v>
          </cell>
          <cell r="BL133" t="e">
            <v>#REF!</v>
          </cell>
          <cell r="BM133" t="e">
            <v>#REF!</v>
          </cell>
          <cell r="BN133" t="e">
            <v>#REF!</v>
          </cell>
          <cell r="BO133" t="e">
            <v>#REF!</v>
          </cell>
          <cell r="BP133" t="e">
            <v>#REF!</v>
          </cell>
          <cell r="BQ133" t="e">
            <v>#REF!</v>
          </cell>
          <cell r="BR133" t="e">
            <v>#REF!</v>
          </cell>
          <cell r="BS133" t="e">
            <v>#REF!</v>
          </cell>
          <cell r="BT133" t="e">
            <v>#REF!</v>
          </cell>
          <cell r="BU133" t="e">
            <v>#REF!</v>
          </cell>
        </row>
        <row r="134">
          <cell r="A134" t="str">
            <v>11122RET</v>
          </cell>
          <cell r="B134">
            <v>11122</v>
          </cell>
          <cell r="C134" t="str">
            <v>RET</v>
          </cell>
          <cell r="D134" t="str">
            <v>Water Heating</v>
          </cell>
          <cell r="E134" t="str">
            <v>Faucet Aerator, Gas DHW</v>
          </cell>
          <cell r="F134" t="str">
            <v>R</v>
          </cell>
          <cell r="G134" t="str">
            <v>N</v>
          </cell>
          <cell r="M134" t="str">
            <v>RET</v>
          </cell>
          <cell r="N134" t="str">
            <v>Existing 2.5 GPM faucet aerator</v>
          </cell>
          <cell r="O134">
            <v>2021</v>
          </cell>
          <cell r="P134">
            <v>2030</v>
          </cell>
          <cell r="Q134" t="str">
            <v>Single Family</v>
          </cell>
          <cell r="R134" t="str">
            <v>per faucet</v>
          </cell>
          <cell r="S134">
            <v>0.72</v>
          </cell>
          <cell r="T134">
            <v>1.056</v>
          </cell>
          <cell r="U134">
            <v>0</v>
          </cell>
          <cell r="V134">
            <v>0.33600000000000008</v>
          </cell>
          <cell r="W134">
            <v>0.31818181818181823</v>
          </cell>
          <cell r="X134" t="str">
            <v>-</v>
          </cell>
          <cell r="Y134">
            <v>7</v>
          </cell>
          <cell r="Z134">
            <v>7</v>
          </cell>
          <cell r="AA134">
            <v>6.7</v>
          </cell>
          <cell r="AB134">
            <v>0</v>
          </cell>
          <cell r="AC134">
            <v>6.7</v>
          </cell>
          <cell r="AD134">
            <v>19.940476190476186</v>
          </cell>
          <cell r="AE134">
            <v>8</v>
          </cell>
          <cell r="AF134">
            <v>8</v>
          </cell>
          <cell r="AG134">
            <v>0</v>
          </cell>
          <cell r="AH134">
            <v>0</v>
          </cell>
          <cell r="AI134">
            <v>0</v>
          </cell>
          <cell r="AJ134">
            <v>0</v>
          </cell>
          <cell r="AK134">
            <v>0</v>
          </cell>
          <cell r="AL134" t="str">
            <v>-</v>
          </cell>
          <cell r="AM134" t="str">
            <v>-</v>
          </cell>
          <cell r="AN134" t="str">
            <v/>
          </cell>
          <cell r="AO134">
            <v>0</v>
          </cell>
          <cell r="AP134" t="str">
            <v>-</v>
          </cell>
          <cell r="AQ134">
            <v>0</v>
          </cell>
          <cell r="AR134" t="str">
            <v>-</v>
          </cell>
          <cell r="AS134">
            <v>0</v>
          </cell>
          <cell r="AT134" t="str">
            <v/>
          </cell>
          <cell r="AU134">
            <v>0</v>
          </cell>
          <cell r="AV134" t="str">
            <v>-</v>
          </cell>
          <cell r="AW134">
            <v>0</v>
          </cell>
          <cell r="AX134" t="str">
            <v>-</v>
          </cell>
          <cell r="AY134">
            <v>0</v>
          </cell>
          <cell r="AZ134" t="str">
            <v/>
          </cell>
          <cell r="BA134">
            <v>0</v>
          </cell>
          <cell r="BB134" t="str">
            <v>-</v>
          </cell>
          <cell r="BC134">
            <v>0</v>
          </cell>
          <cell r="BD134" t="str">
            <v>-</v>
          </cell>
          <cell r="BE134">
            <v>0</v>
          </cell>
          <cell r="BF134" t="str">
            <v/>
          </cell>
          <cell r="BG134">
            <v>0</v>
          </cell>
          <cell r="BH134" t="str">
            <v>-</v>
          </cell>
          <cell r="BI134">
            <v>0</v>
          </cell>
          <cell r="BJ134" t="str">
            <v>-</v>
          </cell>
          <cell r="BK134">
            <v>0</v>
          </cell>
          <cell r="BL134">
            <v>0</v>
          </cell>
          <cell r="BM134" t="str">
            <v>-</v>
          </cell>
          <cell r="BN134">
            <v>10</v>
          </cell>
          <cell r="BO134" t="str">
            <v/>
          </cell>
          <cell r="BP134">
            <v>0</v>
          </cell>
          <cell r="BQ134">
            <v>0</v>
          </cell>
          <cell r="BR134" t="str">
            <v>-</v>
          </cell>
          <cell r="BS134">
            <v>1460</v>
          </cell>
          <cell r="BT134">
            <v>4345.2380952380945</v>
          </cell>
          <cell r="BU134" t="str">
            <v>-</v>
          </cell>
        </row>
        <row r="135">
          <cell r="A135" t="str">
            <v>11123RET</v>
          </cell>
          <cell r="B135">
            <v>11123</v>
          </cell>
          <cell r="C135" t="str">
            <v>RET</v>
          </cell>
          <cell r="D135" t="str">
            <v>Water Heating</v>
          </cell>
          <cell r="E135" t="str">
            <v>Faucet Aerator, Gas DHW</v>
          </cell>
          <cell r="F135" t="str">
            <v>R</v>
          </cell>
          <cell r="G135" t="str">
            <v>N</v>
          </cell>
          <cell r="M135" t="str">
            <v>RET</v>
          </cell>
          <cell r="N135" t="str">
            <v>Existing 2.5 GPM faucet aerator</v>
          </cell>
          <cell r="O135">
            <v>2021</v>
          </cell>
          <cell r="P135">
            <v>2030</v>
          </cell>
          <cell r="Q135" t="str">
            <v>Multifamily</v>
          </cell>
          <cell r="R135" t="str">
            <v>per faucet</v>
          </cell>
          <cell r="S135">
            <v>0.97499999999999987</v>
          </cell>
          <cell r="T135">
            <v>1.43</v>
          </cell>
          <cell r="U135">
            <v>0</v>
          </cell>
          <cell r="V135">
            <v>0.45500000000000007</v>
          </cell>
          <cell r="W135">
            <v>0.31818181818181823</v>
          </cell>
          <cell r="X135" t="str">
            <v>-</v>
          </cell>
          <cell r="Y135">
            <v>7</v>
          </cell>
          <cell r="Z135">
            <v>7</v>
          </cell>
          <cell r="AA135">
            <v>6.7</v>
          </cell>
          <cell r="AB135">
            <v>0</v>
          </cell>
          <cell r="AC135">
            <v>6.7</v>
          </cell>
          <cell r="AD135">
            <v>14.725274725274723</v>
          </cell>
          <cell r="AE135">
            <v>8</v>
          </cell>
          <cell r="AF135">
            <v>8</v>
          </cell>
          <cell r="AG135">
            <v>0</v>
          </cell>
          <cell r="AH135">
            <v>0</v>
          </cell>
          <cell r="AI135">
            <v>0</v>
          </cell>
          <cell r="AJ135">
            <v>0</v>
          </cell>
          <cell r="AK135">
            <v>0</v>
          </cell>
          <cell r="AL135" t="str">
            <v>-</v>
          </cell>
          <cell r="AM135" t="str">
            <v>-</v>
          </cell>
          <cell r="AN135" t="str">
            <v/>
          </cell>
          <cell r="AO135">
            <v>0</v>
          </cell>
          <cell r="AP135" t="str">
            <v>-</v>
          </cell>
          <cell r="AQ135">
            <v>0</v>
          </cell>
          <cell r="AR135" t="str">
            <v>-</v>
          </cell>
          <cell r="AS135">
            <v>0</v>
          </cell>
          <cell r="AT135" t="str">
            <v/>
          </cell>
          <cell r="AU135">
            <v>0</v>
          </cell>
          <cell r="AV135" t="str">
            <v>-</v>
          </cell>
          <cell r="AW135">
            <v>0</v>
          </cell>
          <cell r="AX135" t="str">
            <v>-</v>
          </cell>
          <cell r="AY135">
            <v>0</v>
          </cell>
          <cell r="AZ135" t="str">
            <v/>
          </cell>
          <cell r="BA135">
            <v>0</v>
          </cell>
          <cell r="BB135" t="str">
            <v>-</v>
          </cell>
          <cell r="BC135">
            <v>0</v>
          </cell>
          <cell r="BD135" t="str">
            <v>-</v>
          </cell>
          <cell r="BE135">
            <v>0</v>
          </cell>
          <cell r="BF135" t="str">
            <v/>
          </cell>
          <cell r="BG135">
            <v>0</v>
          </cell>
          <cell r="BH135" t="str">
            <v>-</v>
          </cell>
          <cell r="BI135">
            <v>0</v>
          </cell>
          <cell r="BJ135" t="str">
            <v>-</v>
          </cell>
          <cell r="BK135">
            <v>0</v>
          </cell>
          <cell r="BL135">
            <v>0</v>
          </cell>
          <cell r="BM135" t="str">
            <v>-</v>
          </cell>
          <cell r="BN135">
            <v>10</v>
          </cell>
          <cell r="BO135" t="str">
            <v/>
          </cell>
          <cell r="BP135">
            <v>0</v>
          </cell>
          <cell r="BQ135">
            <v>0</v>
          </cell>
          <cell r="BR135" t="str">
            <v>-</v>
          </cell>
          <cell r="BS135">
            <v>1460</v>
          </cell>
          <cell r="BT135">
            <v>4345.2380952380945</v>
          </cell>
          <cell r="BU135" t="str">
            <v>-</v>
          </cell>
        </row>
        <row r="136">
          <cell r="A136" t="str">
            <v>11124RET</v>
          </cell>
          <cell r="B136">
            <v>11124</v>
          </cell>
          <cell r="C136" t="str">
            <v>RET</v>
          </cell>
          <cell r="D136" t="e">
            <v>#REF!</v>
          </cell>
          <cell r="E136" t="e">
            <v>#REF!</v>
          </cell>
          <cell r="F136" t="e">
            <v>#REF!</v>
          </cell>
          <cell r="G136" t="str">
            <v>Y</v>
          </cell>
          <cell r="M136" t="e">
            <v>#REF!</v>
          </cell>
          <cell r="N136" t="e">
            <v>#REF!</v>
          </cell>
          <cell r="O136" t="e">
            <v>#REF!</v>
          </cell>
          <cell r="P136" t="e">
            <v>#REF!</v>
          </cell>
          <cell r="Q136" t="e">
            <v>#REF!</v>
          </cell>
          <cell r="R136" t="e">
            <v>#REF!</v>
          </cell>
          <cell r="S136" t="e">
            <v>#REF!</v>
          </cell>
          <cell r="T136" t="e">
            <v>#REF!</v>
          </cell>
          <cell r="U136" t="e">
            <v>#REF!</v>
          </cell>
          <cell r="V136" t="e">
            <v>#REF!</v>
          </cell>
          <cell r="W136" t="e">
            <v>#REF!</v>
          </cell>
          <cell r="X136" t="e">
            <v>#REF!</v>
          </cell>
          <cell r="Y136" t="e">
            <v>#REF!</v>
          </cell>
          <cell r="Z136" t="e">
            <v>#REF!</v>
          </cell>
          <cell r="AA136" t="e">
            <v>#REF!</v>
          </cell>
          <cell r="AB136" t="e">
            <v>#REF!</v>
          </cell>
          <cell r="AC136" t="e">
            <v>#REF!</v>
          </cell>
          <cell r="AD136" t="e">
            <v>#REF!</v>
          </cell>
          <cell r="AE136" t="e">
            <v>#REF!</v>
          </cell>
          <cell r="AF136" t="e">
            <v>#REF!</v>
          </cell>
          <cell r="AG136" t="e">
            <v>#REF!</v>
          </cell>
          <cell r="AH136" t="e">
            <v>#REF!</v>
          </cell>
          <cell r="AI136" t="e">
            <v>#REF!</v>
          </cell>
          <cell r="AJ136" t="e">
            <v>#REF!</v>
          </cell>
          <cell r="AK136" t="e">
            <v>#REF!</v>
          </cell>
          <cell r="AL136" t="e">
            <v>#REF!</v>
          </cell>
          <cell r="AM136" t="e">
            <v>#REF!</v>
          </cell>
          <cell r="AN136" t="e">
            <v>#REF!</v>
          </cell>
          <cell r="AO136" t="e">
            <v>#REF!</v>
          </cell>
          <cell r="AP136" t="e">
            <v>#REF!</v>
          </cell>
          <cell r="AQ136" t="e">
            <v>#REF!</v>
          </cell>
          <cell r="AR136" t="e">
            <v>#REF!</v>
          </cell>
          <cell r="AS136" t="e">
            <v>#REF!</v>
          </cell>
          <cell r="AT136" t="e">
            <v>#REF!</v>
          </cell>
          <cell r="AU136" t="e">
            <v>#REF!</v>
          </cell>
          <cell r="AV136" t="e">
            <v>#REF!</v>
          </cell>
          <cell r="AW136" t="e">
            <v>#REF!</v>
          </cell>
          <cell r="AX136" t="e">
            <v>#REF!</v>
          </cell>
          <cell r="AY136" t="e">
            <v>#REF!</v>
          </cell>
          <cell r="AZ136" t="e">
            <v>#REF!</v>
          </cell>
          <cell r="BA136" t="e">
            <v>#REF!</v>
          </cell>
          <cell r="BB136" t="e">
            <v>#REF!</v>
          </cell>
          <cell r="BC136" t="e">
            <v>#REF!</v>
          </cell>
          <cell r="BD136" t="e">
            <v>#REF!</v>
          </cell>
          <cell r="BE136" t="e">
            <v>#REF!</v>
          </cell>
          <cell r="BF136" t="e">
            <v>#REF!</v>
          </cell>
          <cell r="BG136" t="e">
            <v>#REF!</v>
          </cell>
          <cell r="BH136" t="e">
            <v>#REF!</v>
          </cell>
          <cell r="BI136" t="e">
            <v>#REF!</v>
          </cell>
          <cell r="BJ136" t="e">
            <v>#REF!</v>
          </cell>
          <cell r="BK136" t="e">
            <v>#REF!</v>
          </cell>
          <cell r="BL136" t="e">
            <v>#REF!</v>
          </cell>
          <cell r="BM136" t="e">
            <v>#REF!</v>
          </cell>
          <cell r="BN136" t="e">
            <v>#REF!</v>
          </cell>
          <cell r="BO136" t="e">
            <v>#REF!</v>
          </cell>
          <cell r="BP136" t="e">
            <v>#REF!</v>
          </cell>
          <cell r="BQ136" t="e">
            <v>#REF!</v>
          </cell>
          <cell r="BR136" t="e">
            <v>#REF!</v>
          </cell>
          <cell r="BS136" t="e">
            <v>#REF!</v>
          </cell>
          <cell r="BT136" t="e">
            <v>#REF!</v>
          </cell>
          <cell r="BU136" t="e">
            <v>#REF!</v>
          </cell>
        </row>
        <row r="137">
          <cell r="A137" t="str">
            <v>11125RET</v>
          </cell>
          <cell r="B137">
            <v>11125</v>
          </cell>
          <cell r="C137" t="str">
            <v>RET</v>
          </cell>
          <cell r="D137" t="str">
            <v>Water Heating</v>
          </cell>
          <cell r="E137" t="str">
            <v>Demand Control Recirculating Pump with Electric Secondary Fuel</v>
          </cell>
          <cell r="F137" t="str">
            <v>R</v>
          </cell>
          <cell r="G137" t="str">
            <v>N</v>
          </cell>
          <cell r="M137" t="str">
            <v>RET</v>
          </cell>
          <cell r="N137" t="str">
            <v>The base case for this measure category are existing, un-controlled Recirculation Pumps on gas-fired Central Domestic Hot Water Systems.</v>
          </cell>
          <cell r="O137">
            <v>2021</v>
          </cell>
          <cell r="P137">
            <v>2030</v>
          </cell>
          <cell r="Q137" t="str">
            <v>Multifamily</v>
          </cell>
          <cell r="R137" t="str">
            <v/>
          </cell>
          <cell r="S137">
            <v>0</v>
          </cell>
          <cell r="T137">
            <v>0</v>
          </cell>
          <cell r="U137">
            <v>0</v>
          </cell>
          <cell r="V137">
            <v>316.12001399999997</v>
          </cell>
          <cell r="W137">
            <v>0.16</v>
          </cell>
          <cell r="X137" t="str">
            <v>-</v>
          </cell>
          <cell r="Y137">
            <v>42</v>
          </cell>
          <cell r="Z137">
            <v>42</v>
          </cell>
          <cell r="AA137">
            <v>2008</v>
          </cell>
          <cell r="AB137">
            <v>0</v>
          </cell>
          <cell r="AC137">
            <v>2008</v>
          </cell>
          <cell r="AD137">
            <v>6.3520179396170731</v>
          </cell>
          <cell r="AE137">
            <v>42</v>
          </cell>
          <cell r="AF137">
            <v>42</v>
          </cell>
          <cell r="AG137">
            <v>0</v>
          </cell>
          <cell r="AH137">
            <v>0</v>
          </cell>
          <cell r="AI137">
            <v>0</v>
          </cell>
          <cell r="AJ137">
            <v>0</v>
          </cell>
          <cell r="AK137">
            <v>0</v>
          </cell>
          <cell r="AL137" t="str">
            <v>-</v>
          </cell>
          <cell r="AM137" t="str">
            <v>-</v>
          </cell>
          <cell r="AN137" t="str">
            <v/>
          </cell>
          <cell r="AO137">
            <v>0</v>
          </cell>
          <cell r="AP137" t="str">
            <v>-</v>
          </cell>
          <cell r="AQ137">
            <v>0</v>
          </cell>
          <cell r="AR137" t="str">
            <v>-</v>
          </cell>
          <cell r="AS137">
            <v>0</v>
          </cell>
          <cell r="AT137" t="str">
            <v/>
          </cell>
          <cell r="AU137">
            <v>0</v>
          </cell>
          <cell r="AV137" t="str">
            <v>-</v>
          </cell>
          <cell r="AW137">
            <v>0</v>
          </cell>
          <cell r="AX137" t="str">
            <v>-</v>
          </cell>
          <cell r="AY137">
            <v>0</v>
          </cell>
          <cell r="AZ137" t="str">
            <v/>
          </cell>
          <cell r="BA137">
            <v>0</v>
          </cell>
          <cell r="BB137" t="str">
            <v>-</v>
          </cell>
          <cell r="BC137">
            <v>0</v>
          </cell>
          <cell r="BD137" t="str">
            <v>-</v>
          </cell>
          <cell r="BE137">
            <v>0</v>
          </cell>
          <cell r="BF137" t="str">
            <v/>
          </cell>
          <cell r="BG137">
            <v>0</v>
          </cell>
          <cell r="BH137" t="str">
            <v>-</v>
          </cell>
          <cell r="BI137">
            <v>0</v>
          </cell>
          <cell r="BJ137" t="str">
            <v>-</v>
          </cell>
          <cell r="BK137">
            <v>0</v>
          </cell>
          <cell r="BL137">
            <v>0</v>
          </cell>
          <cell r="BM137" t="str">
            <v>-</v>
          </cell>
          <cell r="BN137">
            <v>15</v>
          </cell>
          <cell r="BO137" t="str">
            <v>E</v>
          </cell>
          <cell r="BP137">
            <v>651</v>
          </cell>
          <cell r="BQ137">
            <v>2.0593444614993599</v>
          </cell>
          <cell r="BR137" t="str">
            <v>-</v>
          </cell>
          <cell r="BS137">
            <v>0</v>
          </cell>
          <cell r="BT137">
            <v>0</v>
          </cell>
          <cell r="BU137" t="str">
            <v>-</v>
          </cell>
        </row>
        <row r="138">
          <cell r="A138" t="str">
            <v>11126MD</v>
          </cell>
          <cell r="B138">
            <v>11126</v>
          </cell>
          <cell r="C138" t="str">
            <v>MD</v>
          </cell>
          <cell r="D138" t="e">
            <v>#REF!</v>
          </cell>
          <cell r="E138" t="e">
            <v>#REF!</v>
          </cell>
          <cell r="F138" t="e">
            <v>#REF!</v>
          </cell>
          <cell r="G138" t="str">
            <v>Y</v>
          </cell>
          <cell r="M138" t="e">
            <v>#REF!</v>
          </cell>
          <cell r="N138" t="e">
            <v>#REF!</v>
          </cell>
          <cell r="O138" t="e">
            <v>#REF!</v>
          </cell>
          <cell r="P138" t="e">
            <v>#REF!</v>
          </cell>
          <cell r="Q138" t="e">
            <v>#REF!</v>
          </cell>
          <cell r="R138" t="e">
            <v>#REF!</v>
          </cell>
          <cell r="S138" t="e">
            <v>#REF!</v>
          </cell>
          <cell r="T138" t="e">
            <v>#REF!</v>
          </cell>
          <cell r="U138" t="e">
            <v>#REF!</v>
          </cell>
          <cell r="V138" t="e">
            <v>#REF!</v>
          </cell>
          <cell r="W138" t="e">
            <v>#REF!</v>
          </cell>
          <cell r="X138" t="e">
            <v>#REF!</v>
          </cell>
          <cell r="Y138" t="e">
            <v>#REF!</v>
          </cell>
          <cell r="Z138" t="e">
            <v>#REF!</v>
          </cell>
          <cell r="AA138" t="e">
            <v>#REF!</v>
          </cell>
          <cell r="AB138" t="e">
            <v>#REF!</v>
          </cell>
          <cell r="AC138" t="e">
            <v>#REF!</v>
          </cell>
          <cell r="AD138" t="e">
            <v>#REF!</v>
          </cell>
          <cell r="AE138" t="e">
            <v>#REF!</v>
          </cell>
          <cell r="AF138" t="e">
            <v>#REF!</v>
          </cell>
          <cell r="AG138" t="e">
            <v>#REF!</v>
          </cell>
          <cell r="AH138" t="e">
            <v>#REF!</v>
          </cell>
          <cell r="AI138" t="e">
            <v>#REF!</v>
          </cell>
          <cell r="AJ138" t="e">
            <v>#REF!</v>
          </cell>
          <cell r="AK138" t="e">
            <v>#REF!</v>
          </cell>
          <cell r="AL138" t="e">
            <v>#REF!</v>
          </cell>
          <cell r="AM138" t="e">
            <v>#REF!</v>
          </cell>
          <cell r="AN138" t="e">
            <v>#REF!</v>
          </cell>
          <cell r="AO138" t="e">
            <v>#REF!</v>
          </cell>
          <cell r="AP138" t="e">
            <v>#REF!</v>
          </cell>
          <cell r="AQ138" t="e">
            <v>#REF!</v>
          </cell>
          <cell r="AR138" t="e">
            <v>#REF!</v>
          </cell>
          <cell r="AS138" t="e">
            <v>#REF!</v>
          </cell>
          <cell r="AT138" t="e">
            <v>#REF!</v>
          </cell>
          <cell r="AU138" t="e">
            <v>#REF!</v>
          </cell>
          <cell r="AV138" t="e">
            <v>#REF!</v>
          </cell>
          <cell r="AW138" t="e">
            <v>#REF!</v>
          </cell>
          <cell r="AX138" t="e">
            <v>#REF!</v>
          </cell>
          <cell r="AY138" t="e">
            <v>#REF!</v>
          </cell>
          <cell r="AZ138" t="e">
            <v>#REF!</v>
          </cell>
          <cell r="BA138" t="e">
            <v>#REF!</v>
          </cell>
          <cell r="BB138" t="e">
            <v>#REF!</v>
          </cell>
          <cell r="BC138" t="e">
            <v>#REF!</v>
          </cell>
          <cell r="BD138" t="e">
            <v>#REF!</v>
          </cell>
          <cell r="BE138" t="e">
            <v>#REF!</v>
          </cell>
          <cell r="BF138" t="e">
            <v>#REF!</v>
          </cell>
          <cell r="BG138" t="e">
            <v>#REF!</v>
          </cell>
          <cell r="BH138" t="e">
            <v>#REF!</v>
          </cell>
          <cell r="BI138" t="e">
            <v>#REF!</v>
          </cell>
          <cell r="BJ138" t="e">
            <v>#REF!</v>
          </cell>
          <cell r="BK138" t="e">
            <v>#REF!</v>
          </cell>
          <cell r="BL138" t="e">
            <v>#REF!</v>
          </cell>
          <cell r="BM138" t="e">
            <v>#REF!</v>
          </cell>
          <cell r="BN138" t="e">
            <v>#REF!</v>
          </cell>
          <cell r="BO138" t="e">
            <v>#REF!</v>
          </cell>
          <cell r="BP138" t="e">
            <v>#REF!</v>
          </cell>
          <cell r="BQ138" t="e">
            <v>#REF!</v>
          </cell>
          <cell r="BR138" t="e">
            <v>#REF!</v>
          </cell>
          <cell r="BS138" t="e">
            <v>#REF!</v>
          </cell>
          <cell r="BT138" t="e">
            <v>#REF!</v>
          </cell>
          <cell r="BU138" t="e">
            <v>#REF!</v>
          </cell>
        </row>
        <row r="139">
          <cell r="A139" t="str">
            <v>11127MD</v>
          </cell>
          <cell r="B139">
            <v>11127</v>
          </cell>
          <cell r="C139" t="str">
            <v>MD</v>
          </cell>
          <cell r="D139" t="e">
            <v>#REF!</v>
          </cell>
          <cell r="E139" t="e">
            <v>#REF!</v>
          </cell>
          <cell r="F139" t="e">
            <v>#REF!</v>
          </cell>
          <cell r="G139" t="str">
            <v>Y</v>
          </cell>
          <cell r="M139" t="e">
            <v>#REF!</v>
          </cell>
          <cell r="N139" t="e">
            <v>#REF!</v>
          </cell>
          <cell r="O139" t="e">
            <v>#REF!</v>
          </cell>
          <cell r="P139" t="e">
            <v>#REF!</v>
          </cell>
          <cell r="Q139" t="e">
            <v>#REF!</v>
          </cell>
          <cell r="R139" t="e">
            <v>#REF!</v>
          </cell>
          <cell r="S139" t="e">
            <v>#REF!</v>
          </cell>
          <cell r="T139" t="e">
            <v>#REF!</v>
          </cell>
          <cell r="U139" t="e">
            <v>#REF!</v>
          </cell>
          <cell r="V139" t="e">
            <v>#REF!</v>
          </cell>
          <cell r="W139" t="e">
            <v>#REF!</v>
          </cell>
          <cell r="X139" t="e">
            <v>#REF!</v>
          </cell>
          <cell r="Y139" t="e">
            <v>#REF!</v>
          </cell>
          <cell r="Z139" t="e">
            <v>#REF!</v>
          </cell>
          <cell r="AA139" t="e">
            <v>#REF!</v>
          </cell>
          <cell r="AB139" t="e">
            <v>#REF!</v>
          </cell>
          <cell r="AC139" t="e">
            <v>#REF!</v>
          </cell>
          <cell r="AD139" t="e">
            <v>#REF!</v>
          </cell>
          <cell r="AE139" t="e">
            <v>#REF!</v>
          </cell>
          <cell r="AF139" t="e">
            <v>#REF!</v>
          </cell>
          <cell r="AG139" t="e">
            <v>#REF!</v>
          </cell>
          <cell r="AH139" t="e">
            <v>#REF!</v>
          </cell>
          <cell r="AI139" t="e">
            <v>#REF!</v>
          </cell>
          <cell r="AJ139" t="e">
            <v>#REF!</v>
          </cell>
          <cell r="AK139" t="e">
            <v>#REF!</v>
          </cell>
          <cell r="AL139" t="e">
            <v>#REF!</v>
          </cell>
          <cell r="AM139" t="e">
            <v>#REF!</v>
          </cell>
          <cell r="AN139" t="e">
            <v>#REF!</v>
          </cell>
          <cell r="AO139" t="e">
            <v>#REF!</v>
          </cell>
          <cell r="AP139" t="e">
            <v>#REF!</v>
          </cell>
          <cell r="AQ139" t="e">
            <v>#REF!</v>
          </cell>
          <cell r="AR139" t="e">
            <v>#REF!</v>
          </cell>
          <cell r="AS139" t="e">
            <v>#REF!</v>
          </cell>
          <cell r="AT139" t="e">
            <v>#REF!</v>
          </cell>
          <cell r="AU139" t="e">
            <v>#REF!</v>
          </cell>
          <cell r="AV139" t="e">
            <v>#REF!</v>
          </cell>
          <cell r="AW139" t="e">
            <v>#REF!</v>
          </cell>
          <cell r="AX139" t="e">
            <v>#REF!</v>
          </cell>
          <cell r="AY139" t="e">
            <v>#REF!</v>
          </cell>
          <cell r="AZ139" t="e">
            <v>#REF!</v>
          </cell>
          <cell r="BA139" t="e">
            <v>#REF!</v>
          </cell>
          <cell r="BB139" t="e">
            <v>#REF!</v>
          </cell>
          <cell r="BC139" t="e">
            <v>#REF!</v>
          </cell>
          <cell r="BD139" t="e">
            <v>#REF!</v>
          </cell>
          <cell r="BE139" t="e">
            <v>#REF!</v>
          </cell>
          <cell r="BF139" t="e">
            <v>#REF!</v>
          </cell>
          <cell r="BG139" t="e">
            <v>#REF!</v>
          </cell>
          <cell r="BH139" t="e">
            <v>#REF!</v>
          </cell>
          <cell r="BI139" t="e">
            <v>#REF!</v>
          </cell>
          <cell r="BJ139" t="e">
            <v>#REF!</v>
          </cell>
          <cell r="BK139" t="e">
            <v>#REF!</v>
          </cell>
          <cell r="BL139" t="e">
            <v>#REF!</v>
          </cell>
          <cell r="BM139" t="e">
            <v>#REF!</v>
          </cell>
          <cell r="BN139" t="e">
            <v>#REF!</v>
          </cell>
          <cell r="BO139" t="e">
            <v>#REF!</v>
          </cell>
          <cell r="BP139" t="e">
            <v>#REF!</v>
          </cell>
          <cell r="BQ139" t="e">
            <v>#REF!</v>
          </cell>
          <cell r="BR139" t="e">
            <v>#REF!</v>
          </cell>
          <cell r="BS139" t="e">
            <v>#REF!</v>
          </cell>
          <cell r="BT139" t="e">
            <v>#REF!</v>
          </cell>
          <cell r="BU139" t="e">
            <v>#REF!</v>
          </cell>
        </row>
        <row r="140">
          <cell r="A140" t="str">
            <v>11128MD</v>
          </cell>
          <cell r="B140">
            <v>11128</v>
          </cell>
          <cell r="C140" t="str">
            <v>MD</v>
          </cell>
          <cell r="D140" t="e">
            <v>#REF!</v>
          </cell>
          <cell r="E140" t="e">
            <v>#REF!</v>
          </cell>
          <cell r="F140" t="e">
            <v>#REF!</v>
          </cell>
          <cell r="G140" t="str">
            <v>Y</v>
          </cell>
          <cell r="M140" t="e">
            <v>#REF!</v>
          </cell>
          <cell r="N140" t="e">
            <v>#REF!</v>
          </cell>
          <cell r="O140" t="e">
            <v>#REF!</v>
          </cell>
          <cell r="P140" t="e">
            <v>#REF!</v>
          </cell>
          <cell r="Q140" t="e">
            <v>#REF!</v>
          </cell>
          <cell r="R140" t="e">
            <v>#REF!</v>
          </cell>
          <cell r="S140" t="e">
            <v>#REF!</v>
          </cell>
          <cell r="T140" t="e">
            <v>#REF!</v>
          </cell>
          <cell r="U140" t="e">
            <v>#REF!</v>
          </cell>
          <cell r="V140" t="e">
            <v>#REF!</v>
          </cell>
          <cell r="W140" t="e">
            <v>#REF!</v>
          </cell>
          <cell r="X140" t="e">
            <v>#REF!</v>
          </cell>
          <cell r="Y140" t="e">
            <v>#REF!</v>
          </cell>
          <cell r="Z140" t="e">
            <v>#REF!</v>
          </cell>
          <cell r="AA140" t="e">
            <v>#REF!</v>
          </cell>
          <cell r="AB140" t="e">
            <v>#REF!</v>
          </cell>
          <cell r="AC140" t="e">
            <v>#REF!</v>
          </cell>
          <cell r="AD140" t="e">
            <v>#REF!</v>
          </cell>
          <cell r="AE140" t="e">
            <v>#REF!</v>
          </cell>
          <cell r="AF140" t="e">
            <v>#REF!</v>
          </cell>
          <cell r="AG140" t="e">
            <v>#REF!</v>
          </cell>
          <cell r="AH140" t="e">
            <v>#REF!</v>
          </cell>
          <cell r="AI140" t="e">
            <v>#REF!</v>
          </cell>
          <cell r="AJ140" t="e">
            <v>#REF!</v>
          </cell>
          <cell r="AK140" t="e">
            <v>#REF!</v>
          </cell>
          <cell r="AL140" t="e">
            <v>#REF!</v>
          </cell>
          <cell r="AM140" t="e">
            <v>#REF!</v>
          </cell>
          <cell r="AN140" t="e">
            <v>#REF!</v>
          </cell>
          <cell r="AO140" t="e">
            <v>#REF!</v>
          </cell>
          <cell r="AP140" t="e">
            <v>#REF!</v>
          </cell>
          <cell r="AQ140" t="e">
            <v>#REF!</v>
          </cell>
          <cell r="AR140" t="e">
            <v>#REF!</v>
          </cell>
          <cell r="AS140" t="e">
            <v>#REF!</v>
          </cell>
          <cell r="AT140" t="e">
            <v>#REF!</v>
          </cell>
          <cell r="AU140" t="e">
            <v>#REF!</v>
          </cell>
          <cell r="AV140" t="e">
            <v>#REF!</v>
          </cell>
          <cell r="AW140" t="e">
            <v>#REF!</v>
          </cell>
          <cell r="AX140" t="e">
            <v>#REF!</v>
          </cell>
          <cell r="AY140" t="e">
            <v>#REF!</v>
          </cell>
          <cell r="AZ140" t="e">
            <v>#REF!</v>
          </cell>
          <cell r="BA140" t="e">
            <v>#REF!</v>
          </cell>
          <cell r="BB140" t="e">
            <v>#REF!</v>
          </cell>
          <cell r="BC140" t="e">
            <v>#REF!</v>
          </cell>
          <cell r="BD140" t="e">
            <v>#REF!</v>
          </cell>
          <cell r="BE140" t="e">
            <v>#REF!</v>
          </cell>
          <cell r="BF140" t="e">
            <v>#REF!</v>
          </cell>
          <cell r="BG140" t="e">
            <v>#REF!</v>
          </cell>
          <cell r="BH140" t="e">
            <v>#REF!</v>
          </cell>
          <cell r="BI140" t="e">
            <v>#REF!</v>
          </cell>
          <cell r="BJ140" t="e">
            <v>#REF!</v>
          </cell>
          <cell r="BK140" t="e">
            <v>#REF!</v>
          </cell>
          <cell r="BL140" t="e">
            <v>#REF!</v>
          </cell>
          <cell r="BM140" t="e">
            <v>#REF!</v>
          </cell>
          <cell r="BN140" t="e">
            <v>#REF!</v>
          </cell>
          <cell r="BO140" t="e">
            <v>#REF!</v>
          </cell>
          <cell r="BP140" t="e">
            <v>#REF!</v>
          </cell>
          <cell r="BQ140" t="e">
            <v>#REF!</v>
          </cell>
          <cell r="BR140" t="e">
            <v>#REF!</v>
          </cell>
          <cell r="BS140" t="e">
            <v>#REF!</v>
          </cell>
          <cell r="BT140" t="e">
            <v>#REF!</v>
          </cell>
          <cell r="BU140" t="e">
            <v>#REF!</v>
          </cell>
        </row>
        <row r="141">
          <cell r="A141" t="str">
            <v>11129MD</v>
          </cell>
          <cell r="B141">
            <v>11129</v>
          </cell>
          <cell r="C141" t="str">
            <v>MD</v>
          </cell>
          <cell r="D141" t="e">
            <v>#REF!</v>
          </cell>
          <cell r="E141" t="e">
            <v>#REF!</v>
          </cell>
          <cell r="F141" t="e">
            <v>#REF!</v>
          </cell>
          <cell r="G141" t="str">
            <v>Y</v>
          </cell>
          <cell r="M141" t="e">
            <v>#REF!</v>
          </cell>
          <cell r="N141" t="e">
            <v>#REF!</v>
          </cell>
          <cell r="O141" t="e">
            <v>#REF!</v>
          </cell>
          <cell r="P141" t="e">
            <v>#REF!</v>
          </cell>
          <cell r="Q141" t="e">
            <v>#REF!</v>
          </cell>
          <cell r="R141" t="e">
            <v>#REF!</v>
          </cell>
          <cell r="S141" t="e">
            <v>#REF!</v>
          </cell>
          <cell r="T141" t="e">
            <v>#REF!</v>
          </cell>
          <cell r="U141" t="e">
            <v>#REF!</v>
          </cell>
          <cell r="V141" t="e">
            <v>#REF!</v>
          </cell>
          <cell r="W141" t="e">
            <v>#REF!</v>
          </cell>
          <cell r="X141" t="e">
            <v>#REF!</v>
          </cell>
          <cell r="Y141" t="e">
            <v>#REF!</v>
          </cell>
          <cell r="Z141" t="e">
            <v>#REF!</v>
          </cell>
          <cell r="AA141" t="e">
            <v>#REF!</v>
          </cell>
          <cell r="AB141" t="e">
            <v>#REF!</v>
          </cell>
          <cell r="AC141" t="e">
            <v>#REF!</v>
          </cell>
          <cell r="AD141" t="e">
            <v>#REF!</v>
          </cell>
          <cell r="AE141" t="e">
            <v>#REF!</v>
          </cell>
          <cell r="AF141" t="e">
            <v>#REF!</v>
          </cell>
          <cell r="AG141" t="e">
            <v>#REF!</v>
          </cell>
          <cell r="AH141" t="e">
            <v>#REF!</v>
          </cell>
          <cell r="AI141" t="e">
            <v>#REF!</v>
          </cell>
          <cell r="AJ141" t="e">
            <v>#REF!</v>
          </cell>
          <cell r="AK141" t="e">
            <v>#REF!</v>
          </cell>
          <cell r="AL141" t="e">
            <v>#REF!</v>
          </cell>
          <cell r="AM141" t="e">
            <v>#REF!</v>
          </cell>
          <cell r="AN141" t="e">
            <v>#REF!</v>
          </cell>
          <cell r="AO141" t="e">
            <v>#REF!</v>
          </cell>
          <cell r="AP141" t="e">
            <v>#REF!</v>
          </cell>
          <cell r="AQ141" t="e">
            <v>#REF!</v>
          </cell>
          <cell r="AR141" t="e">
            <v>#REF!</v>
          </cell>
          <cell r="AS141" t="e">
            <v>#REF!</v>
          </cell>
          <cell r="AT141" t="e">
            <v>#REF!</v>
          </cell>
          <cell r="AU141" t="e">
            <v>#REF!</v>
          </cell>
          <cell r="AV141" t="e">
            <v>#REF!</v>
          </cell>
          <cell r="AW141" t="e">
            <v>#REF!</v>
          </cell>
          <cell r="AX141" t="e">
            <v>#REF!</v>
          </cell>
          <cell r="AY141" t="e">
            <v>#REF!</v>
          </cell>
          <cell r="AZ141" t="e">
            <v>#REF!</v>
          </cell>
          <cell r="BA141" t="e">
            <v>#REF!</v>
          </cell>
          <cell r="BB141" t="e">
            <v>#REF!</v>
          </cell>
          <cell r="BC141" t="e">
            <v>#REF!</v>
          </cell>
          <cell r="BD141" t="e">
            <v>#REF!</v>
          </cell>
          <cell r="BE141" t="e">
            <v>#REF!</v>
          </cell>
          <cell r="BF141" t="e">
            <v>#REF!</v>
          </cell>
          <cell r="BG141" t="e">
            <v>#REF!</v>
          </cell>
          <cell r="BH141" t="e">
            <v>#REF!</v>
          </cell>
          <cell r="BI141" t="e">
            <v>#REF!</v>
          </cell>
          <cell r="BJ141" t="e">
            <v>#REF!</v>
          </cell>
          <cell r="BK141" t="e">
            <v>#REF!</v>
          </cell>
          <cell r="BL141" t="e">
            <v>#REF!</v>
          </cell>
          <cell r="BM141" t="e">
            <v>#REF!</v>
          </cell>
          <cell r="BN141" t="e">
            <v>#REF!</v>
          </cell>
          <cell r="BO141" t="e">
            <v>#REF!</v>
          </cell>
          <cell r="BP141" t="e">
            <v>#REF!</v>
          </cell>
          <cell r="BQ141" t="e">
            <v>#REF!</v>
          </cell>
          <cell r="BR141" t="e">
            <v>#REF!</v>
          </cell>
          <cell r="BS141" t="e">
            <v>#REF!</v>
          </cell>
          <cell r="BT141" t="e">
            <v>#REF!</v>
          </cell>
          <cell r="BU141" t="e">
            <v>#REF!</v>
          </cell>
        </row>
        <row r="142">
          <cell r="A142" t="str">
            <v>11130MD</v>
          </cell>
          <cell r="B142">
            <v>11130</v>
          </cell>
          <cell r="C142" t="str">
            <v>MD</v>
          </cell>
          <cell r="D142" t="str">
            <v>Water Heating</v>
          </cell>
          <cell r="E142" t="str">
            <v>ENERGY STAR Clothes Washer</v>
          </cell>
          <cell r="F142" t="str">
            <v>R</v>
          </cell>
          <cell r="G142" t="str">
            <v>Y</v>
          </cell>
          <cell r="M142" t="str">
            <v>NC, RENO, REPL</v>
          </cell>
          <cell r="N142" t="str">
            <v>Existing or new Non-ENERGY STAR Clothes Washer with electric water heating and electric drying</v>
          </cell>
          <cell r="O142">
            <v>2021</v>
          </cell>
          <cell r="P142">
            <v>2030</v>
          </cell>
          <cell r="Q142" t="str">
            <v>Multifamily</v>
          </cell>
          <cell r="R142" t="str">
            <v>per washer</v>
          </cell>
          <cell r="S142">
            <v>0</v>
          </cell>
          <cell r="T142">
            <v>0</v>
          </cell>
          <cell r="U142">
            <v>0</v>
          </cell>
          <cell r="V142">
            <v>65.225205436866304</v>
          </cell>
          <cell r="W142">
            <v>0.11280893936618426</v>
          </cell>
          <cell r="X142" t="str">
            <v>-</v>
          </cell>
          <cell r="Y142" t="str">
            <v>2,5</v>
          </cell>
          <cell r="Z142" t="str">
            <v>2,5</v>
          </cell>
          <cell r="AA142">
            <v>0</v>
          </cell>
          <cell r="AB142">
            <v>0</v>
          </cell>
          <cell r="AC142">
            <v>0</v>
          </cell>
          <cell r="AD142">
            <v>0</v>
          </cell>
          <cell r="AE142">
            <v>4</v>
          </cell>
          <cell r="AF142">
            <v>4</v>
          </cell>
          <cell r="AG142">
            <v>0</v>
          </cell>
          <cell r="AH142">
            <v>0</v>
          </cell>
          <cell r="AI142">
            <v>0</v>
          </cell>
          <cell r="AJ142">
            <v>0</v>
          </cell>
          <cell r="AK142">
            <v>0</v>
          </cell>
          <cell r="AL142" t="str">
            <v>-</v>
          </cell>
          <cell r="AM142" t="str">
            <v>-</v>
          </cell>
          <cell r="AN142" t="str">
            <v/>
          </cell>
          <cell r="AO142">
            <v>0</v>
          </cell>
          <cell r="AP142" t="str">
            <v>-</v>
          </cell>
          <cell r="AQ142">
            <v>0</v>
          </cell>
          <cell r="AR142" t="str">
            <v>-</v>
          </cell>
          <cell r="AS142">
            <v>0</v>
          </cell>
          <cell r="AT142" t="str">
            <v/>
          </cell>
          <cell r="AU142">
            <v>0</v>
          </cell>
          <cell r="AV142" t="str">
            <v>-</v>
          </cell>
          <cell r="AW142">
            <v>0</v>
          </cell>
          <cell r="AX142" t="str">
            <v>-</v>
          </cell>
          <cell r="AY142">
            <v>0</v>
          </cell>
          <cell r="AZ142" t="str">
            <v/>
          </cell>
          <cell r="BA142">
            <v>0</v>
          </cell>
          <cell r="BB142" t="str">
            <v>-</v>
          </cell>
          <cell r="BC142">
            <v>0</v>
          </cell>
          <cell r="BD142" t="str">
            <v>-</v>
          </cell>
          <cell r="BE142">
            <v>0</v>
          </cell>
          <cell r="BF142" t="str">
            <v/>
          </cell>
          <cell r="BG142">
            <v>0</v>
          </cell>
          <cell r="BH142" t="str">
            <v>-</v>
          </cell>
          <cell r="BI142">
            <v>0</v>
          </cell>
          <cell r="BJ142" t="str">
            <v>-</v>
          </cell>
          <cell r="BK142">
            <v>0</v>
          </cell>
          <cell r="BL142">
            <v>0</v>
          </cell>
          <cell r="BM142" t="str">
            <v>-</v>
          </cell>
          <cell r="BN142">
            <v>11</v>
          </cell>
          <cell r="BO142" t="str">
            <v/>
          </cell>
          <cell r="BP142">
            <v>0</v>
          </cell>
          <cell r="BQ142">
            <v>0</v>
          </cell>
          <cell r="BR142" t="str">
            <v>-</v>
          </cell>
          <cell r="BS142">
            <v>0</v>
          </cell>
          <cell r="BT142">
            <v>0</v>
          </cell>
          <cell r="BU142" t="str">
            <v>-</v>
          </cell>
        </row>
        <row r="143">
          <cell r="A143" t="str">
            <v>11131MD</v>
          </cell>
          <cell r="B143">
            <v>11131</v>
          </cell>
          <cell r="C143" t="str">
            <v>MD</v>
          </cell>
          <cell r="D143" t="str">
            <v>Water Heating</v>
          </cell>
          <cell r="E143" t="str">
            <v>ENERGY STAR Clothes Washer</v>
          </cell>
          <cell r="F143" t="str">
            <v>R</v>
          </cell>
          <cell r="G143" t="str">
            <v>Y</v>
          </cell>
          <cell r="M143" t="str">
            <v>NC, RENO, REPL</v>
          </cell>
          <cell r="N143" t="str">
            <v>Existing or new Non-ENERGY STAR Clothes Washer with electric water heating and gas drying</v>
          </cell>
          <cell r="O143">
            <v>2021</v>
          </cell>
          <cell r="P143">
            <v>2030</v>
          </cell>
          <cell r="Q143" t="str">
            <v>Multifamily</v>
          </cell>
          <cell r="R143" t="str">
            <v>per washer</v>
          </cell>
          <cell r="S143">
            <v>0</v>
          </cell>
          <cell r="T143">
            <v>0</v>
          </cell>
          <cell r="U143">
            <v>0</v>
          </cell>
          <cell r="V143">
            <v>65.225205436866304</v>
          </cell>
          <cell r="W143">
            <v>0.11280893936618426</v>
          </cell>
          <cell r="X143" t="str">
            <v>-</v>
          </cell>
          <cell r="Y143" t="str">
            <v>2,5</v>
          </cell>
          <cell r="Z143" t="str">
            <v>2,5</v>
          </cell>
          <cell r="AA143">
            <v>0</v>
          </cell>
          <cell r="AB143">
            <v>0</v>
          </cell>
          <cell r="AC143">
            <v>0</v>
          </cell>
          <cell r="AD143">
            <v>0</v>
          </cell>
          <cell r="AE143">
            <v>4</v>
          </cell>
          <cell r="AF143">
            <v>4</v>
          </cell>
          <cell r="AG143">
            <v>0</v>
          </cell>
          <cell r="AH143">
            <v>0</v>
          </cell>
          <cell r="AI143">
            <v>0</v>
          </cell>
          <cell r="AJ143">
            <v>0</v>
          </cell>
          <cell r="AK143">
            <v>0</v>
          </cell>
          <cell r="AL143" t="str">
            <v>-</v>
          </cell>
          <cell r="AM143" t="str">
            <v>-</v>
          </cell>
          <cell r="AN143" t="str">
            <v/>
          </cell>
          <cell r="AO143">
            <v>0</v>
          </cell>
          <cell r="AP143" t="str">
            <v>-</v>
          </cell>
          <cell r="AQ143">
            <v>0</v>
          </cell>
          <cell r="AR143" t="str">
            <v>-</v>
          </cell>
          <cell r="AS143">
            <v>0</v>
          </cell>
          <cell r="AT143" t="str">
            <v/>
          </cell>
          <cell r="AU143">
            <v>0</v>
          </cell>
          <cell r="AV143" t="str">
            <v>-</v>
          </cell>
          <cell r="AW143">
            <v>0</v>
          </cell>
          <cell r="AX143" t="str">
            <v>-</v>
          </cell>
          <cell r="AY143">
            <v>0</v>
          </cell>
          <cell r="AZ143" t="str">
            <v/>
          </cell>
          <cell r="BA143">
            <v>0</v>
          </cell>
          <cell r="BB143" t="str">
            <v>-</v>
          </cell>
          <cell r="BC143">
            <v>0</v>
          </cell>
          <cell r="BD143" t="str">
            <v>-</v>
          </cell>
          <cell r="BE143">
            <v>0</v>
          </cell>
          <cell r="BF143" t="str">
            <v/>
          </cell>
          <cell r="BG143">
            <v>0</v>
          </cell>
          <cell r="BH143" t="str">
            <v>-</v>
          </cell>
          <cell r="BI143">
            <v>0</v>
          </cell>
          <cell r="BJ143" t="str">
            <v>-</v>
          </cell>
          <cell r="BK143">
            <v>0</v>
          </cell>
          <cell r="BL143">
            <v>0</v>
          </cell>
          <cell r="BM143" t="str">
            <v>-</v>
          </cell>
          <cell r="BN143">
            <v>11</v>
          </cell>
          <cell r="BO143" t="str">
            <v/>
          </cell>
          <cell r="BP143">
            <v>0</v>
          </cell>
          <cell r="BQ143">
            <v>0</v>
          </cell>
          <cell r="BR143" t="str">
            <v>-</v>
          </cell>
          <cell r="BS143">
            <v>0</v>
          </cell>
          <cell r="BT143">
            <v>0</v>
          </cell>
          <cell r="BU143" t="str">
            <v>-</v>
          </cell>
        </row>
        <row r="144">
          <cell r="A144" t="str">
            <v>11132MD</v>
          </cell>
          <cell r="B144">
            <v>11132</v>
          </cell>
          <cell r="C144" t="str">
            <v>MD</v>
          </cell>
          <cell r="D144" t="str">
            <v>Water Heating</v>
          </cell>
          <cell r="E144" t="str">
            <v>ENERGY STAR Clothes Washer</v>
          </cell>
          <cell r="F144" t="str">
            <v>R</v>
          </cell>
          <cell r="G144" t="str">
            <v>Y</v>
          </cell>
          <cell r="M144" t="str">
            <v>NC, RENO, REPL</v>
          </cell>
          <cell r="N144" t="str">
            <v>Existing or new Non-ENERGY STAR Clothes Washer with gas water heating and gas drying</v>
          </cell>
          <cell r="O144">
            <v>2021</v>
          </cell>
          <cell r="P144">
            <v>2030</v>
          </cell>
          <cell r="Q144" t="str">
            <v>Multifamily</v>
          </cell>
          <cell r="R144" t="str">
            <v>per washer</v>
          </cell>
          <cell r="S144">
            <v>0</v>
          </cell>
          <cell r="T144">
            <v>0</v>
          </cell>
          <cell r="U144">
            <v>0</v>
          </cell>
          <cell r="V144">
            <v>0.22254840095058784</v>
          </cell>
          <cell r="W144">
            <v>0.11280893936618426</v>
          </cell>
          <cell r="X144" t="str">
            <v>-</v>
          </cell>
          <cell r="Y144" t="str">
            <v>2,5</v>
          </cell>
          <cell r="Z144" t="str">
            <v>2,5</v>
          </cell>
          <cell r="AA144">
            <v>0</v>
          </cell>
          <cell r="AB144">
            <v>0</v>
          </cell>
          <cell r="AC144">
            <v>0</v>
          </cell>
          <cell r="AD144">
            <v>0</v>
          </cell>
          <cell r="AE144">
            <v>4</v>
          </cell>
          <cell r="AF144">
            <v>4</v>
          </cell>
          <cell r="AG144">
            <v>0</v>
          </cell>
          <cell r="AH144">
            <v>0</v>
          </cell>
          <cell r="AI144">
            <v>0</v>
          </cell>
          <cell r="AJ144">
            <v>0</v>
          </cell>
          <cell r="AK144">
            <v>0</v>
          </cell>
          <cell r="AL144" t="str">
            <v>-</v>
          </cell>
          <cell r="AM144" t="str">
            <v>-</v>
          </cell>
          <cell r="AN144" t="str">
            <v/>
          </cell>
          <cell r="AO144">
            <v>0</v>
          </cell>
          <cell r="AP144" t="str">
            <v>-</v>
          </cell>
          <cell r="AQ144">
            <v>0</v>
          </cell>
          <cell r="AR144" t="str">
            <v>-</v>
          </cell>
          <cell r="AS144">
            <v>0</v>
          </cell>
          <cell r="AT144" t="str">
            <v/>
          </cell>
          <cell r="AU144">
            <v>0</v>
          </cell>
          <cell r="AV144" t="str">
            <v>-</v>
          </cell>
          <cell r="AW144">
            <v>0</v>
          </cell>
          <cell r="AX144" t="str">
            <v>-</v>
          </cell>
          <cell r="AY144">
            <v>0</v>
          </cell>
          <cell r="AZ144" t="str">
            <v/>
          </cell>
          <cell r="BA144">
            <v>0</v>
          </cell>
          <cell r="BB144" t="str">
            <v>-</v>
          </cell>
          <cell r="BC144">
            <v>0</v>
          </cell>
          <cell r="BD144" t="str">
            <v>-</v>
          </cell>
          <cell r="BE144">
            <v>0</v>
          </cell>
          <cell r="BF144" t="str">
            <v/>
          </cell>
          <cell r="BG144">
            <v>0</v>
          </cell>
          <cell r="BH144" t="str">
            <v>-</v>
          </cell>
          <cell r="BI144">
            <v>0</v>
          </cell>
          <cell r="BJ144" t="str">
            <v>-</v>
          </cell>
          <cell r="BK144">
            <v>0</v>
          </cell>
          <cell r="BL144">
            <v>0</v>
          </cell>
          <cell r="BM144" t="str">
            <v>-</v>
          </cell>
          <cell r="BN144">
            <v>11</v>
          </cell>
          <cell r="BO144" t="str">
            <v/>
          </cell>
          <cell r="BP144">
            <v>0</v>
          </cell>
          <cell r="BQ144">
            <v>0</v>
          </cell>
          <cell r="BR144" t="str">
            <v>-</v>
          </cell>
          <cell r="BS144">
            <v>0</v>
          </cell>
          <cell r="BT144">
            <v>0</v>
          </cell>
          <cell r="BU144" t="str">
            <v>-</v>
          </cell>
        </row>
        <row r="145">
          <cell r="A145" t="str">
            <v>11701MD</v>
          </cell>
          <cell r="B145">
            <v>11701</v>
          </cell>
          <cell r="C145" t="str">
            <v>MD</v>
          </cell>
          <cell r="D145" t="str">
            <v>Total Electric</v>
          </cell>
          <cell r="E145" t="str">
            <v>ENERGY STAR Homes</v>
          </cell>
          <cell r="F145" t="str">
            <v>R</v>
          </cell>
          <cell r="G145" t="str">
            <v>Y</v>
          </cell>
          <cell r="M145" t="str">
            <v>NC</v>
          </cell>
          <cell r="N145" t="str">
            <v>Code Constructed manufactured home</v>
          </cell>
          <cell r="O145">
            <v>2021</v>
          </cell>
          <cell r="P145">
            <v>2030</v>
          </cell>
          <cell r="Q145" t="str">
            <v>Single Family</v>
          </cell>
          <cell r="R145" t="str">
            <v/>
          </cell>
          <cell r="S145">
            <v>0</v>
          </cell>
          <cell r="T145">
            <v>0</v>
          </cell>
          <cell r="U145">
            <v>0</v>
          </cell>
          <cell r="V145">
            <v>761.85</v>
          </cell>
          <cell r="W145">
            <v>0.09</v>
          </cell>
          <cell r="X145" t="str">
            <v>-</v>
          </cell>
          <cell r="Y145" t="str">
            <v>61,62</v>
          </cell>
          <cell r="Z145" t="str">
            <v>61,62</v>
          </cell>
          <cell r="AA145">
            <v>0</v>
          </cell>
          <cell r="AB145">
            <v>0</v>
          </cell>
          <cell r="AC145">
            <v>5000</v>
          </cell>
          <cell r="AD145">
            <v>6.5629717135919146</v>
          </cell>
          <cell r="AE145">
            <v>62</v>
          </cell>
          <cell r="AF145">
            <v>62</v>
          </cell>
          <cell r="AG145">
            <v>0</v>
          </cell>
          <cell r="AH145">
            <v>0</v>
          </cell>
          <cell r="AI145">
            <v>0</v>
          </cell>
          <cell r="AJ145">
            <v>0</v>
          </cell>
          <cell r="AK145">
            <v>0</v>
          </cell>
          <cell r="AL145" t="str">
            <v>-</v>
          </cell>
          <cell r="AM145" t="str">
            <v>-</v>
          </cell>
          <cell r="AN145" t="str">
            <v/>
          </cell>
          <cell r="AO145">
            <v>0</v>
          </cell>
          <cell r="AP145" t="str">
            <v>-</v>
          </cell>
          <cell r="AQ145">
            <v>0</v>
          </cell>
          <cell r="AR145" t="str">
            <v>-</v>
          </cell>
          <cell r="AS145">
            <v>0</v>
          </cell>
          <cell r="AT145" t="str">
            <v/>
          </cell>
          <cell r="AU145">
            <v>0</v>
          </cell>
          <cell r="AV145" t="str">
            <v>-</v>
          </cell>
          <cell r="AW145">
            <v>0</v>
          </cell>
          <cell r="AX145" t="str">
            <v>-</v>
          </cell>
          <cell r="AY145">
            <v>0</v>
          </cell>
          <cell r="AZ145" t="str">
            <v/>
          </cell>
          <cell r="BA145">
            <v>0</v>
          </cell>
          <cell r="BB145" t="str">
            <v>-</v>
          </cell>
          <cell r="BC145">
            <v>0</v>
          </cell>
          <cell r="BD145" t="str">
            <v>-</v>
          </cell>
          <cell r="BE145">
            <v>0</v>
          </cell>
          <cell r="BF145" t="str">
            <v/>
          </cell>
          <cell r="BG145">
            <v>0</v>
          </cell>
          <cell r="BH145" t="str">
            <v>-</v>
          </cell>
          <cell r="BI145">
            <v>0</v>
          </cell>
          <cell r="BJ145" t="str">
            <v>-</v>
          </cell>
          <cell r="BK145">
            <v>0</v>
          </cell>
          <cell r="BL145">
            <v>0</v>
          </cell>
          <cell r="BM145" t="str">
            <v>-</v>
          </cell>
          <cell r="BN145">
            <v>15</v>
          </cell>
          <cell r="BO145" t="str">
            <v/>
          </cell>
          <cell r="BP145">
            <v>0</v>
          </cell>
          <cell r="BQ145">
            <v>0</v>
          </cell>
          <cell r="BR145" t="str">
            <v>-</v>
          </cell>
          <cell r="BS145">
            <v>0</v>
          </cell>
          <cell r="BT145">
            <v>0</v>
          </cell>
          <cell r="BU145" t="str">
            <v>-</v>
          </cell>
        </row>
        <row r="146">
          <cell r="A146" t="str">
            <v>11702RET</v>
          </cell>
          <cell r="B146">
            <v>11702</v>
          </cell>
          <cell r="C146" t="str">
            <v>RET</v>
          </cell>
          <cell r="D146" t="str">
            <v>Total Electric</v>
          </cell>
          <cell r="E146" t="str">
            <v>Home Energy Reports</v>
          </cell>
          <cell r="F146" t="str">
            <v>R</v>
          </cell>
          <cell r="G146" t="str">
            <v>Y</v>
          </cell>
          <cell r="M146" t="str">
            <v>RET</v>
          </cell>
          <cell r="N146" t="str">
            <v>Typical home not receiving HERs</v>
          </cell>
          <cell r="O146">
            <v>2021</v>
          </cell>
          <cell r="P146">
            <v>2030</v>
          </cell>
          <cell r="Q146" t="str">
            <v>Single Family</v>
          </cell>
          <cell r="R146" t="str">
            <v/>
          </cell>
          <cell r="S146">
            <v>0</v>
          </cell>
          <cell r="T146">
            <v>0</v>
          </cell>
          <cell r="U146">
            <v>0</v>
          </cell>
          <cell r="V146">
            <v>141.53479999999999</v>
          </cell>
          <cell r="W146">
            <v>1.6719999999999999E-2</v>
          </cell>
          <cell r="X146" t="str">
            <v>-</v>
          </cell>
          <cell r="Y146" t="str">
            <v>13,2</v>
          </cell>
          <cell r="Z146" t="str">
            <v>13,2</v>
          </cell>
          <cell r="AA146">
            <v>0</v>
          </cell>
          <cell r="AB146">
            <v>0</v>
          </cell>
          <cell r="AC146">
            <v>6.855714285714285</v>
          </cell>
          <cell r="AD146">
            <v>4.8438364880681539E-2</v>
          </cell>
          <cell r="AE146">
            <v>13</v>
          </cell>
          <cell r="AF146">
            <v>13</v>
          </cell>
          <cell r="AG146">
            <v>0</v>
          </cell>
          <cell r="AH146">
            <v>0</v>
          </cell>
          <cell r="AI146">
            <v>0</v>
          </cell>
          <cell r="AJ146">
            <v>0</v>
          </cell>
          <cell r="AK146">
            <v>0</v>
          </cell>
          <cell r="AL146" t="str">
            <v>-</v>
          </cell>
          <cell r="AM146" t="str">
            <v>-</v>
          </cell>
          <cell r="AN146" t="str">
            <v/>
          </cell>
          <cell r="AO146">
            <v>0</v>
          </cell>
          <cell r="AP146" t="str">
            <v>-</v>
          </cell>
          <cell r="AQ146">
            <v>0</v>
          </cell>
          <cell r="AR146" t="str">
            <v>-</v>
          </cell>
          <cell r="AS146">
            <v>0</v>
          </cell>
          <cell r="AT146" t="str">
            <v/>
          </cell>
          <cell r="AU146">
            <v>0</v>
          </cell>
          <cell r="AV146" t="str">
            <v>-</v>
          </cell>
          <cell r="AW146">
            <v>0</v>
          </cell>
          <cell r="AX146" t="str">
            <v>-</v>
          </cell>
          <cell r="AY146">
            <v>0</v>
          </cell>
          <cell r="AZ146" t="str">
            <v/>
          </cell>
          <cell r="BA146">
            <v>0</v>
          </cell>
          <cell r="BB146" t="str">
            <v>-</v>
          </cell>
          <cell r="BC146">
            <v>0</v>
          </cell>
          <cell r="BD146" t="str">
            <v>-</v>
          </cell>
          <cell r="BE146">
            <v>0</v>
          </cell>
          <cell r="BF146" t="str">
            <v/>
          </cell>
          <cell r="BG146">
            <v>0</v>
          </cell>
          <cell r="BH146" t="str">
            <v>-</v>
          </cell>
          <cell r="BI146">
            <v>0</v>
          </cell>
          <cell r="BJ146" t="str">
            <v>-</v>
          </cell>
          <cell r="BK146">
            <v>0</v>
          </cell>
          <cell r="BL146">
            <v>0</v>
          </cell>
          <cell r="BM146" t="str">
            <v>-</v>
          </cell>
          <cell r="BN146">
            <v>1</v>
          </cell>
          <cell r="BO146" t="str">
            <v/>
          </cell>
          <cell r="BP146">
            <v>0</v>
          </cell>
          <cell r="BQ146">
            <v>0</v>
          </cell>
          <cell r="BR146" t="str">
            <v>-</v>
          </cell>
          <cell r="BS146">
            <v>0</v>
          </cell>
          <cell r="BT146">
            <v>0</v>
          </cell>
          <cell r="BU146" t="str">
            <v>-</v>
          </cell>
        </row>
        <row r="147">
          <cell r="A147" t="str">
            <v>11703RET</v>
          </cell>
          <cell r="B147">
            <v>11703</v>
          </cell>
          <cell r="C147" t="str">
            <v>RET</v>
          </cell>
          <cell r="D147" t="str">
            <v>Total Electric</v>
          </cell>
          <cell r="E147" t="str">
            <v>Home Energy Reports</v>
          </cell>
          <cell r="F147" t="str">
            <v>R</v>
          </cell>
          <cell r="G147" t="str">
            <v>Y</v>
          </cell>
          <cell r="M147" t="str">
            <v>RET</v>
          </cell>
          <cell r="N147" t="str">
            <v>Typical home not receiving HERs</v>
          </cell>
          <cell r="O147">
            <v>2021</v>
          </cell>
          <cell r="P147">
            <v>2030</v>
          </cell>
          <cell r="Q147" t="str">
            <v>Single Family</v>
          </cell>
          <cell r="R147" t="str">
            <v/>
          </cell>
          <cell r="S147">
            <v>0</v>
          </cell>
          <cell r="T147">
            <v>0</v>
          </cell>
          <cell r="U147">
            <v>0</v>
          </cell>
          <cell r="V147">
            <v>141.53479999999999</v>
          </cell>
          <cell r="W147">
            <v>1.6719999999999999E-2</v>
          </cell>
          <cell r="X147" t="str">
            <v>-</v>
          </cell>
          <cell r="Y147" t="str">
            <v>13,2</v>
          </cell>
          <cell r="Z147" t="str">
            <v>13,2</v>
          </cell>
          <cell r="AA147">
            <v>0</v>
          </cell>
          <cell r="AB147">
            <v>0</v>
          </cell>
          <cell r="AC147">
            <v>6.855714285714285</v>
          </cell>
          <cell r="AD147">
            <v>4.8438364880681539E-2</v>
          </cell>
          <cell r="AE147">
            <v>13</v>
          </cell>
          <cell r="AF147">
            <v>13</v>
          </cell>
          <cell r="AG147">
            <v>0</v>
          </cell>
          <cell r="AH147">
            <v>0</v>
          </cell>
          <cell r="AI147">
            <v>0</v>
          </cell>
          <cell r="AJ147">
            <v>0</v>
          </cell>
          <cell r="AK147">
            <v>0</v>
          </cell>
          <cell r="AL147" t="str">
            <v>-</v>
          </cell>
          <cell r="AM147" t="str">
            <v>-</v>
          </cell>
          <cell r="AN147" t="str">
            <v/>
          </cell>
          <cell r="AO147">
            <v>0</v>
          </cell>
          <cell r="AP147" t="str">
            <v>-</v>
          </cell>
          <cell r="AQ147">
            <v>0</v>
          </cell>
          <cell r="AR147" t="str">
            <v>-</v>
          </cell>
          <cell r="AS147">
            <v>0</v>
          </cell>
          <cell r="AT147" t="str">
            <v/>
          </cell>
          <cell r="AU147">
            <v>0</v>
          </cell>
          <cell r="AV147" t="str">
            <v>-</v>
          </cell>
          <cell r="AW147">
            <v>0</v>
          </cell>
          <cell r="AX147" t="str">
            <v>-</v>
          </cell>
          <cell r="AY147">
            <v>0</v>
          </cell>
          <cell r="AZ147" t="str">
            <v/>
          </cell>
          <cell r="BA147">
            <v>0</v>
          </cell>
          <cell r="BB147" t="str">
            <v>-</v>
          </cell>
          <cell r="BC147">
            <v>0</v>
          </cell>
          <cell r="BD147" t="str">
            <v>-</v>
          </cell>
          <cell r="BE147">
            <v>0</v>
          </cell>
          <cell r="BF147" t="str">
            <v/>
          </cell>
          <cell r="BG147">
            <v>0</v>
          </cell>
          <cell r="BH147" t="str">
            <v>-</v>
          </cell>
          <cell r="BI147">
            <v>0</v>
          </cell>
          <cell r="BJ147" t="str">
            <v>-</v>
          </cell>
          <cell r="BK147">
            <v>0</v>
          </cell>
          <cell r="BL147">
            <v>0</v>
          </cell>
          <cell r="BM147" t="str">
            <v>-</v>
          </cell>
          <cell r="BN147">
            <v>1</v>
          </cell>
          <cell r="BO147" t="str">
            <v/>
          </cell>
          <cell r="BP147">
            <v>0</v>
          </cell>
          <cell r="BQ147">
            <v>0</v>
          </cell>
          <cell r="BR147" t="str">
            <v>-</v>
          </cell>
          <cell r="BS147">
            <v>0</v>
          </cell>
          <cell r="BT147">
            <v>0</v>
          </cell>
          <cell r="BU147" t="str">
            <v>-</v>
          </cell>
        </row>
        <row r="148">
          <cell r="A148" t="str">
            <v>11704RET</v>
          </cell>
          <cell r="B148">
            <v>11704</v>
          </cell>
          <cell r="C148" t="str">
            <v>RET</v>
          </cell>
          <cell r="D148" t="str">
            <v>Total Electric</v>
          </cell>
          <cell r="E148" t="str">
            <v>Home Energy Reports</v>
          </cell>
          <cell r="F148" t="str">
            <v>R</v>
          </cell>
          <cell r="G148" t="str">
            <v>Y</v>
          </cell>
          <cell r="M148" t="str">
            <v>RET</v>
          </cell>
          <cell r="N148" t="str">
            <v>Typical home not receiving HERs</v>
          </cell>
          <cell r="O148">
            <v>2021</v>
          </cell>
          <cell r="P148">
            <v>2030</v>
          </cell>
          <cell r="Q148" t="str">
            <v>Single Family</v>
          </cell>
          <cell r="R148" t="str">
            <v/>
          </cell>
          <cell r="S148">
            <v>0</v>
          </cell>
          <cell r="T148">
            <v>0</v>
          </cell>
          <cell r="U148">
            <v>0</v>
          </cell>
          <cell r="V148">
            <v>112.22152757199999</v>
          </cell>
          <cell r="W148">
            <v>1.3257120799999998E-2</v>
          </cell>
          <cell r="X148" t="str">
            <v>-</v>
          </cell>
          <cell r="Y148" t="str">
            <v>13,2</v>
          </cell>
          <cell r="Z148" t="str">
            <v>13,2</v>
          </cell>
          <cell r="AA148">
            <v>0</v>
          </cell>
          <cell r="AB148">
            <v>0</v>
          </cell>
          <cell r="AC148">
            <v>0</v>
          </cell>
          <cell r="AD148">
            <v>0</v>
          </cell>
          <cell r="AE148">
            <v>13</v>
          </cell>
          <cell r="AF148">
            <v>13</v>
          </cell>
          <cell r="AG148">
            <v>0</v>
          </cell>
          <cell r="AH148">
            <v>0</v>
          </cell>
          <cell r="AI148">
            <v>0</v>
          </cell>
          <cell r="AJ148">
            <v>0</v>
          </cell>
          <cell r="AK148">
            <v>0</v>
          </cell>
          <cell r="AL148" t="str">
            <v>-</v>
          </cell>
          <cell r="AM148" t="str">
            <v>-</v>
          </cell>
          <cell r="AN148" t="str">
            <v/>
          </cell>
          <cell r="AO148">
            <v>0</v>
          </cell>
          <cell r="AP148" t="str">
            <v>-</v>
          </cell>
          <cell r="AQ148">
            <v>0</v>
          </cell>
          <cell r="AR148" t="str">
            <v>-</v>
          </cell>
          <cell r="AS148">
            <v>0</v>
          </cell>
          <cell r="AT148" t="str">
            <v/>
          </cell>
          <cell r="AU148">
            <v>0</v>
          </cell>
          <cell r="AV148" t="str">
            <v>-</v>
          </cell>
          <cell r="AW148">
            <v>0</v>
          </cell>
          <cell r="AX148" t="str">
            <v>-</v>
          </cell>
          <cell r="AY148">
            <v>0</v>
          </cell>
          <cell r="AZ148" t="str">
            <v/>
          </cell>
          <cell r="BA148">
            <v>0</v>
          </cell>
          <cell r="BB148" t="str">
            <v>-</v>
          </cell>
          <cell r="BC148">
            <v>0</v>
          </cell>
          <cell r="BD148" t="str">
            <v>-</v>
          </cell>
          <cell r="BE148">
            <v>0</v>
          </cell>
          <cell r="BF148" t="str">
            <v/>
          </cell>
          <cell r="BG148">
            <v>0</v>
          </cell>
          <cell r="BH148" t="str">
            <v>-</v>
          </cell>
          <cell r="BI148">
            <v>0</v>
          </cell>
          <cell r="BJ148" t="str">
            <v>-</v>
          </cell>
          <cell r="BK148">
            <v>0</v>
          </cell>
          <cell r="BL148">
            <v>0</v>
          </cell>
          <cell r="BM148" t="str">
            <v>-</v>
          </cell>
          <cell r="BN148">
            <v>1</v>
          </cell>
          <cell r="BO148" t="str">
            <v/>
          </cell>
          <cell r="BP148">
            <v>0</v>
          </cell>
          <cell r="BQ148">
            <v>0</v>
          </cell>
          <cell r="BR148" t="str">
            <v>-</v>
          </cell>
          <cell r="BS148">
            <v>0</v>
          </cell>
          <cell r="BT148">
            <v>0</v>
          </cell>
          <cell r="BU148" t="str">
            <v>-</v>
          </cell>
        </row>
        <row r="149">
          <cell r="A149" t="str">
            <v>11705RET</v>
          </cell>
          <cell r="B149">
            <v>11705</v>
          </cell>
          <cell r="C149" t="str">
            <v>RET</v>
          </cell>
          <cell r="D149" t="str">
            <v>Total Electric</v>
          </cell>
          <cell r="E149" t="str">
            <v>Home Energy Reports</v>
          </cell>
          <cell r="F149" t="str">
            <v>R</v>
          </cell>
          <cell r="G149" t="str">
            <v>Y</v>
          </cell>
          <cell r="M149" t="str">
            <v>RET</v>
          </cell>
          <cell r="N149" t="str">
            <v>Typical home not receiving HERs</v>
          </cell>
          <cell r="O149">
            <v>2021</v>
          </cell>
          <cell r="P149">
            <v>2030</v>
          </cell>
          <cell r="Q149" t="str">
            <v>Single Family</v>
          </cell>
          <cell r="R149" t="str">
            <v/>
          </cell>
          <cell r="S149">
            <v>0</v>
          </cell>
          <cell r="T149">
            <v>0</v>
          </cell>
          <cell r="U149">
            <v>0</v>
          </cell>
          <cell r="V149">
            <v>66.344409193039994</v>
          </cell>
          <cell r="W149">
            <v>7.8374966559999985E-3</v>
          </cell>
          <cell r="X149" t="str">
            <v>-</v>
          </cell>
          <cell r="Y149" t="str">
            <v>13,2</v>
          </cell>
          <cell r="Z149" t="str">
            <v>13,2</v>
          </cell>
          <cell r="AA149">
            <v>0</v>
          </cell>
          <cell r="AB149">
            <v>0</v>
          </cell>
          <cell r="AC149">
            <v>0</v>
          </cell>
          <cell r="AD149">
            <v>0</v>
          </cell>
          <cell r="AE149">
            <v>13</v>
          </cell>
          <cell r="AF149">
            <v>13</v>
          </cell>
          <cell r="AG149">
            <v>0</v>
          </cell>
          <cell r="AH149">
            <v>0</v>
          </cell>
          <cell r="AI149">
            <v>0</v>
          </cell>
          <cell r="AJ149">
            <v>0</v>
          </cell>
          <cell r="AK149">
            <v>0</v>
          </cell>
          <cell r="AL149" t="str">
            <v>-</v>
          </cell>
          <cell r="AM149" t="str">
            <v>-</v>
          </cell>
          <cell r="AN149" t="str">
            <v/>
          </cell>
          <cell r="AO149">
            <v>0</v>
          </cell>
          <cell r="AP149" t="str">
            <v>-</v>
          </cell>
          <cell r="AQ149">
            <v>0</v>
          </cell>
          <cell r="AR149" t="str">
            <v>-</v>
          </cell>
          <cell r="AS149">
            <v>0</v>
          </cell>
          <cell r="AT149" t="str">
            <v/>
          </cell>
          <cell r="AU149">
            <v>0</v>
          </cell>
          <cell r="AV149" t="str">
            <v>-</v>
          </cell>
          <cell r="AW149">
            <v>0</v>
          </cell>
          <cell r="AX149" t="str">
            <v>-</v>
          </cell>
          <cell r="AY149">
            <v>0</v>
          </cell>
          <cell r="AZ149" t="str">
            <v/>
          </cell>
          <cell r="BA149">
            <v>0</v>
          </cell>
          <cell r="BB149" t="str">
            <v>-</v>
          </cell>
          <cell r="BC149">
            <v>0</v>
          </cell>
          <cell r="BD149" t="str">
            <v>-</v>
          </cell>
          <cell r="BE149">
            <v>0</v>
          </cell>
          <cell r="BF149" t="str">
            <v/>
          </cell>
          <cell r="BG149">
            <v>0</v>
          </cell>
          <cell r="BH149" t="str">
            <v>-</v>
          </cell>
          <cell r="BI149">
            <v>0</v>
          </cell>
          <cell r="BJ149" t="str">
            <v>-</v>
          </cell>
          <cell r="BK149">
            <v>0</v>
          </cell>
          <cell r="BL149">
            <v>0</v>
          </cell>
          <cell r="BM149" t="str">
            <v>-</v>
          </cell>
          <cell r="BN149">
            <v>1</v>
          </cell>
          <cell r="BO149" t="str">
            <v/>
          </cell>
          <cell r="BP149">
            <v>0</v>
          </cell>
          <cell r="BQ149">
            <v>0</v>
          </cell>
          <cell r="BR149" t="str">
            <v>-</v>
          </cell>
          <cell r="BS149">
            <v>0</v>
          </cell>
          <cell r="BT149">
            <v>0</v>
          </cell>
          <cell r="BU149" t="str">
            <v>-</v>
          </cell>
        </row>
        <row r="150">
          <cell r="A150" t="str">
            <v>11706RET</v>
          </cell>
          <cell r="B150">
            <v>11706</v>
          </cell>
          <cell r="C150" t="str">
            <v>RET</v>
          </cell>
          <cell r="D150" t="str">
            <v>Total Electric</v>
          </cell>
          <cell r="E150" t="str">
            <v>Home Energy Reports</v>
          </cell>
          <cell r="F150" t="str">
            <v>R</v>
          </cell>
          <cell r="G150" t="str">
            <v>Y</v>
          </cell>
          <cell r="M150" t="str">
            <v>RET</v>
          </cell>
          <cell r="N150" t="str">
            <v>Typical home not receiving HERs</v>
          </cell>
          <cell r="O150">
            <v>2021</v>
          </cell>
          <cell r="P150">
            <v>2030</v>
          </cell>
          <cell r="Q150" t="str">
            <v>Single Family</v>
          </cell>
          <cell r="R150" t="str">
            <v/>
          </cell>
          <cell r="S150">
            <v>0</v>
          </cell>
          <cell r="T150">
            <v>0</v>
          </cell>
          <cell r="U150">
            <v>0</v>
          </cell>
          <cell r="V150">
            <v>25.568547520295997</v>
          </cell>
          <cell r="W150">
            <v>3.0205017743999995E-3</v>
          </cell>
          <cell r="X150" t="str">
            <v>-</v>
          </cell>
          <cell r="Y150" t="str">
            <v>13,2</v>
          </cell>
          <cell r="Z150" t="str">
            <v>13,2</v>
          </cell>
          <cell r="AA150">
            <v>0</v>
          </cell>
          <cell r="AB150">
            <v>0</v>
          </cell>
          <cell r="AC150">
            <v>0</v>
          </cell>
          <cell r="AD150">
            <v>0</v>
          </cell>
          <cell r="AE150">
            <v>13</v>
          </cell>
          <cell r="AF150">
            <v>13</v>
          </cell>
          <cell r="AG150">
            <v>0</v>
          </cell>
          <cell r="AH150">
            <v>0</v>
          </cell>
          <cell r="AI150">
            <v>0</v>
          </cell>
          <cell r="AJ150">
            <v>0</v>
          </cell>
          <cell r="AK150">
            <v>0</v>
          </cell>
          <cell r="AL150" t="str">
            <v>-</v>
          </cell>
          <cell r="AM150" t="str">
            <v>-</v>
          </cell>
          <cell r="AN150" t="str">
            <v/>
          </cell>
          <cell r="AO150">
            <v>0</v>
          </cell>
          <cell r="AP150" t="str">
            <v>-</v>
          </cell>
          <cell r="AQ150">
            <v>0</v>
          </cell>
          <cell r="AR150" t="str">
            <v>-</v>
          </cell>
          <cell r="AS150">
            <v>0</v>
          </cell>
          <cell r="AT150" t="str">
            <v/>
          </cell>
          <cell r="AU150">
            <v>0</v>
          </cell>
          <cell r="AV150" t="str">
            <v>-</v>
          </cell>
          <cell r="AW150">
            <v>0</v>
          </cell>
          <cell r="AX150" t="str">
            <v>-</v>
          </cell>
          <cell r="AY150">
            <v>0</v>
          </cell>
          <cell r="AZ150" t="str">
            <v/>
          </cell>
          <cell r="BA150">
            <v>0</v>
          </cell>
          <cell r="BB150" t="str">
            <v>-</v>
          </cell>
          <cell r="BC150">
            <v>0</v>
          </cell>
          <cell r="BD150" t="str">
            <v>-</v>
          </cell>
          <cell r="BE150">
            <v>0</v>
          </cell>
          <cell r="BF150" t="str">
            <v/>
          </cell>
          <cell r="BG150">
            <v>0</v>
          </cell>
          <cell r="BH150" t="str">
            <v>-</v>
          </cell>
          <cell r="BI150">
            <v>0</v>
          </cell>
          <cell r="BJ150" t="str">
            <v>-</v>
          </cell>
          <cell r="BK150">
            <v>0</v>
          </cell>
          <cell r="BL150">
            <v>0</v>
          </cell>
          <cell r="BM150" t="str">
            <v>-</v>
          </cell>
          <cell r="BN150">
            <v>1</v>
          </cell>
          <cell r="BO150" t="str">
            <v/>
          </cell>
          <cell r="BP150">
            <v>0</v>
          </cell>
          <cell r="BQ150">
            <v>0</v>
          </cell>
          <cell r="BR150" t="str">
            <v>-</v>
          </cell>
          <cell r="BS150">
            <v>0</v>
          </cell>
          <cell r="BT150">
            <v>0</v>
          </cell>
          <cell r="BU150" t="str">
            <v>-</v>
          </cell>
        </row>
        <row r="151">
          <cell r="A151" t="str">
            <v>20201MD</v>
          </cell>
          <cell r="B151">
            <v>20201</v>
          </cell>
          <cell r="C151" t="str">
            <v>MD</v>
          </cell>
          <cell r="D151" t="e">
            <v>#REF!</v>
          </cell>
          <cell r="E151" t="e">
            <v>#REF!</v>
          </cell>
          <cell r="F151" t="e">
            <v>#REF!</v>
          </cell>
          <cell r="G151" t="str">
            <v>Y</v>
          </cell>
          <cell r="M151" t="e">
            <v>#REF!</v>
          </cell>
          <cell r="N151" t="e">
            <v>#REF!</v>
          </cell>
          <cell r="O151" t="e">
            <v>#REF!</v>
          </cell>
          <cell r="P151" t="e">
            <v>#REF!</v>
          </cell>
          <cell r="Q151" t="e">
            <v>#REF!</v>
          </cell>
          <cell r="R151" t="e">
            <v>#REF!</v>
          </cell>
          <cell r="S151" t="e">
            <v>#REF!</v>
          </cell>
          <cell r="T151" t="e">
            <v>#REF!</v>
          </cell>
          <cell r="U151" t="e">
            <v>#REF!</v>
          </cell>
          <cell r="V151" t="e">
            <v>#REF!</v>
          </cell>
          <cell r="W151" t="e">
            <v>#REF!</v>
          </cell>
          <cell r="X151" t="e">
            <v>#REF!</v>
          </cell>
          <cell r="Y151" t="e">
            <v>#REF!</v>
          </cell>
          <cell r="Z151" t="e">
            <v>#REF!</v>
          </cell>
          <cell r="AA151" t="e">
            <v>#REF!</v>
          </cell>
          <cell r="AB151" t="e">
            <v>#REF!</v>
          </cell>
          <cell r="AC151" t="e">
            <v>#REF!</v>
          </cell>
          <cell r="AD151" t="e">
            <v>#REF!</v>
          </cell>
          <cell r="AE151" t="e">
            <v>#REF!</v>
          </cell>
          <cell r="AF151" t="e">
            <v>#REF!</v>
          </cell>
          <cell r="AG151" t="e">
            <v>#REF!</v>
          </cell>
          <cell r="AH151" t="e">
            <v>#REF!</v>
          </cell>
          <cell r="AI151" t="e">
            <v>#REF!</v>
          </cell>
          <cell r="AJ151" t="e">
            <v>#REF!</v>
          </cell>
          <cell r="AK151" t="e">
            <v>#REF!</v>
          </cell>
          <cell r="AL151" t="e">
            <v>#REF!</v>
          </cell>
          <cell r="AM151" t="e">
            <v>#REF!</v>
          </cell>
          <cell r="AN151" t="e">
            <v>#REF!</v>
          </cell>
          <cell r="AO151" t="e">
            <v>#REF!</v>
          </cell>
          <cell r="AP151" t="e">
            <v>#REF!</v>
          </cell>
          <cell r="AQ151" t="e">
            <v>#REF!</v>
          </cell>
          <cell r="AR151" t="e">
            <v>#REF!</v>
          </cell>
          <cell r="AS151" t="e">
            <v>#REF!</v>
          </cell>
          <cell r="AT151" t="e">
            <v>#REF!</v>
          </cell>
          <cell r="AU151" t="e">
            <v>#REF!</v>
          </cell>
          <cell r="AV151" t="e">
            <v>#REF!</v>
          </cell>
          <cell r="AW151" t="e">
            <v>#REF!</v>
          </cell>
          <cell r="AX151" t="e">
            <v>#REF!</v>
          </cell>
          <cell r="AY151" t="e">
            <v>#REF!</v>
          </cell>
          <cell r="AZ151" t="e">
            <v>#REF!</v>
          </cell>
          <cell r="BA151" t="e">
            <v>#REF!</v>
          </cell>
          <cell r="BB151" t="e">
            <v>#REF!</v>
          </cell>
          <cell r="BC151" t="e">
            <v>#REF!</v>
          </cell>
          <cell r="BD151" t="e">
            <v>#REF!</v>
          </cell>
          <cell r="BE151" t="e">
            <v>#REF!</v>
          </cell>
          <cell r="BF151" t="e">
            <v>#REF!</v>
          </cell>
          <cell r="BG151" t="e">
            <v>#REF!</v>
          </cell>
          <cell r="BH151" t="e">
            <v>#REF!</v>
          </cell>
          <cell r="BI151" t="e">
            <v>#REF!</v>
          </cell>
          <cell r="BJ151" t="e">
            <v>#REF!</v>
          </cell>
          <cell r="BK151" t="e">
            <v>#REF!</v>
          </cell>
          <cell r="BL151" t="e">
            <v>#REF!</v>
          </cell>
          <cell r="BM151" t="e">
            <v>#REF!</v>
          </cell>
          <cell r="BN151" t="e">
            <v>#REF!</v>
          </cell>
          <cell r="BO151" t="e">
            <v>#REF!</v>
          </cell>
          <cell r="BP151" t="e">
            <v>#REF!</v>
          </cell>
          <cell r="BQ151" t="e">
            <v>#REF!</v>
          </cell>
          <cell r="BR151" t="e">
            <v>#REF!</v>
          </cell>
          <cell r="BS151" t="e">
            <v>#REF!</v>
          </cell>
          <cell r="BT151" t="e">
            <v>#REF!</v>
          </cell>
          <cell r="BU151" t="e">
            <v>#REF!</v>
          </cell>
        </row>
        <row r="152">
          <cell r="A152" t="str">
            <v>20202MD</v>
          </cell>
          <cell r="B152">
            <v>20202</v>
          </cell>
          <cell r="C152" t="str">
            <v>MD</v>
          </cell>
          <cell r="D152" t="e">
            <v>#REF!</v>
          </cell>
          <cell r="E152" t="e">
            <v>#REF!</v>
          </cell>
          <cell r="F152" t="e">
            <v>#REF!</v>
          </cell>
          <cell r="G152" t="str">
            <v>Y</v>
          </cell>
          <cell r="M152" t="e">
            <v>#REF!</v>
          </cell>
          <cell r="N152" t="e">
            <v>#REF!</v>
          </cell>
          <cell r="O152" t="e">
            <v>#REF!</v>
          </cell>
          <cell r="P152" t="e">
            <v>#REF!</v>
          </cell>
          <cell r="Q152" t="e">
            <v>#REF!</v>
          </cell>
          <cell r="R152" t="e">
            <v>#REF!</v>
          </cell>
          <cell r="S152" t="e">
            <v>#REF!</v>
          </cell>
          <cell r="T152" t="e">
            <v>#REF!</v>
          </cell>
          <cell r="U152" t="e">
            <v>#REF!</v>
          </cell>
          <cell r="V152" t="e">
            <v>#REF!</v>
          </cell>
          <cell r="W152" t="e">
            <v>#REF!</v>
          </cell>
          <cell r="X152" t="e">
            <v>#REF!</v>
          </cell>
          <cell r="Y152" t="e">
            <v>#REF!</v>
          </cell>
          <cell r="Z152" t="e">
            <v>#REF!</v>
          </cell>
          <cell r="AA152" t="e">
            <v>#REF!</v>
          </cell>
          <cell r="AB152" t="e">
            <v>#REF!</v>
          </cell>
          <cell r="AC152" t="e">
            <v>#REF!</v>
          </cell>
          <cell r="AD152" t="e">
            <v>#REF!</v>
          </cell>
          <cell r="AE152" t="e">
            <v>#REF!</v>
          </cell>
          <cell r="AF152" t="e">
            <v>#REF!</v>
          </cell>
          <cell r="AG152" t="e">
            <v>#REF!</v>
          </cell>
          <cell r="AH152" t="e">
            <v>#REF!</v>
          </cell>
          <cell r="AI152" t="e">
            <v>#REF!</v>
          </cell>
          <cell r="AJ152" t="e">
            <v>#REF!</v>
          </cell>
          <cell r="AK152" t="e">
            <v>#REF!</v>
          </cell>
          <cell r="AL152" t="e">
            <v>#REF!</v>
          </cell>
          <cell r="AM152" t="e">
            <v>#REF!</v>
          </cell>
          <cell r="AN152" t="e">
            <v>#REF!</v>
          </cell>
          <cell r="AO152" t="e">
            <v>#REF!</v>
          </cell>
          <cell r="AP152" t="e">
            <v>#REF!</v>
          </cell>
          <cell r="AQ152" t="e">
            <v>#REF!</v>
          </cell>
          <cell r="AR152" t="e">
            <v>#REF!</v>
          </cell>
          <cell r="AS152" t="e">
            <v>#REF!</v>
          </cell>
          <cell r="AT152" t="e">
            <v>#REF!</v>
          </cell>
          <cell r="AU152" t="e">
            <v>#REF!</v>
          </cell>
          <cell r="AV152" t="e">
            <v>#REF!</v>
          </cell>
          <cell r="AW152" t="e">
            <v>#REF!</v>
          </cell>
          <cell r="AX152" t="e">
            <v>#REF!</v>
          </cell>
          <cell r="AY152" t="e">
            <v>#REF!</v>
          </cell>
          <cell r="AZ152" t="e">
            <v>#REF!</v>
          </cell>
          <cell r="BA152" t="e">
            <v>#REF!</v>
          </cell>
          <cell r="BB152" t="e">
            <v>#REF!</v>
          </cell>
          <cell r="BC152" t="e">
            <v>#REF!</v>
          </cell>
          <cell r="BD152" t="e">
            <v>#REF!</v>
          </cell>
          <cell r="BE152" t="e">
            <v>#REF!</v>
          </cell>
          <cell r="BF152" t="e">
            <v>#REF!</v>
          </cell>
          <cell r="BG152" t="e">
            <v>#REF!</v>
          </cell>
          <cell r="BH152" t="e">
            <v>#REF!</v>
          </cell>
          <cell r="BI152" t="e">
            <v>#REF!</v>
          </cell>
          <cell r="BJ152" t="e">
            <v>#REF!</v>
          </cell>
          <cell r="BK152" t="e">
            <v>#REF!</v>
          </cell>
          <cell r="BL152" t="e">
            <v>#REF!</v>
          </cell>
          <cell r="BM152" t="e">
            <v>#REF!</v>
          </cell>
          <cell r="BN152" t="e">
            <v>#REF!</v>
          </cell>
          <cell r="BO152" t="e">
            <v>#REF!</v>
          </cell>
          <cell r="BP152" t="e">
            <v>#REF!</v>
          </cell>
          <cell r="BQ152" t="e">
            <v>#REF!</v>
          </cell>
          <cell r="BR152" t="e">
            <v>#REF!</v>
          </cell>
          <cell r="BS152" t="e">
            <v>#REF!</v>
          </cell>
          <cell r="BT152" t="e">
            <v>#REF!</v>
          </cell>
          <cell r="BU152" t="e">
            <v>#REF!</v>
          </cell>
        </row>
        <row r="153">
          <cell r="A153" t="str">
            <v>20203MD</v>
          </cell>
          <cell r="B153">
            <v>20203</v>
          </cell>
          <cell r="C153" t="str">
            <v>MD</v>
          </cell>
          <cell r="D153" t="e">
            <v>#REF!</v>
          </cell>
          <cell r="E153" t="e">
            <v>#REF!</v>
          </cell>
          <cell r="F153" t="e">
            <v>#REF!</v>
          </cell>
          <cell r="G153" t="str">
            <v>N</v>
          </cell>
          <cell r="M153" t="e">
            <v>#REF!</v>
          </cell>
          <cell r="N153" t="e">
            <v>#REF!</v>
          </cell>
          <cell r="O153" t="e">
            <v>#REF!</v>
          </cell>
          <cell r="P153" t="e">
            <v>#REF!</v>
          </cell>
          <cell r="Q153" t="e">
            <v>#REF!</v>
          </cell>
          <cell r="R153" t="e">
            <v>#REF!</v>
          </cell>
          <cell r="S153" t="e">
            <v>#REF!</v>
          </cell>
          <cell r="T153" t="e">
            <v>#REF!</v>
          </cell>
          <cell r="U153" t="e">
            <v>#REF!</v>
          </cell>
          <cell r="V153" t="e">
            <v>#REF!</v>
          </cell>
          <cell r="W153" t="e">
            <v>#REF!</v>
          </cell>
          <cell r="X153" t="e">
            <v>#REF!</v>
          </cell>
          <cell r="Y153" t="e">
            <v>#REF!</v>
          </cell>
          <cell r="Z153" t="e">
            <v>#REF!</v>
          </cell>
          <cell r="AA153" t="e">
            <v>#REF!</v>
          </cell>
          <cell r="AB153" t="e">
            <v>#REF!</v>
          </cell>
          <cell r="AC153" t="e">
            <v>#REF!</v>
          </cell>
          <cell r="AD153" t="e">
            <v>#REF!</v>
          </cell>
          <cell r="AE153" t="e">
            <v>#REF!</v>
          </cell>
          <cell r="AF153" t="e">
            <v>#REF!</v>
          </cell>
          <cell r="AG153" t="e">
            <v>#REF!</v>
          </cell>
          <cell r="AH153" t="e">
            <v>#REF!</v>
          </cell>
          <cell r="AI153" t="e">
            <v>#REF!</v>
          </cell>
          <cell r="AJ153" t="e">
            <v>#REF!</v>
          </cell>
          <cell r="AK153" t="e">
            <v>#REF!</v>
          </cell>
          <cell r="AL153" t="e">
            <v>#REF!</v>
          </cell>
          <cell r="AM153" t="e">
            <v>#REF!</v>
          </cell>
          <cell r="AN153" t="e">
            <v>#REF!</v>
          </cell>
          <cell r="AO153" t="e">
            <v>#REF!</v>
          </cell>
          <cell r="AP153" t="e">
            <v>#REF!</v>
          </cell>
          <cell r="AQ153" t="e">
            <v>#REF!</v>
          </cell>
          <cell r="AR153" t="e">
            <v>#REF!</v>
          </cell>
          <cell r="AS153" t="e">
            <v>#REF!</v>
          </cell>
          <cell r="AT153" t="e">
            <v>#REF!</v>
          </cell>
          <cell r="AU153" t="e">
            <v>#REF!</v>
          </cell>
          <cell r="AV153" t="e">
            <v>#REF!</v>
          </cell>
          <cell r="AW153" t="e">
            <v>#REF!</v>
          </cell>
          <cell r="AX153" t="e">
            <v>#REF!</v>
          </cell>
          <cell r="AY153" t="e">
            <v>#REF!</v>
          </cell>
          <cell r="AZ153" t="e">
            <v>#REF!</v>
          </cell>
          <cell r="BA153" t="e">
            <v>#REF!</v>
          </cell>
          <cell r="BB153" t="e">
            <v>#REF!</v>
          </cell>
          <cell r="BC153" t="e">
            <v>#REF!</v>
          </cell>
          <cell r="BD153" t="e">
            <v>#REF!</v>
          </cell>
          <cell r="BE153" t="e">
            <v>#REF!</v>
          </cell>
          <cell r="BF153" t="e">
            <v>#REF!</v>
          </cell>
          <cell r="BG153" t="e">
            <v>#REF!</v>
          </cell>
          <cell r="BH153" t="e">
            <v>#REF!</v>
          </cell>
          <cell r="BI153" t="e">
            <v>#REF!</v>
          </cell>
          <cell r="BJ153" t="e">
            <v>#REF!</v>
          </cell>
          <cell r="BK153" t="e">
            <v>#REF!</v>
          </cell>
          <cell r="BL153" t="e">
            <v>#REF!</v>
          </cell>
          <cell r="BM153" t="e">
            <v>#REF!</v>
          </cell>
          <cell r="BN153" t="e">
            <v>#REF!</v>
          </cell>
          <cell r="BO153" t="e">
            <v>#REF!</v>
          </cell>
          <cell r="BP153" t="e">
            <v>#REF!</v>
          </cell>
          <cell r="BQ153" t="e">
            <v>#REF!</v>
          </cell>
          <cell r="BR153" t="e">
            <v>#REF!</v>
          </cell>
          <cell r="BS153" t="e">
            <v>#REF!</v>
          </cell>
          <cell r="BT153" t="e">
            <v>#REF!</v>
          </cell>
          <cell r="BU153" t="e">
            <v>#REF!</v>
          </cell>
        </row>
        <row r="154">
          <cell r="A154" t="str">
            <v>20204MD</v>
          </cell>
          <cell r="B154">
            <v>20204</v>
          </cell>
          <cell r="C154" t="str">
            <v>MD</v>
          </cell>
          <cell r="D154" t="e">
            <v>#REF!</v>
          </cell>
          <cell r="E154" t="e">
            <v>#REF!</v>
          </cell>
          <cell r="F154" t="e">
            <v>#REF!</v>
          </cell>
          <cell r="G154" t="str">
            <v>Y</v>
          </cell>
          <cell r="M154" t="e">
            <v>#REF!</v>
          </cell>
          <cell r="N154" t="e">
            <v>#REF!</v>
          </cell>
          <cell r="O154" t="e">
            <v>#REF!</v>
          </cell>
          <cell r="P154" t="e">
            <v>#REF!</v>
          </cell>
          <cell r="Q154" t="e">
            <v>#REF!</v>
          </cell>
          <cell r="R154" t="e">
            <v>#REF!</v>
          </cell>
          <cell r="S154" t="e">
            <v>#REF!</v>
          </cell>
          <cell r="T154" t="e">
            <v>#REF!</v>
          </cell>
          <cell r="U154" t="e">
            <v>#REF!</v>
          </cell>
          <cell r="V154" t="e">
            <v>#REF!</v>
          </cell>
          <cell r="W154" t="e">
            <v>#REF!</v>
          </cell>
          <cell r="X154" t="e">
            <v>#REF!</v>
          </cell>
          <cell r="Y154" t="e">
            <v>#REF!</v>
          </cell>
          <cell r="Z154" t="e">
            <v>#REF!</v>
          </cell>
          <cell r="AA154" t="e">
            <v>#REF!</v>
          </cell>
          <cell r="AB154" t="e">
            <v>#REF!</v>
          </cell>
          <cell r="AC154" t="e">
            <v>#REF!</v>
          </cell>
          <cell r="AD154" t="e">
            <v>#REF!</v>
          </cell>
          <cell r="AE154" t="e">
            <v>#REF!</v>
          </cell>
          <cell r="AF154" t="e">
            <v>#REF!</v>
          </cell>
          <cell r="AG154" t="e">
            <v>#REF!</v>
          </cell>
          <cell r="AH154" t="e">
            <v>#REF!</v>
          </cell>
          <cell r="AI154" t="e">
            <v>#REF!</v>
          </cell>
          <cell r="AJ154" t="e">
            <v>#REF!</v>
          </cell>
          <cell r="AK154" t="e">
            <v>#REF!</v>
          </cell>
          <cell r="AL154" t="e">
            <v>#REF!</v>
          </cell>
          <cell r="AM154" t="e">
            <v>#REF!</v>
          </cell>
          <cell r="AN154" t="e">
            <v>#REF!</v>
          </cell>
          <cell r="AO154" t="e">
            <v>#REF!</v>
          </cell>
          <cell r="AP154" t="e">
            <v>#REF!</v>
          </cell>
          <cell r="AQ154" t="e">
            <v>#REF!</v>
          </cell>
          <cell r="AR154" t="e">
            <v>#REF!</v>
          </cell>
          <cell r="AS154" t="e">
            <v>#REF!</v>
          </cell>
          <cell r="AT154" t="e">
            <v>#REF!</v>
          </cell>
          <cell r="AU154" t="e">
            <v>#REF!</v>
          </cell>
          <cell r="AV154" t="e">
            <v>#REF!</v>
          </cell>
          <cell r="AW154" t="e">
            <v>#REF!</v>
          </cell>
          <cell r="AX154" t="e">
            <v>#REF!</v>
          </cell>
          <cell r="AY154" t="e">
            <v>#REF!</v>
          </cell>
          <cell r="AZ154" t="e">
            <v>#REF!</v>
          </cell>
          <cell r="BA154" t="e">
            <v>#REF!</v>
          </cell>
          <cell r="BB154" t="e">
            <v>#REF!</v>
          </cell>
          <cell r="BC154" t="e">
            <v>#REF!</v>
          </cell>
          <cell r="BD154" t="e">
            <v>#REF!</v>
          </cell>
          <cell r="BE154" t="e">
            <v>#REF!</v>
          </cell>
          <cell r="BF154" t="e">
            <v>#REF!</v>
          </cell>
          <cell r="BG154" t="e">
            <v>#REF!</v>
          </cell>
          <cell r="BH154" t="e">
            <v>#REF!</v>
          </cell>
          <cell r="BI154" t="e">
            <v>#REF!</v>
          </cell>
          <cell r="BJ154" t="e">
            <v>#REF!</v>
          </cell>
          <cell r="BK154" t="e">
            <v>#REF!</v>
          </cell>
          <cell r="BL154" t="e">
            <v>#REF!</v>
          </cell>
          <cell r="BM154" t="e">
            <v>#REF!</v>
          </cell>
          <cell r="BN154" t="e">
            <v>#REF!</v>
          </cell>
          <cell r="BO154" t="e">
            <v>#REF!</v>
          </cell>
          <cell r="BP154" t="e">
            <v>#REF!</v>
          </cell>
          <cell r="BQ154" t="e">
            <v>#REF!</v>
          </cell>
          <cell r="BR154" t="e">
            <v>#REF!</v>
          </cell>
          <cell r="BS154" t="e">
            <v>#REF!</v>
          </cell>
          <cell r="BT154" t="e">
            <v>#REF!</v>
          </cell>
          <cell r="BU154" t="e">
            <v>#REF!</v>
          </cell>
        </row>
        <row r="155">
          <cell r="A155" t="str">
            <v>20205MD</v>
          </cell>
          <cell r="B155">
            <v>20205</v>
          </cell>
          <cell r="C155" t="str">
            <v>MD</v>
          </cell>
          <cell r="D155" t="e">
            <v>#REF!</v>
          </cell>
          <cell r="E155" t="e">
            <v>#REF!</v>
          </cell>
          <cell r="F155" t="e">
            <v>#REF!</v>
          </cell>
          <cell r="G155" t="str">
            <v>N</v>
          </cell>
          <cell r="M155" t="e">
            <v>#REF!</v>
          </cell>
          <cell r="N155" t="e">
            <v>#REF!</v>
          </cell>
          <cell r="O155" t="e">
            <v>#REF!</v>
          </cell>
          <cell r="P155" t="e">
            <v>#REF!</v>
          </cell>
          <cell r="Q155" t="e">
            <v>#REF!</v>
          </cell>
          <cell r="R155" t="e">
            <v>#REF!</v>
          </cell>
          <cell r="S155" t="e">
            <v>#REF!</v>
          </cell>
          <cell r="T155" t="e">
            <v>#REF!</v>
          </cell>
          <cell r="U155" t="e">
            <v>#REF!</v>
          </cell>
          <cell r="V155" t="e">
            <v>#REF!</v>
          </cell>
          <cell r="W155" t="e">
            <v>#REF!</v>
          </cell>
          <cell r="X155" t="e">
            <v>#REF!</v>
          </cell>
          <cell r="Y155" t="e">
            <v>#REF!</v>
          </cell>
          <cell r="Z155" t="e">
            <v>#REF!</v>
          </cell>
          <cell r="AA155" t="e">
            <v>#REF!</v>
          </cell>
          <cell r="AB155" t="e">
            <v>#REF!</v>
          </cell>
          <cell r="AC155" t="e">
            <v>#REF!</v>
          </cell>
          <cell r="AD155" t="e">
            <v>#REF!</v>
          </cell>
          <cell r="AE155" t="e">
            <v>#REF!</v>
          </cell>
          <cell r="AF155" t="e">
            <v>#REF!</v>
          </cell>
          <cell r="AG155" t="e">
            <v>#REF!</v>
          </cell>
          <cell r="AH155" t="e">
            <v>#REF!</v>
          </cell>
          <cell r="AI155" t="e">
            <v>#REF!</v>
          </cell>
          <cell r="AJ155" t="e">
            <v>#REF!</v>
          </cell>
          <cell r="AK155" t="e">
            <v>#REF!</v>
          </cell>
          <cell r="AL155" t="e">
            <v>#REF!</v>
          </cell>
          <cell r="AM155" t="e">
            <v>#REF!</v>
          </cell>
          <cell r="AN155" t="e">
            <v>#REF!</v>
          </cell>
          <cell r="AO155" t="e">
            <v>#REF!</v>
          </cell>
          <cell r="AP155" t="e">
            <v>#REF!</v>
          </cell>
          <cell r="AQ155" t="e">
            <v>#REF!</v>
          </cell>
          <cell r="AR155" t="e">
            <v>#REF!</v>
          </cell>
          <cell r="AS155" t="e">
            <v>#REF!</v>
          </cell>
          <cell r="AT155" t="e">
            <v>#REF!</v>
          </cell>
          <cell r="AU155" t="e">
            <v>#REF!</v>
          </cell>
          <cell r="AV155" t="e">
            <v>#REF!</v>
          </cell>
          <cell r="AW155" t="e">
            <v>#REF!</v>
          </cell>
          <cell r="AX155" t="e">
            <v>#REF!</v>
          </cell>
          <cell r="AY155" t="e">
            <v>#REF!</v>
          </cell>
          <cell r="AZ155" t="e">
            <v>#REF!</v>
          </cell>
          <cell r="BA155" t="e">
            <v>#REF!</v>
          </cell>
          <cell r="BB155" t="e">
            <v>#REF!</v>
          </cell>
          <cell r="BC155" t="e">
            <v>#REF!</v>
          </cell>
          <cell r="BD155" t="e">
            <v>#REF!</v>
          </cell>
          <cell r="BE155" t="e">
            <v>#REF!</v>
          </cell>
          <cell r="BF155" t="e">
            <v>#REF!</v>
          </cell>
          <cell r="BG155" t="e">
            <v>#REF!</v>
          </cell>
          <cell r="BH155" t="e">
            <v>#REF!</v>
          </cell>
          <cell r="BI155" t="e">
            <v>#REF!</v>
          </cell>
          <cell r="BJ155" t="e">
            <v>#REF!</v>
          </cell>
          <cell r="BK155" t="e">
            <v>#REF!</v>
          </cell>
          <cell r="BL155" t="e">
            <v>#REF!</v>
          </cell>
          <cell r="BM155" t="e">
            <v>#REF!</v>
          </cell>
          <cell r="BN155" t="e">
            <v>#REF!</v>
          </cell>
          <cell r="BO155" t="e">
            <v>#REF!</v>
          </cell>
          <cell r="BP155" t="e">
            <v>#REF!</v>
          </cell>
          <cell r="BQ155" t="e">
            <v>#REF!</v>
          </cell>
          <cell r="BR155" t="e">
            <v>#REF!</v>
          </cell>
          <cell r="BS155" t="e">
            <v>#REF!</v>
          </cell>
          <cell r="BT155" t="e">
            <v>#REF!</v>
          </cell>
          <cell r="BU155" t="e">
            <v>#REF!</v>
          </cell>
        </row>
        <row r="156">
          <cell r="A156" t="str">
            <v>20206MD</v>
          </cell>
          <cell r="B156">
            <v>20206</v>
          </cell>
          <cell r="C156" t="str">
            <v>MD</v>
          </cell>
          <cell r="D156" t="e">
            <v>#REF!</v>
          </cell>
          <cell r="E156" t="e">
            <v>#REF!</v>
          </cell>
          <cell r="F156" t="e">
            <v>#REF!</v>
          </cell>
          <cell r="G156" t="str">
            <v>Y</v>
          </cell>
          <cell r="M156" t="e">
            <v>#REF!</v>
          </cell>
          <cell r="N156" t="e">
            <v>#REF!</v>
          </cell>
          <cell r="O156" t="e">
            <v>#REF!</v>
          </cell>
          <cell r="P156" t="e">
            <v>#REF!</v>
          </cell>
          <cell r="Q156" t="e">
            <v>#REF!</v>
          </cell>
          <cell r="R156" t="e">
            <v>#REF!</v>
          </cell>
          <cell r="S156" t="e">
            <v>#REF!</v>
          </cell>
          <cell r="T156" t="e">
            <v>#REF!</v>
          </cell>
          <cell r="U156" t="e">
            <v>#REF!</v>
          </cell>
          <cell r="V156" t="e">
            <v>#REF!</v>
          </cell>
          <cell r="W156" t="e">
            <v>#REF!</v>
          </cell>
          <cell r="X156" t="e">
            <v>#REF!</v>
          </cell>
          <cell r="Y156" t="e">
            <v>#REF!</v>
          </cell>
          <cell r="Z156" t="e">
            <v>#REF!</v>
          </cell>
          <cell r="AA156" t="e">
            <v>#REF!</v>
          </cell>
          <cell r="AB156" t="e">
            <v>#REF!</v>
          </cell>
          <cell r="AC156" t="e">
            <v>#REF!</v>
          </cell>
          <cell r="AD156" t="e">
            <v>#REF!</v>
          </cell>
          <cell r="AE156" t="e">
            <v>#REF!</v>
          </cell>
          <cell r="AF156" t="e">
            <v>#REF!</v>
          </cell>
          <cell r="AG156" t="e">
            <v>#REF!</v>
          </cell>
          <cell r="AH156" t="e">
            <v>#REF!</v>
          </cell>
          <cell r="AI156" t="e">
            <v>#REF!</v>
          </cell>
          <cell r="AJ156" t="e">
            <v>#REF!</v>
          </cell>
          <cell r="AK156" t="e">
            <v>#REF!</v>
          </cell>
          <cell r="AL156" t="e">
            <v>#REF!</v>
          </cell>
          <cell r="AM156" t="e">
            <v>#REF!</v>
          </cell>
          <cell r="AN156" t="e">
            <v>#REF!</v>
          </cell>
          <cell r="AO156" t="e">
            <v>#REF!</v>
          </cell>
          <cell r="AP156" t="e">
            <v>#REF!</v>
          </cell>
          <cell r="AQ156" t="e">
            <v>#REF!</v>
          </cell>
          <cell r="AR156" t="e">
            <v>#REF!</v>
          </cell>
          <cell r="AS156" t="e">
            <v>#REF!</v>
          </cell>
          <cell r="AT156" t="e">
            <v>#REF!</v>
          </cell>
          <cell r="AU156" t="e">
            <v>#REF!</v>
          </cell>
          <cell r="AV156" t="e">
            <v>#REF!</v>
          </cell>
          <cell r="AW156" t="e">
            <v>#REF!</v>
          </cell>
          <cell r="AX156" t="e">
            <v>#REF!</v>
          </cell>
          <cell r="AY156" t="e">
            <v>#REF!</v>
          </cell>
          <cell r="AZ156" t="e">
            <v>#REF!</v>
          </cell>
          <cell r="BA156" t="e">
            <v>#REF!</v>
          </cell>
          <cell r="BB156" t="e">
            <v>#REF!</v>
          </cell>
          <cell r="BC156" t="e">
            <v>#REF!</v>
          </cell>
          <cell r="BD156" t="e">
            <v>#REF!</v>
          </cell>
          <cell r="BE156" t="e">
            <v>#REF!</v>
          </cell>
          <cell r="BF156" t="e">
            <v>#REF!</v>
          </cell>
          <cell r="BG156" t="e">
            <v>#REF!</v>
          </cell>
          <cell r="BH156" t="e">
            <v>#REF!</v>
          </cell>
          <cell r="BI156" t="e">
            <v>#REF!</v>
          </cell>
          <cell r="BJ156" t="e">
            <v>#REF!</v>
          </cell>
          <cell r="BK156" t="e">
            <v>#REF!</v>
          </cell>
          <cell r="BL156" t="e">
            <v>#REF!</v>
          </cell>
          <cell r="BM156" t="e">
            <v>#REF!</v>
          </cell>
          <cell r="BN156" t="e">
            <v>#REF!</v>
          </cell>
          <cell r="BO156" t="e">
            <v>#REF!</v>
          </cell>
          <cell r="BP156" t="e">
            <v>#REF!</v>
          </cell>
          <cell r="BQ156" t="e">
            <v>#REF!</v>
          </cell>
          <cell r="BR156" t="e">
            <v>#REF!</v>
          </cell>
          <cell r="BS156" t="e">
            <v>#REF!</v>
          </cell>
          <cell r="BT156" t="e">
            <v>#REF!</v>
          </cell>
          <cell r="BU156" t="e">
            <v>#REF!</v>
          </cell>
        </row>
        <row r="157">
          <cell r="A157" t="str">
            <v>20207MD</v>
          </cell>
          <cell r="B157">
            <v>20207</v>
          </cell>
          <cell r="C157" t="str">
            <v>MD</v>
          </cell>
          <cell r="D157" t="e">
            <v>#REF!</v>
          </cell>
          <cell r="E157" t="e">
            <v>#REF!</v>
          </cell>
          <cell r="F157" t="e">
            <v>#REF!</v>
          </cell>
          <cell r="G157" t="str">
            <v>N</v>
          </cell>
          <cell r="M157" t="e">
            <v>#REF!</v>
          </cell>
          <cell r="N157" t="e">
            <v>#REF!</v>
          </cell>
          <cell r="O157" t="e">
            <v>#REF!</v>
          </cell>
          <cell r="P157" t="e">
            <v>#REF!</v>
          </cell>
          <cell r="Q157" t="e">
            <v>#REF!</v>
          </cell>
          <cell r="R157" t="e">
            <v>#REF!</v>
          </cell>
          <cell r="S157" t="e">
            <v>#REF!</v>
          </cell>
          <cell r="T157" t="e">
            <v>#REF!</v>
          </cell>
          <cell r="U157" t="e">
            <v>#REF!</v>
          </cell>
          <cell r="V157" t="e">
            <v>#REF!</v>
          </cell>
          <cell r="W157" t="e">
            <v>#REF!</v>
          </cell>
          <cell r="X157" t="e">
            <v>#REF!</v>
          </cell>
          <cell r="Y157" t="e">
            <v>#REF!</v>
          </cell>
          <cell r="Z157" t="e">
            <v>#REF!</v>
          </cell>
          <cell r="AA157" t="e">
            <v>#REF!</v>
          </cell>
          <cell r="AB157" t="e">
            <v>#REF!</v>
          </cell>
          <cell r="AC157" t="e">
            <v>#REF!</v>
          </cell>
          <cell r="AD157" t="e">
            <v>#REF!</v>
          </cell>
          <cell r="AE157" t="e">
            <v>#REF!</v>
          </cell>
          <cell r="AF157" t="e">
            <v>#REF!</v>
          </cell>
          <cell r="AG157" t="e">
            <v>#REF!</v>
          </cell>
          <cell r="AH157" t="e">
            <v>#REF!</v>
          </cell>
          <cell r="AI157" t="e">
            <v>#REF!</v>
          </cell>
          <cell r="AJ157" t="e">
            <v>#REF!</v>
          </cell>
          <cell r="AK157" t="e">
            <v>#REF!</v>
          </cell>
          <cell r="AL157" t="e">
            <v>#REF!</v>
          </cell>
          <cell r="AM157" t="e">
            <v>#REF!</v>
          </cell>
          <cell r="AN157" t="e">
            <v>#REF!</v>
          </cell>
          <cell r="AO157" t="e">
            <v>#REF!</v>
          </cell>
          <cell r="AP157" t="e">
            <v>#REF!</v>
          </cell>
          <cell r="AQ157" t="e">
            <v>#REF!</v>
          </cell>
          <cell r="AR157" t="e">
            <v>#REF!</v>
          </cell>
          <cell r="AS157" t="e">
            <v>#REF!</v>
          </cell>
          <cell r="AT157" t="e">
            <v>#REF!</v>
          </cell>
          <cell r="AU157" t="e">
            <v>#REF!</v>
          </cell>
          <cell r="AV157" t="e">
            <v>#REF!</v>
          </cell>
          <cell r="AW157" t="e">
            <v>#REF!</v>
          </cell>
          <cell r="AX157" t="e">
            <v>#REF!</v>
          </cell>
          <cell r="AY157" t="e">
            <v>#REF!</v>
          </cell>
          <cell r="AZ157" t="e">
            <v>#REF!</v>
          </cell>
          <cell r="BA157" t="e">
            <v>#REF!</v>
          </cell>
          <cell r="BB157" t="e">
            <v>#REF!</v>
          </cell>
          <cell r="BC157" t="e">
            <v>#REF!</v>
          </cell>
          <cell r="BD157" t="e">
            <v>#REF!</v>
          </cell>
          <cell r="BE157" t="e">
            <v>#REF!</v>
          </cell>
          <cell r="BF157" t="e">
            <v>#REF!</v>
          </cell>
          <cell r="BG157" t="e">
            <v>#REF!</v>
          </cell>
          <cell r="BH157" t="e">
            <v>#REF!</v>
          </cell>
          <cell r="BI157" t="e">
            <v>#REF!</v>
          </cell>
          <cell r="BJ157" t="e">
            <v>#REF!</v>
          </cell>
          <cell r="BK157" t="e">
            <v>#REF!</v>
          </cell>
          <cell r="BL157" t="e">
            <v>#REF!</v>
          </cell>
          <cell r="BM157" t="e">
            <v>#REF!</v>
          </cell>
          <cell r="BN157" t="e">
            <v>#REF!</v>
          </cell>
          <cell r="BO157" t="e">
            <v>#REF!</v>
          </cell>
          <cell r="BP157" t="e">
            <v>#REF!</v>
          </cell>
          <cell r="BQ157" t="e">
            <v>#REF!</v>
          </cell>
          <cell r="BR157" t="e">
            <v>#REF!</v>
          </cell>
          <cell r="BS157" t="e">
            <v>#REF!</v>
          </cell>
          <cell r="BT157" t="e">
            <v>#REF!</v>
          </cell>
          <cell r="BU157" t="e">
            <v>#REF!</v>
          </cell>
        </row>
        <row r="158">
          <cell r="A158" t="str">
            <v>20208MD</v>
          </cell>
          <cell r="B158">
            <v>20208</v>
          </cell>
          <cell r="C158" t="str">
            <v>MD</v>
          </cell>
          <cell r="D158" t="e">
            <v>#REF!</v>
          </cell>
          <cell r="E158" t="e">
            <v>#REF!</v>
          </cell>
          <cell r="F158" t="e">
            <v>#REF!</v>
          </cell>
          <cell r="G158" t="str">
            <v>Y</v>
          </cell>
          <cell r="M158" t="e">
            <v>#REF!</v>
          </cell>
          <cell r="N158" t="e">
            <v>#REF!</v>
          </cell>
          <cell r="O158" t="e">
            <v>#REF!</v>
          </cell>
          <cell r="P158" t="e">
            <v>#REF!</v>
          </cell>
          <cell r="Q158" t="e">
            <v>#REF!</v>
          </cell>
          <cell r="R158" t="e">
            <v>#REF!</v>
          </cell>
          <cell r="S158" t="e">
            <v>#REF!</v>
          </cell>
          <cell r="T158" t="e">
            <v>#REF!</v>
          </cell>
          <cell r="U158" t="e">
            <v>#REF!</v>
          </cell>
          <cell r="V158" t="e">
            <v>#REF!</v>
          </cell>
          <cell r="W158" t="e">
            <v>#REF!</v>
          </cell>
          <cell r="X158" t="e">
            <v>#REF!</v>
          </cell>
          <cell r="Y158" t="e">
            <v>#REF!</v>
          </cell>
          <cell r="Z158" t="e">
            <v>#REF!</v>
          </cell>
          <cell r="AA158" t="e">
            <v>#REF!</v>
          </cell>
          <cell r="AB158" t="e">
            <v>#REF!</v>
          </cell>
          <cell r="AC158" t="e">
            <v>#REF!</v>
          </cell>
          <cell r="AD158" t="e">
            <v>#REF!</v>
          </cell>
          <cell r="AE158" t="e">
            <v>#REF!</v>
          </cell>
          <cell r="AF158" t="e">
            <v>#REF!</v>
          </cell>
          <cell r="AG158" t="e">
            <v>#REF!</v>
          </cell>
          <cell r="AH158" t="e">
            <v>#REF!</v>
          </cell>
          <cell r="AI158" t="e">
            <v>#REF!</v>
          </cell>
          <cell r="AJ158" t="e">
            <v>#REF!</v>
          </cell>
          <cell r="AK158" t="e">
            <v>#REF!</v>
          </cell>
          <cell r="AL158" t="e">
            <v>#REF!</v>
          </cell>
          <cell r="AM158" t="e">
            <v>#REF!</v>
          </cell>
          <cell r="AN158" t="e">
            <v>#REF!</v>
          </cell>
          <cell r="AO158" t="e">
            <v>#REF!</v>
          </cell>
          <cell r="AP158" t="e">
            <v>#REF!</v>
          </cell>
          <cell r="AQ158" t="e">
            <v>#REF!</v>
          </cell>
          <cell r="AR158" t="e">
            <v>#REF!</v>
          </cell>
          <cell r="AS158" t="e">
            <v>#REF!</v>
          </cell>
          <cell r="AT158" t="e">
            <v>#REF!</v>
          </cell>
          <cell r="AU158" t="e">
            <v>#REF!</v>
          </cell>
          <cell r="AV158" t="e">
            <v>#REF!</v>
          </cell>
          <cell r="AW158" t="e">
            <v>#REF!</v>
          </cell>
          <cell r="AX158" t="e">
            <v>#REF!</v>
          </cell>
          <cell r="AY158" t="e">
            <v>#REF!</v>
          </cell>
          <cell r="AZ158" t="e">
            <v>#REF!</v>
          </cell>
          <cell r="BA158" t="e">
            <v>#REF!</v>
          </cell>
          <cell r="BB158" t="e">
            <v>#REF!</v>
          </cell>
          <cell r="BC158" t="e">
            <v>#REF!</v>
          </cell>
          <cell r="BD158" t="e">
            <v>#REF!</v>
          </cell>
          <cell r="BE158" t="e">
            <v>#REF!</v>
          </cell>
          <cell r="BF158" t="e">
            <v>#REF!</v>
          </cell>
          <cell r="BG158" t="e">
            <v>#REF!</v>
          </cell>
          <cell r="BH158" t="e">
            <v>#REF!</v>
          </cell>
          <cell r="BI158" t="e">
            <v>#REF!</v>
          </cell>
          <cell r="BJ158" t="e">
            <v>#REF!</v>
          </cell>
          <cell r="BK158" t="e">
            <v>#REF!</v>
          </cell>
          <cell r="BL158" t="e">
            <v>#REF!</v>
          </cell>
          <cell r="BM158" t="e">
            <v>#REF!</v>
          </cell>
          <cell r="BN158" t="e">
            <v>#REF!</v>
          </cell>
          <cell r="BO158" t="e">
            <v>#REF!</v>
          </cell>
          <cell r="BP158" t="e">
            <v>#REF!</v>
          </cell>
          <cell r="BQ158" t="e">
            <v>#REF!</v>
          </cell>
          <cell r="BR158" t="e">
            <v>#REF!</v>
          </cell>
          <cell r="BS158" t="e">
            <v>#REF!</v>
          </cell>
          <cell r="BT158" t="e">
            <v>#REF!</v>
          </cell>
          <cell r="BU158" t="e">
            <v>#REF!</v>
          </cell>
        </row>
        <row r="159">
          <cell r="A159" t="str">
            <v>20301MD</v>
          </cell>
          <cell r="B159">
            <v>20301</v>
          </cell>
          <cell r="C159" t="str">
            <v>MD</v>
          </cell>
          <cell r="D159" t="str">
            <v>Cooling</v>
          </cell>
          <cell r="E159" t="str">
            <v>Efficient Unitary AC</v>
          </cell>
          <cell r="F159" t="str">
            <v>C</v>
          </cell>
          <cell r="G159" t="str">
            <v>Y</v>
          </cell>
          <cell r="M159" t="str">
            <v>NC,RENO,REPL</v>
          </cell>
          <cell r="N159" t="str">
            <v>Standard efficiency unitary AC</v>
          </cell>
          <cell r="O159">
            <v>2021</v>
          </cell>
          <cell r="P159">
            <v>2030</v>
          </cell>
          <cell r="Q159" t="str">
            <v>Small Office</v>
          </cell>
          <cell r="R159" t="str">
            <v/>
          </cell>
          <cell r="S159">
            <v>0</v>
          </cell>
          <cell r="T159">
            <v>0</v>
          </cell>
          <cell r="U159">
            <v>0</v>
          </cell>
          <cell r="V159">
            <v>1082.393992342656</v>
          </cell>
          <cell r="W159">
            <v>0.18243243243243246</v>
          </cell>
          <cell r="X159" t="str">
            <v>-</v>
          </cell>
          <cell r="Y159" t="str">
            <v>7,3,46</v>
          </cell>
          <cell r="Z159" t="str">
            <v>7,3,46</v>
          </cell>
          <cell r="AA159">
            <v>0</v>
          </cell>
          <cell r="AB159">
            <v>0</v>
          </cell>
          <cell r="AC159">
            <v>907.73524815187977</v>
          </cell>
          <cell r="AD159">
            <v>0.83863662822743745</v>
          </cell>
          <cell r="AE159" t="str">
            <v>9,8</v>
          </cell>
          <cell r="AF159" t="str">
            <v>9,8</v>
          </cell>
          <cell r="AG159">
            <v>0</v>
          </cell>
          <cell r="AH159">
            <v>0</v>
          </cell>
          <cell r="AI159">
            <v>0</v>
          </cell>
          <cell r="AJ159">
            <v>0</v>
          </cell>
          <cell r="AK159">
            <v>0</v>
          </cell>
          <cell r="AL159" t="str">
            <v>-</v>
          </cell>
          <cell r="AM159" t="str">
            <v>-</v>
          </cell>
          <cell r="AN159" t="str">
            <v/>
          </cell>
          <cell r="AO159">
            <v>0</v>
          </cell>
          <cell r="AP159" t="str">
            <v>-</v>
          </cell>
          <cell r="AQ159">
            <v>0</v>
          </cell>
          <cell r="AR159" t="str">
            <v>-</v>
          </cell>
          <cell r="AS159">
            <v>0</v>
          </cell>
          <cell r="AT159" t="str">
            <v/>
          </cell>
          <cell r="AU159">
            <v>0</v>
          </cell>
          <cell r="AV159" t="str">
            <v>-</v>
          </cell>
          <cell r="AW159">
            <v>0</v>
          </cell>
          <cell r="AX159" t="str">
            <v>-</v>
          </cell>
          <cell r="AY159">
            <v>0</v>
          </cell>
          <cell r="AZ159" t="str">
            <v/>
          </cell>
          <cell r="BA159">
            <v>0</v>
          </cell>
          <cell r="BB159" t="str">
            <v>-</v>
          </cell>
          <cell r="BC159">
            <v>0</v>
          </cell>
          <cell r="BD159" t="str">
            <v>-</v>
          </cell>
          <cell r="BE159">
            <v>0</v>
          </cell>
          <cell r="BF159" t="str">
            <v/>
          </cell>
          <cell r="BG159">
            <v>0</v>
          </cell>
          <cell r="BH159" t="str">
            <v>-</v>
          </cell>
          <cell r="BI159">
            <v>0</v>
          </cell>
          <cell r="BJ159" t="str">
            <v>-</v>
          </cell>
          <cell r="BK159">
            <v>0</v>
          </cell>
          <cell r="BL159">
            <v>0</v>
          </cell>
          <cell r="BM159" t="str">
            <v>-</v>
          </cell>
          <cell r="BN159">
            <v>15</v>
          </cell>
          <cell r="BO159" t="str">
            <v/>
          </cell>
          <cell r="BP159">
            <v>0</v>
          </cell>
          <cell r="BQ159">
            <v>0</v>
          </cell>
          <cell r="BR159" t="str">
            <v>-</v>
          </cell>
          <cell r="BS159">
            <v>0</v>
          </cell>
          <cell r="BT159">
            <v>0</v>
          </cell>
          <cell r="BU159" t="str">
            <v>-</v>
          </cell>
        </row>
        <row r="160">
          <cell r="A160" t="str">
            <v>20301RET</v>
          </cell>
          <cell r="B160">
            <v>20301</v>
          </cell>
          <cell r="C160" t="str">
            <v>RET</v>
          </cell>
          <cell r="D160" t="str">
            <v>Cooling</v>
          </cell>
          <cell r="E160" t="str">
            <v>Efficient Unitary AC</v>
          </cell>
          <cell r="F160" t="str">
            <v>C</v>
          </cell>
          <cell r="G160" t="str">
            <v>Y</v>
          </cell>
          <cell r="M160" t="str">
            <v>RET</v>
          </cell>
          <cell r="N160" t="str">
            <v>Existing, standard efficiency unitary AC</v>
          </cell>
          <cell r="O160">
            <v>2021</v>
          </cell>
          <cell r="P160">
            <v>2030</v>
          </cell>
          <cell r="Q160" t="str">
            <v>Small Office</v>
          </cell>
          <cell r="R160" t="str">
            <v/>
          </cell>
          <cell r="S160">
            <v>0</v>
          </cell>
          <cell r="T160">
            <v>0</v>
          </cell>
          <cell r="U160">
            <v>0</v>
          </cell>
          <cell r="V160">
            <v>1082.393992342656</v>
          </cell>
          <cell r="W160">
            <v>0.18243243243243246</v>
          </cell>
          <cell r="X160" t="str">
            <v>-</v>
          </cell>
          <cell r="Y160" t="str">
            <v>7,3,46</v>
          </cell>
          <cell r="Z160" t="str">
            <v>7,3,46</v>
          </cell>
          <cell r="AA160">
            <v>0</v>
          </cell>
          <cell r="AB160">
            <v>0</v>
          </cell>
          <cell r="AC160">
            <v>10665.889165784587</v>
          </cell>
          <cell r="AD160">
            <v>9.8539803816723897</v>
          </cell>
          <cell r="AE160" t="str">
            <v>9,8</v>
          </cell>
          <cell r="AF160" t="str">
            <v>9,8</v>
          </cell>
          <cell r="AG160">
            <v>15</v>
          </cell>
          <cell r="AH160">
            <v>8</v>
          </cell>
          <cell r="AI160">
            <v>9758.1539176327078</v>
          </cell>
          <cell r="AJ160">
            <v>9.0153437534449523</v>
          </cell>
          <cell r="AK160">
            <v>1</v>
          </cell>
          <cell r="AL160" t="str">
            <v>-</v>
          </cell>
          <cell r="AM160" t="str">
            <v>-</v>
          </cell>
          <cell r="AN160" t="str">
            <v/>
          </cell>
          <cell r="AO160">
            <v>0</v>
          </cell>
          <cell r="AP160" t="str">
            <v>-</v>
          </cell>
          <cell r="AQ160">
            <v>0</v>
          </cell>
          <cell r="AR160" t="str">
            <v>-</v>
          </cell>
          <cell r="AS160">
            <v>0</v>
          </cell>
          <cell r="AT160" t="str">
            <v/>
          </cell>
          <cell r="AU160">
            <v>0</v>
          </cell>
          <cell r="AV160" t="str">
            <v>-</v>
          </cell>
          <cell r="AW160">
            <v>0</v>
          </cell>
          <cell r="AX160" t="str">
            <v>-</v>
          </cell>
          <cell r="AY160">
            <v>0</v>
          </cell>
          <cell r="AZ160" t="str">
            <v/>
          </cell>
          <cell r="BA160">
            <v>0</v>
          </cell>
          <cell r="BB160" t="str">
            <v>-</v>
          </cell>
          <cell r="BC160">
            <v>0</v>
          </cell>
          <cell r="BD160" t="str">
            <v>-</v>
          </cell>
          <cell r="BE160">
            <v>0</v>
          </cell>
          <cell r="BF160" t="str">
            <v/>
          </cell>
          <cell r="BG160">
            <v>0</v>
          </cell>
          <cell r="BH160" t="str">
            <v>-</v>
          </cell>
          <cell r="BI160">
            <v>0</v>
          </cell>
          <cell r="BJ160" t="str">
            <v>-</v>
          </cell>
          <cell r="BK160">
            <v>0</v>
          </cell>
          <cell r="BL160">
            <v>0</v>
          </cell>
          <cell r="BM160" t="str">
            <v>-</v>
          </cell>
          <cell r="BN160">
            <v>15</v>
          </cell>
          <cell r="BO160" t="str">
            <v/>
          </cell>
          <cell r="BP160">
            <v>0</v>
          </cell>
          <cell r="BQ160">
            <v>0</v>
          </cell>
          <cell r="BR160" t="str">
            <v>-</v>
          </cell>
          <cell r="BS160">
            <v>0</v>
          </cell>
          <cell r="BT160">
            <v>0</v>
          </cell>
          <cell r="BU160" t="str">
            <v>-</v>
          </cell>
        </row>
        <row r="161">
          <cell r="A161" t="str">
            <v>20302RET</v>
          </cell>
          <cell r="B161">
            <v>20302</v>
          </cell>
          <cell r="C161" t="str">
            <v>RET</v>
          </cell>
          <cell r="D161" t="str">
            <v>Cooling</v>
          </cell>
          <cell r="E161" t="str">
            <v>AC Tuneup</v>
          </cell>
          <cell r="F161" t="str">
            <v>C</v>
          </cell>
          <cell r="G161" t="str">
            <v>Y</v>
          </cell>
          <cell r="M161" t="str">
            <v>RET</v>
          </cell>
          <cell r="N161" t="str">
            <v>Existing RTU system pre-tune-up</v>
          </cell>
          <cell r="O161">
            <v>2021</v>
          </cell>
          <cell r="P161">
            <v>2030</v>
          </cell>
          <cell r="Q161" t="str">
            <v>Small Office</v>
          </cell>
          <cell r="R161" t="str">
            <v/>
          </cell>
          <cell r="S161">
            <v>0</v>
          </cell>
          <cell r="T161">
            <v>0</v>
          </cell>
          <cell r="U161">
            <v>0</v>
          </cell>
          <cell r="V161">
            <v>0</v>
          </cell>
          <cell r="W161">
            <v>0.10000000000000012</v>
          </cell>
          <cell r="X161" t="str">
            <v>-</v>
          </cell>
          <cell r="Y161" t="str">
            <v>7,11,3,46</v>
          </cell>
          <cell r="Z161" t="str">
            <v>7,11,3,46</v>
          </cell>
          <cell r="AA161">
            <v>0</v>
          </cell>
          <cell r="AB161">
            <v>0</v>
          </cell>
          <cell r="AC161">
            <v>0</v>
          </cell>
          <cell r="AD161">
            <v>0.7353534010964633</v>
          </cell>
          <cell r="AE161">
            <v>9</v>
          </cell>
          <cell r="AF161">
            <v>9</v>
          </cell>
          <cell r="AG161">
            <v>0</v>
          </cell>
          <cell r="AH161">
            <v>0</v>
          </cell>
          <cell r="AI161">
            <v>0</v>
          </cell>
          <cell r="AJ161">
            <v>0</v>
          </cell>
          <cell r="AK161">
            <v>0</v>
          </cell>
          <cell r="AL161" t="str">
            <v>-</v>
          </cell>
          <cell r="AM161" t="str">
            <v>-</v>
          </cell>
          <cell r="AN161" t="str">
            <v/>
          </cell>
          <cell r="AO161">
            <v>0</v>
          </cell>
          <cell r="AP161" t="str">
            <v>-</v>
          </cell>
          <cell r="AQ161">
            <v>0</v>
          </cell>
          <cell r="AR161" t="str">
            <v>-</v>
          </cell>
          <cell r="AS161">
            <v>0</v>
          </cell>
          <cell r="AT161" t="str">
            <v/>
          </cell>
          <cell r="AU161">
            <v>0</v>
          </cell>
          <cell r="AV161" t="str">
            <v>-</v>
          </cell>
          <cell r="AW161">
            <v>0</v>
          </cell>
          <cell r="AX161" t="str">
            <v>-</v>
          </cell>
          <cell r="AY161">
            <v>0</v>
          </cell>
          <cell r="AZ161" t="str">
            <v/>
          </cell>
          <cell r="BA161">
            <v>0</v>
          </cell>
          <cell r="BB161" t="str">
            <v>-</v>
          </cell>
          <cell r="BC161">
            <v>0</v>
          </cell>
          <cell r="BD161" t="str">
            <v>-</v>
          </cell>
          <cell r="BE161">
            <v>0</v>
          </cell>
          <cell r="BF161" t="str">
            <v/>
          </cell>
          <cell r="BG161">
            <v>0</v>
          </cell>
          <cell r="BH161" t="str">
            <v>-</v>
          </cell>
          <cell r="BI161">
            <v>0</v>
          </cell>
          <cell r="BJ161" t="str">
            <v>-</v>
          </cell>
          <cell r="BK161">
            <v>0</v>
          </cell>
          <cell r="BL161">
            <v>0</v>
          </cell>
          <cell r="BM161" t="str">
            <v>-</v>
          </cell>
          <cell r="BN161">
            <v>5</v>
          </cell>
          <cell r="BO161" t="str">
            <v/>
          </cell>
          <cell r="BP161">
            <v>0</v>
          </cell>
          <cell r="BQ161">
            <v>0</v>
          </cell>
          <cell r="BR161" t="str">
            <v>-</v>
          </cell>
          <cell r="BS161">
            <v>0</v>
          </cell>
          <cell r="BT161">
            <v>0</v>
          </cell>
          <cell r="BU161" t="str">
            <v>-</v>
          </cell>
        </row>
        <row r="162">
          <cell r="A162" t="str">
            <v>20303MD</v>
          </cell>
          <cell r="B162">
            <v>20303</v>
          </cell>
          <cell r="C162" t="str">
            <v>MD</v>
          </cell>
          <cell r="D162" t="str">
            <v>Cooling</v>
          </cell>
          <cell r="E162" t="str">
            <v>Unitary Heat Pump</v>
          </cell>
          <cell r="F162" t="str">
            <v>C</v>
          </cell>
          <cell r="G162" t="str">
            <v>Y</v>
          </cell>
          <cell r="M162" t="str">
            <v>NC,RENO,REPL</v>
          </cell>
          <cell r="N162" t="str">
            <v>Standard efficiency unitary air source heat pump (ASHP)</v>
          </cell>
          <cell r="O162">
            <v>2021</v>
          </cell>
          <cell r="P162">
            <v>2030</v>
          </cell>
          <cell r="Q162" t="str">
            <v>Large Office</v>
          </cell>
          <cell r="R162" t="str">
            <v/>
          </cell>
          <cell r="S162">
            <v>0</v>
          </cell>
          <cell r="T162">
            <v>0</v>
          </cell>
          <cell r="U162">
            <v>0</v>
          </cell>
          <cell r="V162">
            <v>341.94016210830478</v>
          </cell>
          <cell r="W162">
            <v>0.12053771851667675</v>
          </cell>
          <cell r="X162" t="str">
            <v>-</v>
          </cell>
          <cell r="Y162">
            <v>3</v>
          </cell>
          <cell r="Z162">
            <v>3</v>
          </cell>
          <cell r="AA162">
            <v>0</v>
          </cell>
          <cell r="AB162">
            <v>0</v>
          </cell>
          <cell r="AC162">
            <v>847.31847222222223</v>
          </cell>
          <cell r="AD162">
            <v>2.4779729499977425</v>
          </cell>
          <cell r="AE162">
            <v>9</v>
          </cell>
          <cell r="AF162">
            <v>9</v>
          </cell>
          <cell r="AG162">
            <v>0</v>
          </cell>
          <cell r="AH162">
            <v>0</v>
          </cell>
          <cell r="AI162">
            <v>0</v>
          </cell>
          <cell r="AJ162">
            <v>0</v>
          </cell>
          <cell r="AK162">
            <v>0</v>
          </cell>
          <cell r="AL162" t="str">
            <v>-</v>
          </cell>
          <cell r="AM162" t="str">
            <v>-</v>
          </cell>
          <cell r="AN162" t="str">
            <v/>
          </cell>
          <cell r="AO162">
            <v>0</v>
          </cell>
          <cell r="AP162" t="str">
            <v>-</v>
          </cell>
          <cell r="AQ162">
            <v>0</v>
          </cell>
          <cell r="AR162" t="str">
            <v>-</v>
          </cell>
          <cell r="AS162">
            <v>0</v>
          </cell>
          <cell r="AT162" t="str">
            <v/>
          </cell>
          <cell r="AU162">
            <v>0</v>
          </cell>
          <cell r="AV162" t="str">
            <v>-</v>
          </cell>
          <cell r="AW162">
            <v>0</v>
          </cell>
          <cell r="AX162" t="str">
            <v>-</v>
          </cell>
          <cell r="AY162">
            <v>0</v>
          </cell>
          <cell r="AZ162" t="str">
            <v/>
          </cell>
          <cell r="BA162">
            <v>0</v>
          </cell>
          <cell r="BB162" t="str">
            <v>-</v>
          </cell>
          <cell r="BC162">
            <v>0</v>
          </cell>
          <cell r="BD162" t="str">
            <v>-</v>
          </cell>
          <cell r="BE162">
            <v>0</v>
          </cell>
          <cell r="BF162" t="str">
            <v/>
          </cell>
          <cell r="BG162">
            <v>0</v>
          </cell>
          <cell r="BH162" t="str">
            <v>-</v>
          </cell>
          <cell r="BI162">
            <v>0</v>
          </cell>
          <cell r="BJ162" t="str">
            <v>-</v>
          </cell>
          <cell r="BK162">
            <v>0</v>
          </cell>
          <cell r="BL162">
            <v>0</v>
          </cell>
          <cell r="BM162" t="str">
            <v>-</v>
          </cell>
          <cell r="BN162">
            <v>15</v>
          </cell>
          <cell r="BO162" t="str">
            <v/>
          </cell>
          <cell r="BP162">
            <v>0</v>
          </cell>
          <cell r="BQ162">
            <v>0</v>
          </cell>
          <cell r="BR162" t="str">
            <v>-</v>
          </cell>
          <cell r="BS162">
            <v>0</v>
          </cell>
          <cell r="BT162">
            <v>0</v>
          </cell>
          <cell r="BU162" t="str">
            <v>-</v>
          </cell>
        </row>
        <row r="163">
          <cell r="A163" t="str">
            <v>20303RET</v>
          </cell>
          <cell r="B163">
            <v>20303</v>
          </cell>
          <cell r="C163" t="str">
            <v>RET</v>
          </cell>
          <cell r="D163" t="str">
            <v>Cooling</v>
          </cell>
          <cell r="E163" t="str">
            <v>Unitary Heat Pump</v>
          </cell>
          <cell r="F163" t="str">
            <v>C</v>
          </cell>
          <cell r="G163" t="str">
            <v>Y</v>
          </cell>
          <cell r="M163" t="str">
            <v>RET</v>
          </cell>
          <cell r="N163" t="str">
            <v>Existing, standard efficiency unitary air source heat pump (ASHP)</v>
          </cell>
          <cell r="O163">
            <v>2021</v>
          </cell>
          <cell r="P163">
            <v>2030</v>
          </cell>
          <cell r="Q163" t="str">
            <v>Large Office</v>
          </cell>
          <cell r="R163" t="str">
            <v/>
          </cell>
          <cell r="S163">
            <v>0</v>
          </cell>
          <cell r="T163">
            <v>0</v>
          </cell>
          <cell r="U163">
            <v>0</v>
          </cell>
          <cell r="V163">
            <v>341.94016210830478</v>
          </cell>
          <cell r="W163">
            <v>0.12053771851667675</v>
          </cell>
          <cell r="X163" t="str">
            <v>-</v>
          </cell>
          <cell r="Y163" t="str">
            <v>3,7</v>
          </cell>
          <cell r="Z163" t="str">
            <v>3,7</v>
          </cell>
          <cell r="AA163">
            <v>0</v>
          </cell>
          <cell r="AB163">
            <v>0</v>
          </cell>
          <cell r="AC163">
            <v>6496.1082870370374</v>
          </cell>
          <cell r="AD163">
            <v>18.99779261664936</v>
          </cell>
          <cell r="AE163">
            <v>9</v>
          </cell>
          <cell r="AF163">
            <v>9</v>
          </cell>
          <cell r="AG163">
            <v>15</v>
          </cell>
          <cell r="AH163">
            <v>9</v>
          </cell>
          <cell r="AI163">
            <v>5648.7898148148151</v>
          </cell>
          <cell r="AJ163">
            <v>16.519819666651617</v>
          </cell>
          <cell r="AK163">
            <v>1</v>
          </cell>
          <cell r="AL163" t="str">
            <v>-</v>
          </cell>
          <cell r="AM163" t="str">
            <v>-</v>
          </cell>
          <cell r="AN163" t="str">
            <v/>
          </cell>
          <cell r="AO163">
            <v>0</v>
          </cell>
          <cell r="AP163" t="str">
            <v>-</v>
          </cell>
          <cell r="AQ163">
            <v>0</v>
          </cell>
          <cell r="AR163" t="str">
            <v>-</v>
          </cell>
          <cell r="AS163">
            <v>0</v>
          </cell>
          <cell r="AT163" t="str">
            <v/>
          </cell>
          <cell r="AU163">
            <v>0</v>
          </cell>
          <cell r="AV163" t="str">
            <v>-</v>
          </cell>
          <cell r="AW163">
            <v>0</v>
          </cell>
          <cell r="AX163" t="str">
            <v>-</v>
          </cell>
          <cell r="AY163">
            <v>0</v>
          </cell>
          <cell r="AZ163" t="str">
            <v/>
          </cell>
          <cell r="BA163">
            <v>0</v>
          </cell>
          <cell r="BB163" t="str">
            <v>-</v>
          </cell>
          <cell r="BC163">
            <v>0</v>
          </cell>
          <cell r="BD163" t="str">
            <v>-</v>
          </cell>
          <cell r="BE163">
            <v>0</v>
          </cell>
          <cell r="BF163" t="str">
            <v/>
          </cell>
          <cell r="BG163">
            <v>0</v>
          </cell>
          <cell r="BH163" t="str">
            <v>-</v>
          </cell>
          <cell r="BI163">
            <v>0</v>
          </cell>
          <cell r="BJ163" t="str">
            <v>-</v>
          </cell>
          <cell r="BK163">
            <v>0</v>
          </cell>
          <cell r="BL163">
            <v>0</v>
          </cell>
          <cell r="BM163" t="str">
            <v>-</v>
          </cell>
          <cell r="BN163">
            <v>15</v>
          </cell>
          <cell r="BO163" t="str">
            <v/>
          </cell>
          <cell r="BP163">
            <v>0</v>
          </cell>
          <cell r="BQ163">
            <v>0</v>
          </cell>
          <cell r="BR163" t="str">
            <v>-</v>
          </cell>
          <cell r="BS163">
            <v>0</v>
          </cell>
          <cell r="BT163">
            <v>0</v>
          </cell>
          <cell r="BU163" t="str">
            <v>-</v>
          </cell>
        </row>
        <row r="164">
          <cell r="A164" t="str">
            <v>20304RET</v>
          </cell>
          <cell r="B164">
            <v>20304</v>
          </cell>
          <cell r="C164" t="str">
            <v>RET</v>
          </cell>
          <cell r="D164" t="str">
            <v>Cooling</v>
          </cell>
          <cell r="E164" t="str">
            <v>AC Tuneup</v>
          </cell>
          <cell r="F164" t="str">
            <v>C</v>
          </cell>
          <cell r="G164" t="str">
            <v>Y</v>
          </cell>
          <cell r="M164" t="str">
            <v>RET</v>
          </cell>
          <cell r="N164" t="str">
            <v>Existing RTU system pre-tune-up</v>
          </cell>
          <cell r="O164">
            <v>2021</v>
          </cell>
          <cell r="P164">
            <v>2030</v>
          </cell>
          <cell r="Q164" t="str">
            <v>Small Office</v>
          </cell>
          <cell r="R164" t="str">
            <v/>
          </cell>
          <cell r="S164">
            <v>0</v>
          </cell>
          <cell r="T164">
            <v>0</v>
          </cell>
          <cell r="U164">
            <v>0</v>
          </cell>
          <cell r="V164">
            <v>0</v>
          </cell>
          <cell r="W164">
            <v>0.10000000000000012</v>
          </cell>
          <cell r="X164" t="str">
            <v>-</v>
          </cell>
          <cell r="Y164" t="str">
            <v>7,11,3,46</v>
          </cell>
          <cell r="Z164" t="str">
            <v>7,11,3,46</v>
          </cell>
          <cell r="AA164">
            <v>0</v>
          </cell>
          <cell r="AB164">
            <v>0</v>
          </cell>
          <cell r="AC164">
            <v>0</v>
          </cell>
          <cell r="AD164">
            <v>0.86765786399085654</v>
          </cell>
          <cell r="AE164">
            <v>9</v>
          </cell>
          <cell r="AF164">
            <v>9</v>
          </cell>
          <cell r="AG164">
            <v>0</v>
          </cell>
          <cell r="AH164">
            <v>0</v>
          </cell>
          <cell r="AI164">
            <v>0</v>
          </cell>
          <cell r="AJ164">
            <v>0</v>
          </cell>
          <cell r="AK164">
            <v>0</v>
          </cell>
          <cell r="AL164" t="str">
            <v>-</v>
          </cell>
          <cell r="AM164" t="str">
            <v>-</v>
          </cell>
          <cell r="AN164" t="str">
            <v/>
          </cell>
          <cell r="AO164">
            <v>0</v>
          </cell>
          <cell r="AP164" t="str">
            <v>-</v>
          </cell>
          <cell r="AQ164">
            <v>0</v>
          </cell>
          <cell r="AR164" t="str">
            <v>-</v>
          </cell>
          <cell r="AS164">
            <v>0</v>
          </cell>
          <cell r="AT164" t="str">
            <v/>
          </cell>
          <cell r="AU164">
            <v>0</v>
          </cell>
          <cell r="AV164" t="str">
            <v>-</v>
          </cell>
          <cell r="AW164">
            <v>0</v>
          </cell>
          <cell r="AX164" t="str">
            <v>-</v>
          </cell>
          <cell r="AY164">
            <v>0</v>
          </cell>
          <cell r="AZ164" t="str">
            <v/>
          </cell>
          <cell r="BA164">
            <v>0</v>
          </cell>
          <cell r="BB164" t="str">
            <v>-</v>
          </cell>
          <cell r="BC164">
            <v>0</v>
          </cell>
          <cell r="BD164" t="str">
            <v>-</v>
          </cell>
          <cell r="BE164">
            <v>0</v>
          </cell>
          <cell r="BF164" t="str">
            <v/>
          </cell>
          <cell r="BG164">
            <v>0</v>
          </cell>
          <cell r="BH164" t="str">
            <v>-</v>
          </cell>
          <cell r="BI164">
            <v>0</v>
          </cell>
          <cell r="BJ164" t="str">
            <v>-</v>
          </cell>
          <cell r="BK164">
            <v>0</v>
          </cell>
          <cell r="BL164">
            <v>0</v>
          </cell>
          <cell r="BM164" t="str">
            <v>-</v>
          </cell>
          <cell r="BN164">
            <v>5</v>
          </cell>
          <cell r="BO164" t="str">
            <v/>
          </cell>
          <cell r="BP164">
            <v>0</v>
          </cell>
          <cell r="BQ164">
            <v>0</v>
          </cell>
          <cell r="BR164" t="str">
            <v>-</v>
          </cell>
          <cell r="BS164">
            <v>0</v>
          </cell>
          <cell r="BT164">
            <v>0</v>
          </cell>
          <cell r="BU164" t="str">
            <v>-</v>
          </cell>
        </row>
        <row r="165">
          <cell r="A165" t="str">
            <v>20305RET</v>
          </cell>
          <cell r="B165">
            <v>20305</v>
          </cell>
          <cell r="C165" t="str">
            <v>RET</v>
          </cell>
          <cell r="D165" t="str">
            <v>Cooling</v>
          </cell>
          <cell r="E165" t="str">
            <v>HVAC Refrigerant Charge Correction</v>
          </cell>
          <cell r="F165" t="str">
            <v>C</v>
          </cell>
          <cell r="G165" t="str">
            <v>Y</v>
          </cell>
          <cell r="M165" t="str">
            <v>RET</v>
          </cell>
          <cell r="N165" t="str">
            <v>Existing unitary equipment without a functional air side economizer</v>
          </cell>
          <cell r="O165">
            <v>2021</v>
          </cell>
          <cell r="P165">
            <v>2030</v>
          </cell>
          <cell r="Q165" t="str">
            <v>Small Office</v>
          </cell>
          <cell r="R165" t="str">
            <v/>
          </cell>
          <cell r="S165">
            <v>0</v>
          </cell>
          <cell r="T165">
            <v>0</v>
          </cell>
          <cell r="U165">
            <v>0</v>
          </cell>
          <cell r="V165">
            <v>569.45154460975232</v>
          </cell>
          <cell r="W165">
            <v>0.11111111111111116</v>
          </cell>
          <cell r="X165" t="str">
            <v>-</v>
          </cell>
          <cell r="Y165" t="str">
            <v>3,7,11,46</v>
          </cell>
          <cell r="Z165" t="str">
            <v>3,7,11,46</v>
          </cell>
          <cell r="AA165">
            <v>0</v>
          </cell>
          <cell r="AB165">
            <v>0</v>
          </cell>
          <cell r="AC165">
            <v>281.75000000000006</v>
          </cell>
          <cell r="AD165">
            <v>0.49477431867022958</v>
          </cell>
          <cell r="AE165">
            <v>49</v>
          </cell>
          <cell r="AF165">
            <v>49</v>
          </cell>
          <cell r="AG165">
            <v>0</v>
          </cell>
          <cell r="AH165">
            <v>0</v>
          </cell>
          <cell r="AI165">
            <v>0</v>
          </cell>
          <cell r="AJ165">
            <v>0</v>
          </cell>
          <cell r="AK165">
            <v>0</v>
          </cell>
          <cell r="AL165" t="str">
            <v>-</v>
          </cell>
          <cell r="AM165" t="str">
            <v>-</v>
          </cell>
          <cell r="AN165" t="str">
            <v/>
          </cell>
          <cell r="AO165">
            <v>0</v>
          </cell>
          <cell r="AP165" t="str">
            <v>-</v>
          </cell>
          <cell r="AQ165">
            <v>0</v>
          </cell>
          <cell r="AR165" t="str">
            <v>-</v>
          </cell>
          <cell r="AS165">
            <v>0</v>
          </cell>
          <cell r="AT165" t="str">
            <v/>
          </cell>
          <cell r="AU165">
            <v>0</v>
          </cell>
          <cell r="AV165" t="str">
            <v>-</v>
          </cell>
          <cell r="AW165">
            <v>0</v>
          </cell>
          <cell r="AX165" t="str">
            <v>-</v>
          </cell>
          <cell r="AY165">
            <v>0</v>
          </cell>
          <cell r="AZ165" t="str">
            <v/>
          </cell>
          <cell r="BA165">
            <v>0</v>
          </cell>
          <cell r="BB165" t="str">
            <v>-</v>
          </cell>
          <cell r="BC165">
            <v>0</v>
          </cell>
          <cell r="BD165" t="str">
            <v>-</v>
          </cell>
          <cell r="BE165">
            <v>0</v>
          </cell>
          <cell r="BF165" t="str">
            <v/>
          </cell>
          <cell r="BG165">
            <v>0</v>
          </cell>
          <cell r="BH165" t="str">
            <v>-</v>
          </cell>
          <cell r="BI165">
            <v>0</v>
          </cell>
          <cell r="BJ165" t="str">
            <v>-</v>
          </cell>
          <cell r="BK165">
            <v>0</v>
          </cell>
          <cell r="BL165">
            <v>0</v>
          </cell>
          <cell r="BM165" t="str">
            <v>-</v>
          </cell>
          <cell r="BN165">
            <v>10</v>
          </cell>
          <cell r="BO165" t="str">
            <v/>
          </cell>
          <cell r="BP165">
            <v>0</v>
          </cell>
          <cell r="BQ165">
            <v>0</v>
          </cell>
          <cell r="BR165" t="str">
            <v>-</v>
          </cell>
          <cell r="BS165">
            <v>0</v>
          </cell>
          <cell r="BT165">
            <v>0</v>
          </cell>
          <cell r="BU165" t="str">
            <v>-</v>
          </cell>
        </row>
        <row r="166">
          <cell r="A166" t="str">
            <v>20306RET</v>
          </cell>
          <cell r="B166">
            <v>20306</v>
          </cell>
          <cell r="C166" t="str">
            <v>RET</v>
          </cell>
          <cell r="D166" t="str">
            <v>Cooling</v>
          </cell>
          <cell r="E166" t="str">
            <v>HVAC Refrigerant Charge Correction</v>
          </cell>
          <cell r="F166" t="str">
            <v>C</v>
          </cell>
          <cell r="G166" t="str">
            <v>Y</v>
          </cell>
          <cell r="M166" t="str">
            <v>RET</v>
          </cell>
          <cell r="N166" t="str">
            <v>Existing HVAC refrigerant charge</v>
          </cell>
          <cell r="O166">
            <v>2021</v>
          </cell>
          <cell r="P166">
            <v>2030</v>
          </cell>
          <cell r="Q166" t="str">
            <v>Small Office</v>
          </cell>
          <cell r="R166" t="str">
            <v/>
          </cell>
          <cell r="S166">
            <v>0</v>
          </cell>
          <cell r="T166">
            <v>0</v>
          </cell>
          <cell r="U166">
            <v>0</v>
          </cell>
          <cell r="V166">
            <v>228.13788461538456</v>
          </cell>
          <cell r="W166">
            <v>0.15</v>
          </cell>
          <cell r="X166" t="str">
            <v>-</v>
          </cell>
          <cell r="Y166" t="str">
            <v>3,6</v>
          </cell>
          <cell r="Z166" t="str">
            <v>3,6</v>
          </cell>
          <cell r="AA166">
            <v>0</v>
          </cell>
          <cell r="AB166">
            <v>0</v>
          </cell>
          <cell r="AC166">
            <v>250</v>
          </cell>
          <cell r="AD166">
            <v>0</v>
          </cell>
          <cell r="AE166">
            <v>12</v>
          </cell>
          <cell r="AF166">
            <v>12</v>
          </cell>
          <cell r="AG166">
            <v>0</v>
          </cell>
          <cell r="AH166">
            <v>0</v>
          </cell>
          <cell r="AI166">
            <v>0</v>
          </cell>
          <cell r="AJ166">
            <v>0</v>
          </cell>
          <cell r="AK166">
            <v>0</v>
          </cell>
          <cell r="AL166" t="str">
            <v>-</v>
          </cell>
          <cell r="AM166" t="str">
            <v>-</v>
          </cell>
          <cell r="AN166" t="str">
            <v/>
          </cell>
          <cell r="AO166">
            <v>0</v>
          </cell>
          <cell r="AP166" t="str">
            <v>-</v>
          </cell>
          <cell r="AQ166">
            <v>0</v>
          </cell>
          <cell r="AR166" t="str">
            <v>-</v>
          </cell>
          <cell r="AS166">
            <v>0</v>
          </cell>
          <cell r="AT166" t="str">
            <v/>
          </cell>
          <cell r="AU166">
            <v>0</v>
          </cell>
          <cell r="AV166" t="str">
            <v>-</v>
          </cell>
          <cell r="AW166">
            <v>0</v>
          </cell>
          <cell r="AX166" t="str">
            <v>-</v>
          </cell>
          <cell r="AY166">
            <v>0</v>
          </cell>
          <cell r="AZ166" t="str">
            <v/>
          </cell>
          <cell r="BA166">
            <v>0</v>
          </cell>
          <cell r="BB166" t="str">
            <v>-</v>
          </cell>
          <cell r="BC166">
            <v>0</v>
          </cell>
          <cell r="BD166" t="str">
            <v>-</v>
          </cell>
          <cell r="BE166">
            <v>0</v>
          </cell>
          <cell r="BF166" t="str">
            <v/>
          </cell>
          <cell r="BG166">
            <v>0</v>
          </cell>
          <cell r="BH166" t="str">
            <v>-</v>
          </cell>
          <cell r="BI166">
            <v>0</v>
          </cell>
          <cell r="BJ166" t="str">
            <v>-</v>
          </cell>
          <cell r="BK166">
            <v>0</v>
          </cell>
          <cell r="BL166">
            <v>0</v>
          </cell>
          <cell r="BM166" t="str">
            <v>-</v>
          </cell>
          <cell r="BN166">
            <v>10</v>
          </cell>
          <cell r="BO166" t="str">
            <v/>
          </cell>
          <cell r="BP166">
            <v>0</v>
          </cell>
          <cell r="BQ166">
            <v>0</v>
          </cell>
          <cell r="BR166" t="str">
            <v>-</v>
          </cell>
          <cell r="BS166">
            <v>0</v>
          </cell>
          <cell r="BT166">
            <v>0</v>
          </cell>
          <cell r="BU166" t="str">
            <v>-</v>
          </cell>
        </row>
        <row r="167">
          <cell r="A167" t="str">
            <v>20307MD</v>
          </cell>
          <cell r="B167">
            <v>20307</v>
          </cell>
          <cell r="C167" t="str">
            <v>MD</v>
          </cell>
          <cell r="D167" t="str">
            <v>Cooling</v>
          </cell>
          <cell r="E167" t="str">
            <v>Minisplit Ductless AC</v>
          </cell>
          <cell r="F167" t="str">
            <v>C</v>
          </cell>
          <cell r="G167" t="str">
            <v>Y</v>
          </cell>
          <cell r="M167" t="str">
            <v>REPL, RENO, NC</v>
          </cell>
          <cell r="N167" t="str">
            <v>Standard efficiency thru-the-wall AC</v>
          </cell>
          <cell r="O167">
            <v>2021</v>
          </cell>
          <cell r="P167">
            <v>2030</v>
          </cell>
          <cell r="Q167" t="str">
            <v>Small Office</v>
          </cell>
          <cell r="R167" t="str">
            <v/>
          </cell>
          <cell r="S167">
            <v>0</v>
          </cell>
          <cell r="T167">
            <v>0</v>
          </cell>
          <cell r="U167">
            <v>0</v>
          </cell>
          <cell r="V167">
            <v>233.46801519230769</v>
          </cell>
          <cell r="W167">
            <v>0.40909090909090912</v>
          </cell>
          <cell r="X167" t="str">
            <v>-</v>
          </cell>
          <cell r="Y167" t="str">
            <v>3,21</v>
          </cell>
          <cell r="Z167" t="str">
            <v>3,21</v>
          </cell>
          <cell r="AA167">
            <v>0</v>
          </cell>
          <cell r="AB167">
            <v>0</v>
          </cell>
          <cell r="AC167">
            <v>550</v>
          </cell>
          <cell r="AD167">
            <v>2.3557830803802604</v>
          </cell>
          <cell r="AE167">
            <v>12</v>
          </cell>
          <cell r="AF167">
            <v>12</v>
          </cell>
          <cell r="AG167">
            <v>0</v>
          </cell>
          <cell r="AH167">
            <v>0</v>
          </cell>
          <cell r="AI167">
            <v>0</v>
          </cell>
          <cell r="AJ167">
            <v>0</v>
          </cell>
          <cell r="AK167">
            <v>0</v>
          </cell>
          <cell r="AL167" t="str">
            <v>-</v>
          </cell>
          <cell r="AM167" t="str">
            <v>-</v>
          </cell>
          <cell r="AN167" t="str">
            <v/>
          </cell>
          <cell r="AO167">
            <v>0</v>
          </cell>
          <cell r="AP167" t="str">
            <v>-</v>
          </cell>
          <cell r="AQ167">
            <v>0</v>
          </cell>
          <cell r="AR167" t="str">
            <v>-</v>
          </cell>
          <cell r="AS167">
            <v>0</v>
          </cell>
          <cell r="AT167" t="str">
            <v/>
          </cell>
          <cell r="AU167">
            <v>0</v>
          </cell>
          <cell r="AV167" t="str">
            <v>-</v>
          </cell>
          <cell r="AW167">
            <v>0</v>
          </cell>
          <cell r="AX167" t="str">
            <v>-</v>
          </cell>
          <cell r="AY167">
            <v>0</v>
          </cell>
          <cell r="AZ167" t="str">
            <v/>
          </cell>
          <cell r="BA167">
            <v>0</v>
          </cell>
          <cell r="BB167" t="str">
            <v>-</v>
          </cell>
          <cell r="BC167">
            <v>0</v>
          </cell>
          <cell r="BD167" t="str">
            <v>-</v>
          </cell>
          <cell r="BE167">
            <v>0</v>
          </cell>
          <cell r="BF167" t="str">
            <v/>
          </cell>
          <cell r="BG167">
            <v>0</v>
          </cell>
          <cell r="BH167" t="str">
            <v>-</v>
          </cell>
          <cell r="BI167">
            <v>0</v>
          </cell>
          <cell r="BJ167" t="str">
            <v>-</v>
          </cell>
          <cell r="BK167">
            <v>0</v>
          </cell>
          <cell r="BL167">
            <v>0</v>
          </cell>
          <cell r="BM167" t="str">
            <v>-</v>
          </cell>
          <cell r="BN167">
            <v>15</v>
          </cell>
          <cell r="BO167" t="str">
            <v/>
          </cell>
          <cell r="BP167">
            <v>0</v>
          </cell>
          <cell r="BQ167">
            <v>0</v>
          </cell>
          <cell r="BR167" t="str">
            <v>-</v>
          </cell>
          <cell r="BS167">
            <v>0</v>
          </cell>
          <cell r="BT167">
            <v>0</v>
          </cell>
          <cell r="BU167" t="str">
            <v>-</v>
          </cell>
        </row>
        <row r="168">
          <cell r="A168" t="str">
            <v>20307RET</v>
          </cell>
          <cell r="B168">
            <v>20307</v>
          </cell>
          <cell r="C168" t="str">
            <v>RET</v>
          </cell>
          <cell r="D168" t="str">
            <v>Cooling</v>
          </cell>
          <cell r="E168" t="str">
            <v>Minisplit Ductless AC</v>
          </cell>
          <cell r="F168" t="str">
            <v>C</v>
          </cell>
          <cell r="G168" t="str">
            <v>Y</v>
          </cell>
          <cell r="M168" t="str">
            <v>RET</v>
          </cell>
          <cell r="N168" t="str">
            <v>Existing standard efficiency thru-the-wall AC</v>
          </cell>
          <cell r="O168">
            <v>2021</v>
          </cell>
          <cell r="P168">
            <v>2030</v>
          </cell>
          <cell r="Q168" t="str">
            <v>Small Office</v>
          </cell>
          <cell r="R168" t="str">
            <v/>
          </cell>
          <cell r="S168">
            <v>0</v>
          </cell>
          <cell r="T168">
            <v>0</v>
          </cell>
          <cell r="U168">
            <v>0</v>
          </cell>
          <cell r="V168">
            <v>233.46801519230769</v>
          </cell>
          <cell r="W168">
            <v>0.40909090909090912</v>
          </cell>
          <cell r="X168" t="str">
            <v>-</v>
          </cell>
          <cell r="Y168" t="str">
            <v>3,21</v>
          </cell>
          <cell r="Z168" t="str">
            <v>3,21</v>
          </cell>
          <cell r="AA168">
            <v>0</v>
          </cell>
          <cell r="AB168">
            <v>0</v>
          </cell>
          <cell r="AC168">
            <v>1000</v>
          </cell>
          <cell r="AD168">
            <v>4.283241964327746</v>
          </cell>
          <cell r="AE168">
            <v>12</v>
          </cell>
          <cell r="AF168">
            <v>12</v>
          </cell>
          <cell r="AG168">
            <v>15</v>
          </cell>
          <cell r="AH168">
            <v>9</v>
          </cell>
          <cell r="AI168">
            <v>450</v>
          </cell>
          <cell r="AJ168">
            <v>1.9274588839474855</v>
          </cell>
          <cell r="AK168">
            <v>1</v>
          </cell>
          <cell r="AL168" t="str">
            <v>-</v>
          </cell>
          <cell r="AM168" t="str">
            <v>-</v>
          </cell>
          <cell r="AN168" t="str">
            <v/>
          </cell>
          <cell r="AO168">
            <v>0</v>
          </cell>
          <cell r="AP168" t="str">
            <v>-</v>
          </cell>
          <cell r="AQ168">
            <v>0</v>
          </cell>
          <cell r="AR168" t="str">
            <v>-</v>
          </cell>
          <cell r="AS168">
            <v>0</v>
          </cell>
          <cell r="AT168" t="str">
            <v/>
          </cell>
          <cell r="AU168">
            <v>0</v>
          </cell>
          <cell r="AV168" t="str">
            <v>-</v>
          </cell>
          <cell r="AW168">
            <v>0</v>
          </cell>
          <cell r="AX168" t="str">
            <v>-</v>
          </cell>
          <cell r="AY168">
            <v>0</v>
          </cell>
          <cell r="AZ168" t="str">
            <v/>
          </cell>
          <cell r="BA168">
            <v>0</v>
          </cell>
          <cell r="BB168" t="str">
            <v>-</v>
          </cell>
          <cell r="BC168">
            <v>0</v>
          </cell>
          <cell r="BD168" t="str">
            <v>-</v>
          </cell>
          <cell r="BE168">
            <v>0</v>
          </cell>
          <cell r="BF168" t="str">
            <v/>
          </cell>
          <cell r="BG168">
            <v>0</v>
          </cell>
          <cell r="BH168" t="str">
            <v>-</v>
          </cell>
          <cell r="BI168">
            <v>0</v>
          </cell>
          <cell r="BJ168" t="str">
            <v>-</v>
          </cell>
          <cell r="BK168">
            <v>0</v>
          </cell>
          <cell r="BL168">
            <v>0</v>
          </cell>
          <cell r="BM168" t="str">
            <v>-</v>
          </cell>
          <cell r="BN168">
            <v>15</v>
          </cell>
          <cell r="BO168" t="str">
            <v/>
          </cell>
          <cell r="BP168">
            <v>0</v>
          </cell>
          <cell r="BQ168">
            <v>0</v>
          </cell>
          <cell r="BR168" t="str">
            <v>-</v>
          </cell>
          <cell r="BS168">
            <v>0</v>
          </cell>
          <cell r="BT168">
            <v>0</v>
          </cell>
          <cell r="BU168" t="str">
            <v>-</v>
          </cell>
        </row>
        <row r="169">
          <cell r="A169" t="str">
            <v>20308MD</v>
          </cell>
          <cell r="B169">
            <v>20308</v>
          </cell>
          <cell r="C169" t="str">
            <v>MD</v>
          </cell>
          <cell r="D169" t="str">
            <v>Cooling</v>
          </cell>
          <cell r="E169" t="str">
            <v>Minisplit Ductless HP</v>
          </cell>
          <cell r="F169" t="str">
            <v>C</v>
          </cell>
          <cell r="G169" t="str">
            <v>Y</v>
          </cell>
          <cell r="M169" t="str">
            <v>REPL</v>
          </cell>
          <cell r="N169" t="str">
            <v>Standard efficiency thru-the-wall AC and baseboard electric resistance heat</v>
          </cell>
          <cell r="O169">
            <v>2021</v>
          </cell>
          <cell r="P169">
            <v>2030</v>
          </cell>
          <cell r="Q169" t="str">
            <v>Small Office</v>
          </cell>
          <cell r="R169" t="str">
            <v/>
          </cell>
          <cell r="S169">
            <v>0</v>
          </cell>
          <cell r="T169">
            <v>0</v>
          </cell>
          <cell r="U169">
            <v>0</v>
          </cell>
          <cell r="V169">
            <v>191.52478047497095</v>
          </cell>
          <cell r="W169">
            <v>0.35000000000000003</v>
          </cell>
          <cell r="X169" t="str">
            <v>-</v>
          </cell>
          <cell r="Y169" t="str">
            <v>3,46,21</v>
          </cell>
          <cell r="Z169" t="str">
            <v>3,46,21</v>
          </cell>
          <cell r="AA169">
            <v>0</v>
          </cell>
          <cell r="AB169">
            <v>0</v>
          </cell>
          <cell r="AC169">
            <v>426.19256432537492</v>
          </cell>
          <cell r="AD169">
            <v>0</v>
          </cell>
          <cell r="AE169">
            <v>9</v>
          </cell>
          <cell r="AF169">
            <v>9</v>
          </cell>
          <cell r="AG169">
            <v>0</v>
          </cell>
          <cell r="AH169">
            <v>0</v>
          </cell>
          <cell r="AI169">
            <v>0</v>
          </cell>
          <cell r="AJ169">
            <v>0</v>
          </cell>
          <cell r="AK169">
            <v>0</v>
          </cell>
          <cell r="AL169" t="str">
            <v>-</v>
          </cell>
          <cell r="AM169" t="str">
            <v>-</v>
          </cell>
          <cell r="AN169" t="str">
            <v/>
          </cell>
          <cell r="AO169">
            <v>0</v>
          </cell>
          <cell r="AP169" t="str">
            <v>-</v>
          </cell>
          <cell r="AQ169">
            <v>0</v>
          </cell>
          <cell r="AR169" t="str">
            <v>-</v>
          </cell>
          <cell r="AS169">
            <v>0</v>
          </cell>
          <cell r="AT169" t="str">
            <v/>
          </cell>
          <cell r="AU169">
            <v>0</v>
          </cell>
          <cell r="AV169" t="str">
            <v>-</v>
          </cell>
          <cell r="AW169">
            <v>0</v>
          </cell>
          <cell r="AX169" t="str">
            <v>-</v>
          </cell>
          <cell r="AY169">
            <v>0</v>
          </cell>
          <cell r="AZ169" t="str">
            <v/>
          </cell>
          <cell r="BA169">
            <v>0</v>
          </cell>
          <cell r="BB169" t="str">
            <v>-</v>
          </cell>
          <cell r="BC169">
            <v>0</v>
          </cell>
          <cell r="BD169" t="str">
            <v>-</v>
          </cell>
          <cell r="BE169">
            <v>0</v>
          </cell>
          <cell r="BF169" t="str">
            <v/>
          </cell>
          <cell r="BG169">
            <v>0</v>
          </cell>
          <cell r="BH169" t="str">
            <v>-</v>
          </cell>
          <cell r="BI169">
            <v>0</v>
          </cell>
          <cell r="BJ169" t="str">
            <v>-</v>
          </cell>
          <cell r="BK169">
            <v>0</v>
          </cell>
          <cell r="BL169">
            <v>0</v>
          </cell>
          <cell r="BM169" t="str">
            <v>-</v>
          </cell>
          <cell r="BN169">
            <v>15</v>
          </cell>
          <cell r="BO169" t="str">
            <v/>
          </cell>
          <cell r="BP169">
            <v>0</v>
          </cell>
          <cell r="BQ169">
            <v>0</v>
          </cell>
          <cell r="BR169" t="str">
            <v>-</v>
          </cell>
          <cell r="BS169">
            <v>0</v>
          </cell>
          <cell r="BT169">
            <v>0</v>
          </cell>
          <cell r="BU169" t="str">
            <v>-</v>
          </cell>
        </row>
        <row r="170">
          <cell r="A170" t="str">
            <v>20308RET</v>
          </cell>
          <cell r="B170">
            <v>20308</v>
          </cell>
          <cell r="C170" t="str">
            <v>RET</v>
          </cell>
          <cell r="D170" t="str">
            <v>Cooling</v>
          </cell>
          <cell r="E170" t="str">
            <v>Minisplit Ductless HP</v>
          </cell>
          <cell r="F170" t="str">
            <v>C</v>
          </cell>
          <cell r="G170" t="str">
            <v>Y</v>
          </cell>
          <cell r="M170" t="str">
            <v>RET</v>
          </cell>
          <cell r="N170" t="str">
            <v>Standard efficiency thru-the-wall AC and baseboard electric resistance heat</v>
          </cell>
          <cell r="O170">
            <v>2021</v>
          </cell>
          <cell r="P170">
            <v>2030</v>
          </cell>
          <cell r="Q170" t="str">
            <v>Small Office</v>
          </cell>
          <cell r="R170" t="str">
            <v/>
          </cell>
          <cell r="S170">
            <v>0</v>
          </cell>
          <cell r="T170">
            <v>0</v>
          </cell>
          <cell r="U170">
            <v>0</v>
          </cell>
          <cell r="V170">
            <v>331.13074426495109</v>
          </cell>
          <cell r="W170">
            <v>0.48212184614199238</v>
          </cell>
          <cell r="X170" t="str">
            <v>-</v>
          </cell>
          <cell r="Y170" t="str">
            <v>3,7,8</v>
          </cell>
          <cell r="Z170" t="str">
            <v>3,7,8</v>
          </cell>
          <cell r="AA170">
            <v>0</v>
          </cell>
          <cell r="AB170">
            <v>0</v>
          </cell>
          <cell r="AC170">
            <v>2670.7675687962633</v>
          </cell>
          <cell r="AD170">
            <v>8.0655983023408844</v>
          </cell>
          <cell r="AE170">
            <v>9</v>
          </cell>
          <cell r="AF170">
            <v>9</v>
          </cell>
          <cell r="AG170">
            <v>15</v>
          </cell>
          <cell r="AH170">
            <v>9</v>
          </cell>
          <cell r="AI170">
            <v>1173.8218478465947</v>
          </cell>
          <cell r="AJ170">
            <v>3.5448893471135148</v>
          </cell>
          <cell r="AK170">
            <v>0.57839624919190302</v>
          </cell>
          <cell r="AL170" t="str">
            <v>-</v>
          </cell>
          <cell r="AM170" t="str">
            <v>-</v>
          </cell>
          <cell r="AN170" t="str">
            <v/>
          </cell>
          <cell r="AO170">
            <v>0</v>
          </cell>
          <cell r="AP170" t="str">
            <v>-</v>
          </cell>
          <cell r="AQ170">
            <v>0</v>
          </cell>
          <cell r="AR170" t="str">
            <v>-</v>
          </cell>
          <cell r="AS170">
            <v>0</v>
          </cell>
          <cell r="AT170" t="str">
            <v/>
          </cell>
          <cell r="AU170">
            <v>0</v>
          </cell>
          <cell r="AV170" t="str">
            <v>-</v>
          </cell>
          <cell r="AW170">
            <v>0</v>
          </cell>
          <cell r="AX170" t="str">
            <v>-</v>
          </cell>
          <cell r="AY170">
            <v>0</v>
          </cell>
          <cell r="AZ170" t="str">
            <v/>
          </cell>
          <cell r="BA170">
            <v>0</v>
          </cell>
          <cell r="BB170" t="str">
            <v>-</v>
          </cell>
          <cell r="BC170">
            <v>0</v>
          </cell>
          <cell r="BD170" t="str">
            <v>-</v>
          </cell>
          <cell r="BE170">
            <v>0</v>
          </cell>
          <cell r="BF170" t="str">
            <v/>
          </cell>
          <cell r="BG170">
            <v>0</v>
          </cell>
          <cell r="BH170" t="str">
            <v>-</v>
          </cell>
          <cell r="BI170">
            <v>0</v>
          </cell>
          <cell r="BJ170" t="str">
            <v>-</v>
          </cell>
          <cell r="BK170">
            <v>0</v>
          </cell>
          <cell r="BL170">
            <v>0</v>
          </cell>
          <cell r="BM170" t="str">
            <v>-</v>
          </cell>
          <cell r="BN170">
            <v>15</v>
          </cell>
          <cell r="BO170" t="str">
            <v/>
          </cell>
          <cell r="BP170">
            <v>0</v>
          </cell>
          <cell r="BQ170">
            <v>0</v>
          </cell>
          <cell r="BR170" t="str">
            <v>-</v>
          </cell>
          <cell r="BS170">
            <v>0</v>
          </cell>
          <cell r="BT170">
            <v>0</v>
          </cell>
          <cell r="BU170" t="str">
            <v>-</v>
          </cell>
        </row>
        <row r="171">
          <cell r="A171" t="str">
            <v>20309MD</v>
          </cell>
          <cell r="B171">
            <v>20309</v>
          </cell>
          <cell r="C171" t="str">
            <v>MD</v>
          </cell>
          <cell r="D171" t="str">
            <v>Cooling</v>
          </cell>
          <cell r="E171" t="str">
            <v>Packaged Terminal AC</v>
          </cell>
          <cell r="F171" t="str">
            <v>C</v>
          </cell>
          <cell r="G171" t="str">
            <v>Y</v>
          </cell>
          <cell r="M171" t="str">
            <v>NC,RENO,REPL</v>
          </cell>
          <cell r="N171" t="str">
            <v>Standard efficiency PTAC</v>
          </cell>
          <cell r="O171">
            <v>2021</v>
          </cell>
          <cell r="P171">
            <v>2030</v>
          </cell>
          <cell r="Q171" t="str">
            <v>Small Office</v>
          </cell>
          <cell r="R171" t="str">
            <v/>
          </cell>
          <cell r="S171">
            <v>0</v>
          </cell>
          <cell r="T171">
            <v>0</v>
          </cell>
          <cell r="U171">
            <v>0</v>
          </cell>
          <cell r="V171">
            <v>113.80275089256168</v>
          </cell>
          <cell r="W171">
            <v>0.17216327654733193</v>
          </cell>
          <cell r="X171" t="str">
            <v>-</v>
          </cell>
          <cell r="Y171" t="str">
            <v>20,3,6,46</v>
          </cell>
          <cell r="Z171" t="str">
            <v>20,3,6,46</v>
          </cell>
          <cell r="AA171">
            <v>0</v>
          </cell>
          <cell r="AB171">
            <v>0</v>
          </cell>
          <cell r="AC171">
            <v>84</v>
          </cell>
          <cell r="AD171">
            <v>0.73811924001118645</v>
          </cell>
          <cell r="AE171" t="str">
            <v>12,4</v>
          </cell>
          <cell r="AF171" t="str">
            <v>12,4</v>
          </cell>
          <cell r="AG171">
            <v>0</v>
          </cell>
          <cell r="AH171">
            <v>0</v>
          </cell>
          <cell r="AI171">
            <v>0</v>
          </cell>
          <cell r="AJ171">
            <v>0</v>
          </cell>
          <cell r="AK171">
            <v>0</v>
          </cell>
          <cell r="AL171" t="str">
            <v>-</v>
          </cell>
          <cell r="AM171" t="str">
            <v>-</v>
          </cell>
          <cell r="AN171" t="str">
            <v/>
          </cell>
          <cell r="AO171">
            <v>0</v>
          </cell>
          <cell r="AP171" t="str">
            <v>-</v>
          </cell>
          <cell r="AQ171">
            <v>0</v>
          </cell>
          <cell r="AR171" t="str">
            <v>-</v>
          </cell>
          <cell r="AS171">
            <v>0</v>
          </cell>
          <cell r="AT171" t="str">
            <v/>
          </cell>
          <cell r="AU171">
            <v>0</v>
          </cell>
          <cell r="AV171" t="str">
            <v>-</v>
          </cell>
          <cell r="AW171">
            <v>0</v>
          </cell>
          <cell r="AX171" t="str">
            <v>-</v>
          </cell>
          <cell r="AY171">
            <v>0</v>
          </cell>
          <cell r="AZ171" t="str">
            <v/>
          </cell>
          <cell r="BA171">
            <v>0</v>
          </cell>
          <cell r="BB171" t="str">
            <v>-</v>
          </cell>
          <cell r="BC171">
            <v>0</v>
          </cell>
          <cell r="BD171" t="str">
            <v>-</v>
          </cell>
          <cell r="BE171">
            <v>0</v>
          </cell>
          <cell r="BF171" t="str">
            <v/>
          </cell>
          <cell r="BG171">
            <v>0</v>
          </cell>
          <cell r="BH171" t="str">
            <v>-</v>
          </cell>
          <cell r="BI171">
            <v>0</v>
          </cell>
          <cell r="BJ171" t="str">
            <v>-</v>
          </cell>
          <cell r="BK171">
            <v>0</v>
          </cell>
          <cell r="BL171">
            <v>0</v>
          </cell>
          <cell r="BM171" t="str">
            <v>-</v>
          </cell>
          <cell r="BN171">
            <v>15</v>
          </cell>
          <cell r="BO171" t="str">
            <v/>
          </cell>
          <cell r="BP171">
            <v>0</v>
          </cell>
          <cell r="BQ171">
            <v>0</v>
          </cell>
          <cell r="BR171" t="str">
            <v>-</v>
          </cell>
          <cell r="BS171">
            <v>0</v>
          </cell>
          <cell r="BT171">
            <v>0</v>
          </cell>
          <cell r="BU171" t="str">
            <v>-</v>
          </cell>
        </row>
        <row r="172">
          <cell r="A172" t="str">
            <v>20309RET</v>
          </cell>
          <cell r="B172">
            <v>20309</v>
          </cell>
          <cell r="C172" t="str">
            <v>RET</v>
          </cell>
          <cell r="D172" t="str">
            <v>Cooling</v>
          </cell>
          <cell r="E172" t="str">
            <v>Packaged Terminal AC</v>
          </cell>
          <cell r="F172" t="str">
            <v>C</v>
          </cell>
          <cell r="G172" t="str">
            <v>Y</v>
          </cell>
          <cell r="M172" t="str">
            <v>RET</v>
          </cell>
          <cell r="N172" t="str">
            <v>Existing, standard efficiency PTAC</v>
          </cell>
          <cell r="O172">
            <v>2021</v>
          </cell>
          <cell r="P172">
            <v>2030</v>
          </cell>
          <cell r="Q172" t="str">
            <v>Small Office</v>
          </cell>
          <cell r="R172" t="str">
            <v/>
          </cell>
          <cell r="S172">
            <v>0</v>
          </cell>
          <cell r="T172">
            <v>0</v>
          </cell>
          <cell r="U172">
            <v>0</v>
          </cell>
          <cell r="V172">
            <v>226.30632857404612</v>
          </cell>
          <cell r="W172">
            <v>0.29256687914440016</v>
          </cell>
          <cell r="X172" t="str">
            <v>-</v>
          </cell>
          <cell r="Y172" t="str">
            <v>20,3,6,46</v>
          </cell>
          <cell r="Z172" t="str">
            <v>20,3,6,46</v>
          </cell>
          <cell r="AA172">
            <v>0</v>
          </cell>
          <cell r="AB172">
            <v>0</v>
          </cell>
          <cell r="AC172">
            <v>800</v>
          </cell>
          <cell r="AD172">
            <v>3.535031499299166</v>
          </cell>
          <cell r="AE172" t="str">
            <v>12,4</v>
          </cell>
          <cell r="AF172" t="str">
            <v>12,4</v>
          </cell>
          <cell r="AG172">
            <v>15</v>
          </cell>
          <cell r="AH172">
            <v>9</v>
          </cell>
          <cell r="AI172">
            <v>84</v>
          </cell>
          <cell r="AJ172">
            <v>0.37117830742641245</v>
          </cell>
          <cell r="AK172">
            <v>0.50287038639012727</v>
          </cell>
          <cell r="AL172" t="str">
            <v>-</v>
          </cell>
          <cell r="AM172" t="str">
            <v>-</v>
          </cell>
          <cell r="AN172" t="str">
            <v/>
          </cell>
          <cell r="AO172">
            <v>0</v>
          </cell>
          <cell r="AP172" t="str">
            <v>-</v>
          </cell>
          <cell r="AQ172">
            <v>0</v>
          </cell>
          <cell r="AR172" t="str">
            <v>-</v>
          </cell>
          <cell r="AS172">
            <v>0</v>
          </cell>
          <cell r="AT172" t="str">
            <v/>
          </cell>
          <cell r="AU172">
            <v>0</v>
          </cell>
          <cell r="AV172" t="str">
            <v>-</v>
          </cell>
          <cell r="AW172">
            <v>0</v>
          </cell>
          <cell r="AX172" t="str">
            <v>-</v>
          </cell>
          <cell r="AY172">
            <v>0</v>
          </cell>
          <cell r="AZ172" t="str">
            <v/>
          </cell>
          <cell r="BA172">
            <v>0</v>
          </cell>
          <cell r="BB172" t="str">
            <v>-</v>
          </cell>
          <cell r="BC172">
            <v>0</v>
          </cell>
          <cell r="BD172" t="str">
            <v>-</v>
          </cell>
          <cell r="BE172">
            <v>0</v>
          </cell>
          <cell r="BF172" t="str">
            <v/>
          </cell>
          <cell r="BG172">
            <v>0</v>
          </cell>
          <cell r="BH172" t="str">
            <v>-</v>
          </cell>
          <cell r="BI172">
            <v>0</v>
          </cell>
          <cell r="BJ172" t="str">
            <v>-</v>
          </cell>
          <cell r="BK172">
            <v>0</v>
          </cell>
          <cell r="BL172">
            <v>0</v>
          </cell>
          <cell r="BM172" t="str">
            <v>-</v>
          </cell>
          <cell r="BN172">
            <v>15</v>
          </cell>
          <cell r="BO172" t="str">
            <v/>
          </cell>
          <cell r="BP172">
            <v>0</v>
          </cell>
          <cell r="BQ172">
            <v>0</v>
          </cell>
          <cell r="BR172" t="str">
            <v>-</v>
          </cell>
          <cell r="BS172">
            <v>0</v>
          </cell>
          <cell r="BT172">
            <v>0</v>
          </cell>
          <cell r="BU172" t="str">
            <v>-</v>
          </cell>
        </row>
        <row r="173">
          <cell r="A173" t="str">
            <v>20310MD</v>
          </cell>
          <cell r="B173">
            <v>20310</v>
          </cell>
          <cell r="C173" t="str">
            <v>MD</v>
          </cell>
          <cell r="D173" t="str">
            <v>Cooling</v>
          </cell>
          <cell r="E173" t="str">
            <v>Packaged Terminal Heat Pump</v>
          </cell>
          <cell r="F173" t="str">
            <v>C</v>
          </cell>
          <cell r="G173" t="str">
            <v>Y</v>
          </cell>
          <cell r="M173" t="str">
            <v>NC,RENO,REPL</v>
          </cell>
          <cell r="N173" t="str">
            <v>Standard efficiency packaged terminal heat pump (PTHP) equipment</v>
          </cell>
          <cell r="O173">
            <v>2021</v>
          </cell>
          <cell r="P173">
            <v>2030</v>
          </cell>
          <cell r="Q173" t="str">
            <v>Small Office</v>
          </cell>
          <cell r="R173" t="str">
            <v/>
          </cell>
          <cell r="S173">
            <v>0</v>
          </cell>
          <cell r="T173">
            <v>0</v>
          </cell>
          <cell r="U173">
            <v>0</v>
          </cell>
          <cell r="V173">
            <v>105.25253747850047</v>
          </cell>
          <cell r="W173">
            <v>0.159228327743384</v>
          </cell>
          <cell r="X173" t="str">
            <v>-</v>
          </cell>
          <cell r="Y173" t="str">
            <v>20,3,6,46</v>
          </cell>
          <cell r="Z173" t="str">
            <v>20,3,6,46</v>
          </cell>
          <cell r="AA173">
            <v>0</v>
          </cell>
          <cell r="AB173">
            <v>0</v>
          </cell>
          <cell r="AC173">
            <v>716</v>
          </cell>
          <cell r="AD173">
            <v>6.8026863499253363</v>
          </cell>
          <cell r="AE173">
            <v>12</v>
          </cell>
          <cell r="AF173">
            <v>12</v>
          </cell>
          <cell r="AG173">
            <v>0</v>
          </cell>
          <cell r="AH173">
            <v>0</v>
          </cell>
          <cell r="AI173">
            <v>0</v>
          </cell>
          <cell r="AJ173">
            <v>0</v>
          </cell>
          <cell r="AK173">
            <v>0</v>
          </cell>
          <cell r="AL173" t="str">
            <v>-</v>
          </cell>
          <cell r="AM173" t="str">
            <v>-</v>
          </cell>
          <cell r="AN173" t="str">
            <v/>
          </cell>
          <cell r="AO173">
            <v>0</v>
          </cell>
          <cell r="AP173" t="str">
            <v>-</v>
          </cell>
          <cell r="AQ173">
            <v>0</v>
          </cell>
          <cell r="AR173" t="str">
            <v>-</v>
          </cell>
          <cell r="AS173">
            <v>0</v>
          </cell>
          <cell r="AT173" t="str">
            <v/>
          </cell>
          <cell r="AU173">
            <v>0</v>
          </cell>
          <cell r="AV173" t="str">
            <v>-</v>
          </cell>
          <cell r="AW173">
            <v>0</v>
          </cell>
          <cell r="AX173" t="str">
            <v>-</v>
          </cell>
          <cell r="AY173">
            <v>0</v>
          </cell>
          <cell r="AZ173" t="str">
            <v/>
          </cell>
          <cell r="BA173">
            <v>0</v>
          </cell>
          <cell r="BB173" t="str">
            <v>-</v>
          </cell>
          <cell r="BC173">
            <v>0</v>
          </cell>
          <cell r="BD173" t="str">
            <v>-</v>
          </cell>
          <cell r="BE173">
            <v>0</v>
          </cell>
          <cell r="BF173" t="str">
            <v/>
          </cell>
          <cell r="BG173">
            <v>0</v>
          </cell>
          <cell r="BH173" t="str">
            <v>-</v>
          </cell>
          <cell r="BI173">
            <v>0</v>
          </cell>
          <cell r="BJ173" t="str">
            <v>-</v>
          </cell>
          <cell r="BK173">
            <v>0</v>
          </cell>
          <cell r="BL173">
            <v>0</v>
          </cell>
          <cell r="BM173" t="str">
            <v>-</v>
          </cell>
          <cell r="BN173">
            <v>15</v>
          </cell>
          <cell r="BO173" t="str">
            <v/>
          </cell>
          <cell r="BP173">
            <v>0</v>
          </cell>
          <cell r="BQ173">
            <v>0</v>
          </cell>
          <cell r="BR173" t="str">
            <v>-</v>
          </cell>
          <cell r="BS173">
            <v>0</v>
          </cell>
          <cell r="BT173">
            <v>0</v>
          </cell>
          <cell r="BU173" t="str">
            <v>-</v>
          </cell>
        </row>
        <row r="174">
          <cell r="A174" t="str">
            <v>20310RET</v>
          </cell>
          <cell r="B174">
            <v>20310</v>
          </cell>
          <cell r="C174" t="str">
            <v>RET</v>
          </cell>
          <cell r="D174" t="str">
            <v>Cooling</v>
          </cell>
          <cell r="E174" t="str">
            <v>Packaged Terminal Heat Pump</v>
          </cell>
          <cell r="F174" t="str">
            <v>C</v>
          </cell>
          <cell r="G174" t="str">
            <v>Y</v>
          </cell>
          <cell r="M174" t="str">
            <v>RET</v>
          </cell>
          <cell r="N174" t="str">
            <v>Existing, standard efficiency packaged terminal heat pump (PTHP) equipment</v>
          </cell>
          <cell r="O174">
            <v>2021</v>
          </cell>
          <cell r="P174">
            <v>2030</v>
          </cell>
          <cell r="Q174" t="str">
            <v>Small Office</v>
          </cell>
          <cell r="R174" t="str">
            <v/>
          </cell>
          <cell r="S174">
            <v>0</v>
          </cell>
          <cell r="T174">
            <v>0</v>
          </cell>
          <cell r="U174">
            <v>0</v>
          </cell>
          <cell r="V174">
            <v>105.25253747850047</v>
          </cell>
          <cell r="W174">
            <v>0.159228327743384</v>
          </cell>
          <cell r="X174" t="str">
            <v>-</v>
          </cell>
          <cell r="Y174" t="str">
            <v>3,7</v>
          </cell>
          <cell r="Z174" t="str">
            <v>3,7</v>
          </cell>
          <cell r="AA174">
            <v>0</v>
          </cell>
          <cell r="AB174">
            <v>0</v>
          </cell>
          <cell r="AC174">
            <v>800</v>
          </cell>
          <cell r="AD174">
            <v>7.6007668714249563</v>
          </cell>
          <cell r="AE174">
            <v>12</v>
          </cell>
          <cell r="AF174">
            <v>12</v>
          </cell>
          <cell r="AG174">
            <v>15</v>
          </cell>
          <cell r="AH174">
            <v>9</v>
          </cell>
          <cell r="AI174">
            <v>84</v>
          </cell>
          <cell r="AJ174">
            <v>0.79808052149962039</v>
          </cell>
          <cell r="AK174">
            <v>1</v>
          </cell>
          <cell r="AL174" t="str">
            <v>-</v>
          </cell>
          <cell r="AM174" t="str">
            <v>-</v>
          </cell>
          <cell r="AN174" t="str">
            <v/>
          </cell>
          <cell r="AO174">
            <v>0</v>
          </cell>
          <cell r="AP174" t="str">
            <v>-</v>
          </cell>
          <cell r="AQ174">
            <v>0</v>
          </cell>
          <cell r="AR174" t="str">
            <v>-</v>
          </cell>
          <cell r="AS174">
            <v>0</v>
          </cell>
          <cell r="AT174" t="str">
            <v/>
          </cell>
          <cell r="AU174">
            <v>0</v>
          </cell>
          <cell r="AV174" t="str">
            <v>-</v>
          </cell>
          <cell r="AW174">
            <v>0</v>
          </cell>
          <cell r="AX174" t="str">
            <v>-</v>
          </cell>
          <cell r="AY174">
            <v>0</v>
          </cell>
          <cell r="AZ174" t="str">
            <v/>
          </cell>
          <cell r="BA174">
            <v>0</v>
          </cell>
          <cell r="BB174" t="str">
            <v>-</v>
          </cell>
          <cell r="BC174">
            <v>0</v>
          </cell>
          <cell r="BD174" t="str">
            <v>-</v>
          </cell>
          <cell r="BE174">
            <v>0</v>
          </cell>
          <cell r="BF174" t="str">
            <v/>
          </cell>
          <cell r="BG174">
            <v>0</v>
          </cell>
          <cell r="BH174" t="str">
            <v>-</v>
          </cell>
          <cell r="BI174">
            <v>0</v>
          </cell>
          <cell r="BJ174" t="str">
            <v>-</v>
          </cell>
          <cell r="BK174">
            <v>0</v>
          </cell>
          <cell r="BL174">
            <v>0</v>
          </cell>
          <cell r="BM174" t="str">
            <v>-</v>
          </cell>
          <cell r="BN174">
            <v>15</v>
          </cell>
          <cell r="BO174" t="str">
            <v/>
          </cell>
          <cell r="BP174">
            <v>0</v>
          </cell>
          <cell r="BQ174">
            <v>0</v>
          </cell>
          <cell r="BR174" t="str">
            <v>-</v>
          </cell>
          <cell r="BS174">
            <v>0</v>
          </cell>
          <cell r="BT174">
            <v>0</v>
          </cell>
          <cell r="BU174" t="str">
            <v>-</v>
          </cell>
        </row>
        <row r="175">
          <cell r="A175" t="str">
            <v>20311MD</v>
          </cell>
          <cell r="B175">
            <v>20311</v>
          </cell>
          <cell r="C175" t="str">
            <v>MD</v>
          </cell>
          <cell r="D175" t="str">
            <v>Cooling</v>
          </cell>
          <cell r="E175" t="str">
            <v>VRF Heat Pump</v>
          </cell>
          <cell r="F175" t="str">
            <v>C</v>
          </cell>
          <cell r="G175" t="str">
            <v>Y</v>
          </cell>
          <cell r="M175" t="str">
            <v>NC</v>
          </cell>
          <cell r="N175" t="str">
            <v>ASHPs</v>
          </cell>
          <cell r="O175">
            <v>2021</v>
          </cell>
          <cell r="P175">
            <v>2030</v>
          </cell>
          <cell r="Q175" t="str">
            <v>Small Office</v>
          </cell>
          <cell r="R175" t="str">
            <v/>
          </cell>
          <cell r="S175">
            <v>0</v>
          </cell>
          <cell r="T175">
            <v>0</v>
          </cell>
          <cell r="U175">
            <v>0</v>
          </cell>
          <cell r="V175">
            <v>1520.919230769231</v>
          </cell>
          <cell r="W175">
            <v>0.23076923076923081</v>
          </cell>
          <cell r="X175" t="str">
            <v>-</v>
          </cell>
          <cell r="Y175" t="str">
            <v>12,3</v>
          </cell>
          <cell r="Z175" t="str">
            <v>12,3</v>
          </cell>
          <cell r="AA175">
            <v>0</v>
          </cell>
          <cell r="AB175">
            <v>0</v>
          </cell>
          <cell r="AC175">
            <v>1368.4392728052298</v>
          </cell>
          <cell r="AD175">
            <v>0.89974486818285426</v>
          </cell>
          <cell r="AE175" t="str">
            <v>12,4</v>
          </cell>
          <cell r="AF175" t="str">
            <v>12,4</v>
          </cell>
          <cell r="AG175">
            <v>0</v>
          </cell>
          <cell r="AH175">
            <v>0</v>
          </cell>
          <cell r="AI175">
            <v>0</v>
          </cell>
          <cell r="AJ175">
            <v>0</v>
          </cell>
          <cell r="AK175">
            <v>0</v>
          </cell>
          <cell r="AL175" t="str">
            <v>-</v>
          </cell>
          <cell r="AM175" t="str">
            <v>-</v>
          </cell>
          <cell r="AN175" t="str">
            <v/>
          </cell>
          <cell r="AO175">
            <v>0</v>
          </cell>
          <cell r="AP175" t="str">
            <v>-</v>
          </cell>
          <cell r="AQ175">
            <v>0</v>
          </cell>
          <cell r="AR175" t="str">
            <v>-</v>
          </cell>
          <cell r="AS175">
            <v>0</v>
          </cell>
          <cell r="AT175" t="str">
            <v/>
          </cell>
          <cell r="AU175">
            <v>0</v>
          </cell>
          <cell r="AV175" t="str">
            <v>-</v>
          </cell>
          <cell r="AW175">
            <v>0</v>
          </cell>
          <cell r="AX175" t="str">
            <v>-</v>
          </cell>
          <cell r="AY175">
            <v>0</v>
          </cell>
          <cell r="AZ175" t="str">
            <v/>
          </cell>
          <cell r="BA175">
            <v>0</v>
          </cell>
          <cell r="BB175" t="str">
            <v>-</v>
          </cell>
          <cell r="BC175">
            <v>0</v>
          </cell>
          <cell r="BD175" t="str">
            <v>-</v>
          </cell>
          <cell r="BE175">
            <v>0</v>
          </cell>
          <cell r="BF175" t="str">
            <v/>
          </cell>
          <cell r="BG175">
            <v>0</v>
          </cell>
          <cell r="BH175" t="str">
            <v>-</v>
          </cell>
          <cell r="BI175">
            <v>0</v>
          </cell>
          <cell r="BJ175" t="str">
            <v>-</v>
          </cell>
          <cell r="BK175">
            <v>0</v>
          </cell>
          <cell r="BL175">
            <v>0</v>
          </cell>
          <cell r="BM175" t="str">
            <v>-</v>
          </cell>
          <cell r="BN175">
            <v>15</v>
          </cell>
          <cell r="BO175" t="str">
            <v/>
          </cell>
          <cell r="BP175">
            <v>0</v>
          </cell>
          <cell r="BQ175">
            <v>0</v>
          </cell>
          <cell r="BR175" t="str">
            <v>-</v>
          </cell>
          <cell r="BS175">
            <v>0</v>
          </cell>
          <cell r="BT175">
            <v>0</v>
          </cell>
          <cell r="BU175" t="str">
            <v>-</v>
          </cell>
        </row>
        <row r="176">
          <cell r="A176" t="str">
            <v>20312MD</v>
          </cell>
          <cell r="B176">
            <v>20312</v>
          </cell>
          <cell r="C176" t="str">
            <v>MD</v>
          </cell>
          <cell r="D176" t="str">
            <v>Cooling</v>
          </cell>
          <cell r="E176" t="str">
            <v>Room Air Conditioner</v>
          </cell>
          <cell r="F176" t="str">
            <v>C</v>
          </cell>
          <cell r="G176" t="str">
            <v>Y</v>
          </cell>
          <cell r="M176" t="str">
            <v>NC,RENO,REPL</v>
          </cell>
          <cell r="N176" t="str">
            <v>Standard efficiency (non-ENERGY STAR) Room AC</v>
          </cell>
          <cell r="O176">
            <v>2021</v>
          </cell>
          <cell r="P176">
            <v>2030</v>
          </cell>
          <cell r="Q176" t="str">
            <v>Small Office</v>
          </cell>
          <cell r="R176" t="str">
            <v/>
          </cell>
          <cell r="S176">
            <v>0</v>
          </cell>
          <cell r="T176">
            <v>0</v>
          </cell>
          <cell r="U176">
            <v>0</v>
          </cell>
          <cell r="V176">
            <v>98.721427617533777</v>
          </cell>
          <cell r="W176">
            <v>9.3803708729081642E-2</v>
          </cell>
          <cell r="X176" t="str">
            <v>-</v>
          </cell>
          <cell r="Y176" t="str">
            <v>3,46</v>
          </cell>
          <cell r="Z176" t="str">
            <v>3,46</v>
          </cell>
          <cell r="AA176">
            <v>417.61</v>
          </cell>
          <cell r="AB176">
            <v>397.61</v>
          </cell>
          <cell r="AC176">
            <v>20</v>
          </cell>
          <cell r="AD176">
            <v>0.20259026315425596</v>
          </cell>
          <cell r="AE176">
            <v>9</v>
          </cell>
          <cell r="AF176">
            <v>9</v>
          </cell>
          <cell r="AG176">
            <v>0</v>
          </cell>
          <cell r="AH176">
            <v>0</v>
          </cell>
          <cell r="AI176">
            <v>0</v>
          </cell>
          <cell r="AJ176">
            <v>0</v>
          </cell>
          <cell r="AK176">
            <v>0</v>
          </cell>
          <cell r="AL176" t="str">
            <v>-</v>
          </cell>
          <cell r="AM176" t="str">
            <v>-</v>
          </cell>
          <cell r="AN176" t="str">
            <v/>
          </cell>
          <cell r="AO176">
            <v>0</v>
          </cell>
          <cell r="AP176" t="str">
            <v>-</v>
          </cell>
          <cell r="AQ176">
            <v>0</v>
          </cell>
          <cell r="AR176" t="str">
            <v>-</v>
          </cell>
          <cell r="AS176">
            <v>0</v>
          </cell>
          <cell r="AT176" t="str">
            <v/>
          </cell>
          <cell r="AU176">
            <v>0</v>
          </cell>
          <cell r="AV176" t="str">
            <v>-</v>
          </cell>
          <cell r="AW176">
            <v>0</v>
          </cell>
          <cell r="AX176" t="str">
            <v>-</v>
          </cell>
          <cell r="AY176">
            <v>0</v>
          </cell>
          <cell r="AZ176" t="str">
            <v/>
          </cell>
          <cell r="BA176">
            <v>0</v>
          </cell>
          <cell r="BB176" t="str">
            <v>-</v>
          </cell>
          <cell r="BC176">
            <v>0</v>
          </cell>
          <cell r="BD176" t="str">
            <v>-</v>
          </cell>
          <cell r="BE176">
            <v>0</v>
          </cell>
          <cell r="BF176" t="str">
            <v/>
          </cell>
          <cell r="BG176">
            <v>0</v>
          </cell>
          <cell r="BH176" t="str">
            <v>-</v>
          </cell>
          <cell r="BI176">
            <v>0</v>
          </cell>
          <cell r="BJ176" t="str">
            <v>-</v>
          </cell>
          <cell r="BK176">
            <v>0</v>
          </cell>
          <cell r="BL176">
            <v>0</v>
          </cell>
          <cell r="BM176" t="str">
            <v>-</v>
          </cell>
          <cell r="BN176">
            <v>9</v>
          </cell>
          <cell r="BO176" t="str">
            <v/>
          </cell>
          <cell r="BP176">
            <v>0</v>
          </cell>
          <cell r="BQ176">
            <v>0</v>
          </cell>
          <cell r="BR176" t="str">
            <v>-</v>
          </cell>
          <cell r="BS176">
            <v>0</v>
          </cell>
          <cell r="BT176">
            <v>0</v>
          </cell>
          <cell r="BU176" t="str">
            <v>-</v>
          </cell>
        </row>
        <row r="177">
          <cell r="A177" t="str">
            <v>20312RET</v>
          </cell>
          <cell r="B177">
            <v>20312</v>
          </cell>
          <cell r="C177" t="str">
            <v>RET</v>
          </cell>
          <cell r="D177" t="str">
            <v>Cooling</v>
          </cell>
          <cell r="E177" t="str">
            <v>Room Air Conditioner</v>
          </cell>
          <cell r="F177" t="str">
            <v>C</v>
          </cell>
          <cell r="G177" t="str">
            <v>Y</v>
          </cell>
          <cell r="M177" t="str">
            <v>RET</v>
          </cell>
          <cell r="N177" t="str">
            <v>Existing, standard efficiency (non-ENERGY STAR) Room AC</v>
          </cell>
          <cell r="O177">
            <v>2021</v>
          </cell>
          <cell r="P177">
            <v>2030</v>
          </cell>
          <cell r="Q177" t="str">
            <v>Small Office</v>
          </cell>
          <cell r="R177" t="str">
            <v/>
          </cell>
          <cell r="S177">
            <v>0</v>
          </cell>
          <cell r="T177">
            <v>0</v>
          </cell>
          <cell r="U177">
            <v>0</v>
          </cell>
          <cell r="V177">
            <v>169.49541283892961</v>
          </cell>
          <cell r="W177">
            <v>0.15090408682447165</v>
          </cell>
          <cell r="X177" t="str">
            <v>-</v>
          </cell>
          <cell r="Y177" t="str">
            <v>3,46</v>
          </cell>
          <cell r="Z177" t="str">
            <v>3,46</v>
          </cell>
          <cell r="AA177">
            <v>0</v>
          </cell>
          <cell r="AB177">
            <v>0</v>
          </cell>
          <cell r="AC177">
            <v>417.61</v>
          </cell>
          <cell r="AD177">
            <v>2.4638424899253888</v>
          </cell>
          <cell r="AE177">
            <v>9</v>
          </cell>
          <cell r="AF177">
            <v>9</v>
          </cell>
          <cell r="AG177">
            <v>12</v>
          </cell>
          <cell r="AH177">
            <v>8</v>
          </cell>
          <cell r="AI177">
            <v>397.61</v>
          </cell>
          <cell r="AJ177">
            <v>2.345845196281779</v>
          </cell>
          <cell r="AK177">
            <v>0.62161145336104828</v>
          </cell>
          <cell r="AL177" t="str">
            <v>-</v>
          </cell>
          <cell r="AM177" t="str">
            <v>-</v>
          </cell>
          <cell r="AN177" t="str">
            <v/>
          </cell>
          <cell r="AO177">
            <v>0</v>
          </cell>
          <cell r="AP177" t="str">
            <v>-</v>
          </cell>
          <cell r="AQ177">
            <v>0</v>
          </cell>
          <cell r="AR177" t="str">
            <v>-</v>
          </cell>
          <cell r="AS177">
            <v>0</v>
          </cell>
          <cell r="AT177" t="str">
            <v/>
          </cell>
          <cell r="AU177">
            <v>0</v>
          </cell>
          <cell r="AV177" t="str">
            <v>-</v>
          </cell>
          <cell r="AW177">
            <v>0</v>
          </cell>
          <cell r="AX177" t="str">
            <v>-</v>
          </cell>
          <cell r="AY177">
            <v>0</v>
          </cell>
          <cell r="AZ177" t="str">
            <v/>
          </cell>
          <cell r="BA177">
            <v>0</v>
          </cell>
          <cell r="BB177" t="str">
            <v>-</v>
          </cell>
          <cell r="BC177">
            <v>0</v>
          </cell>
          <cell r="BD177" t="str">
            <v>-</v>
          </cell>
          <cell r="BE177">
            <v>0</v>
          </cell>
          <cell r="BF177" t="str">
            <v/>
          </cell>
          <cell r="BG177">
            <v>0</v>
          </cell>
          <cell r="BH177" t="str">
            <v>-</v>
          </cell>
          <cell r="BI177">
            <v>0</v>
          </cell>
          <cell r="BJ177" t="str">
            <v>-</v>
          </cell>
          <cell r="BK177">
            <v>0</v>
          </cell>
          <cell r="BL177">
            <v>0</v>
          </cell>
          <cell r="BM177" t="str">
            <v>-</v>
          </cell>
          <cell r="BN177">
            <v>9</v>
          </cell>
          <cell r="BO177" t="str">
            <v/>
          </cell>
          <cell r="BP177">
            <v>0</v>
          </cell>
          <cell r="BQ177">
            <v>0</v>
          </cell>
          <cell r="BR177" t="str">
            <v>-</v>
          </cell>
          <cell r="BS177">
            <v>0</v>
          </cell>
          <cell r="BT177">
            <v>0</v>
          </cell>
          <cell r="BU177" t="str">
            <v>-</v>
          </cell>
        </row>
        <row r="178">
          <cell r="A178" t="str">
            <v>20313MD</v>
          </cell>
          <cell r="B178">
            <v>20313</v>
          </cell>
          <cell r="C178" t="str">
            <v>MD</v>
          </cell>
          <cell r="D178" t="str">
            <v>Cooling</v>
          </cell>
          <cell r="E178" t="str">
            <v>Computer Room Air Conditioner</v>
          </cell>
          <cell r="F178" t="str">
            <v>C</v>
          </cell>
          <cell r="G178" t="str">
            <v>Y</v>
          </cell>
          <cell r="M178" t="str">
            <v>NC,RENO,REPL</v>
          </cell>
          <cell r="N178" t="str">
            <v>Standard efficiency CRAC</v>
          </cell>
          <cell r="O178">
            <v>2021</v>
          </cell>
          <cell r="P178">
            <v>2030</v>
          </cell>
          <cell r="Q178" t="str">
            <v>Small Office</v>
          </cell>
          <cell r="R178" t="str">
            <v/>
          </cell>
          <cell r="S178">
            <v>0</v>
          </cell>
          <cell r="T178">
            <v>0</v>
          </cell>
          <cell r="U178">
            <v>0</v>
          </cell>
          <cell r="V178">
            <v>0</v>
          </cell>
          <cell r="W178">
            <v>0.23076923076923081</v>
          </cell>
          <cell r="X178" t="str">
            <v>-</v>
          </cell>
          <cell r="Y178" t="str">
            <v>3,8</v>
          </cell>
          <cell r="Z178" t="str">
            <v>3,8</v>
          </cell>
          <cell r="AA178">
            <v>0</v>
          </cell>
          <cell r="AB178">
            <v>0</v>
          </cell>
          <cell r="AC178">
            <v>0</v>
          </cell>
          <cell r="AD178">
            <v>0.36326071790969028</v>
          </cell>
          <cell r="AE178">
            <v>8</v>
          </cell>
          <cell r="AF178">
            <v>8</v>
          </cell>
          <cell r="AG178">
            <v>0</v>
          </cell>
          <cell r="AH178">
            <v>0</v>
          </cell>
          <cell r="AI178">
            <v>0</v>
          </cell>
          <cell r="AJ178">
            <v>0</v>
          </cell>
          <cell r="AK178">
            <v>0</v>
          </cell>
          <cell r="AL178" t="str">
            <v>-</v>
          </cell>
          <cell r="AM178" t="str">
            <v>-</v>
          </cell>
          <cell r="AN178" t="str">
            <v/>
          </cell>
          <cell r="AO178">
            <v>0</v>
          </cell>
          <cell r="AP178" t="str">
            <v>-</v>
          </cell>
          <cell r="AQ178">
            <v>0</v>
          </cell>
          <cell r="AR178" t="str">
            <v>-</v>
          </cell>
          <cell r="AS178">
            <v>0</v>
          </cell>
          <cell r="AT178" t="str">
            <v/>
          </cell>
          <cell r="AU178">
            <v>0</v>
          </cell>
          <cell r="AV178" t="str">
            <v>-</v>
          </cell>
          <cell r="AW178">
            <v>0</v>
          </cell>
          <cell r="AX178" t="str">
            <v>-</v>
          </cell>
          <cell r="AY178">
            <v>0</v>
          </cell>
          <cell r="AZ178" t="str">
            <v/>
          </cell>
          <cell r="BA178">
            <v>0</v>
          </cell>
          <cell r="BB178" t="str">
            <v>-</v>
          </cell>
          <cell r="BC178">
            <v>0</v>
          </cell>
          <cell r="BD178" t="str">
            <v>-</v>
          </cell>
          <cell r="BE178">
            <v>0</v>
          </cell>
          <cell r="BF178" t="str">
            <v/>
          </cell>
          <cell r="BG178">
            <v>0</v>
          </cell>
          <cell r="BH178" t="str">
            <v>-</v>
          </cell>
          <cell r="BI178">
            <v>0</v>
          </cell>
          <cell r="BJ178" t="str">
            <v>-</v>
          </cell>
          <cell r="BK178">
            <v>0</v>
          </cell>
          <cell r="BL178">
            <v>0</v>
          </cell>
          <cell r="BM178" t="str">
            <v>-</v>
          </cell>
          <cell r="BN178">
            <v>15</v>
          </cell>
          <cell r="BO178" t="str">
            <v/>
          </cell>
          <cell r="BP178">
            <v>0</v>
          </cell>
          <cell r="BQ178">
            <v>0</v>
          </cell>
          <cell r="BR178" t="str">
            <v>-</v>
          </cell>
          <cell r="BS178">
            <v>0</v>
          </cell>
          <cell r="BT178">
            <v>0</v>
          </cell>
          <cell r="BU178" t="str">
            <v>-</v>
          </cell>
        </row>
        <row r="179">
          <cell r="A179" t="str">
            <v>20314MD</v>
          </cell>
          <cell r="B179">
            <v>20314</v>
          </cell>
          <cell r="C179" t="str">
            <v>MD</v>
          </cell>
          <cell r="D179" t="str">
            <v>Cooling</v>
          </cell>
          <cell r="E179" t="str">
            <v>Ground Source Heat Pump</v>
          </cell>
          <cell r="F179" t="str">
            <v>C</v>
          </cell>
          <cell r="G179" t="str">
            <v>Y</v>
          </cell>
          <cell r="M179" t="str">
            <v>REPL</v>
          </cell>
          <cell r="N179" t="str">
            <v>Weighted average of standard efficiency unitary AC and air source HP</v>
          </cell>
          <cell r="O179">
            <v>2021</v>
          </cell>
          <cell r="P179">
            <v>2030</v>
          </cell>
          <cell r="Q179" t="str">
            <v>Small Office</v>
          </cell>
          <cell r="R179" t="str">
            <v/>
          </cell>
          <cell r="S179">
            <v>0</v>
          </cell>
          <cell r="T179">
            <v>0</v>
          </cell>
          <cell r="U179">
            <v>0</v>
          </cell>
          <cell r="V179">
            <v>1539.9240955129067</v>
          </cell>
          <cell r="W179">
            <v>0.54284040815068269</v>
          </cell>
          <cell r="X179" t="str">
            <v>-</v>
          </cell>
          <cell r="Y179" t="str">
            <v>3,21,46</v>
          </cell>
          <cell r="Z179" t="str">
            <v>3,21,46</v>
          </cell>
          <cell r="AA179">
            <v>0</v>
          </cell>
          <cell r="AB179">
            <v>0</v>
          </cell>
          <cell r="AC179">
            <v>4897.3879166666666</v>
          </cell>
          <cell r="AD179">
            <v>3.1802787753869652</v>
          </cell>
          <cell r="AE179">
            <v>12</v>
          </cell>
          <cell r="AF179">
            <v>12</v>
          </cell>
          <cell r="AG179">
            <v>0</v>
          </cell>
          <cell r="AH179">
            <v>0</v>
          </cell>
          <cell r="AI179">
            <v>0</v>
          </cell>
          <cell r="AJ179">
            <v>0</v>
          </cell>
          <cell r="AK179">
            <v>0</v>
          </cell>
          <cell r="AL179" t="str">
            <v>-</v>
          </cell>
          <cell r="AM179" t="str">
            <v>-</v>
          </cell>
          <cell r="AN179" t="str">
            <v/>
          </cell>
          <cell r="AO179">
            <v>0</v>
          </cell>
          <cell r="AP179" t="str">
            <v>-</v>
          </cell>
          <cell r="AQ179">
            <v>0</v>
          </cell>
          <cell r="AR179" t="str">
            <v>-</v>
          </cell>
          <cell r="AS179">
            <v>0</v>
          </cell>
          <cell r="AT179" t="str">
            <v/>
          </cell>
          <cell r="AU179">
            <v>0</v>
          </cell>
          <cell r="AV179" t="str">
            <v>-</v>
          </cell>
          <cell r="AW179">
            <v>0</v>
          </cell>
          <cell r="AX179" t="str">
            <v>-</v>
          </cell>
          <cell r="AY179">
            <v>0</v>
          </cell>
          <cell r="AZ179" t="str">
            <v/>
          </cell>
          <cell r="BA179">
            <v>0</v>
          </cell>
          <cell r="BB179" t="str">
            <v>-</v>
          </cell>
          <cell r="BC179">
            <v>0</v>
          </cell>
          <cell r="BD179" t="str">
            <v>-</v>
          </cell>
          <cell r="BE179">
            <v>0</v>
          </cell>
          <cell r="BF179" t="str">
            <v/>
          </cell>
          <cell r="BG179">
            <v>0</v>
          </cell>
          <cell r="BH179" t="str">
            <v>-</v>
          </cell>
          <cell r="BI179">
            <v>0</v>
          </cell>
          <cell r="BJ179" t="str">
            <v>-</v>
          </cell>
          <cell r="BK179">
            <v>0</v>
          </cell>
          <cell r="BL179">
            <v>0</v>
          </cell>
          <cell r="BM179" t="str">
            <v>-</v>
          </cell>
          <cell r="BN179">
            <v>15</v>
          </cell>
          <cell r="BO179" t="str">
            <v/>
          </cell>
          <cell r="BP179">
            <v>0</v>
          </cell>
          <cell r="BQ179">
            <v>0</v>
          </cell>
          <cell r="BR179" t="str">
            <v>-</v>
          </cell>
          <cell r="BS179">
            <v>0</v>
          </cell>
          <cell r="BT179">
            <v>0</v>
          </cell>
          <cell r="BU179" t="str">
            <v>-</v>
          </cell>
        </row>
        <row r="180">
          <cell r="A180" t="str">
            <v>20314RET</v>
          </cell>
          <cell r="B180">
            <v>20314</v>
          </cell>
          <cell r="C180" t="str">
            <v>RET</v>
          </cell>
          <cell r="D180" t="str">
            <v>Cooling</v>
          </cell>
          <cell r="E180" t="str">
            <v>Ground Source Heat Pump</v>
          </cell>
          <cell r="F180" t="str">
            <v>C</v>
          </cell>
          <cell r="G180" t="str">
            <v>Y</v>
          </cell>
          <cell r="M180" t="str">
            <v>RET</v>
          </cell>
          <cell r="N180" t="str">
            <v>Weighted average of existing, standard efficiency unitary AC and air source HP</v>
          </cell>
          <cell r="O180">
            <v>2021</v>
          </cell>
          <cell r="P180">
            <v>2030</v>
          </cell>
          <cell r="Q180" t="str">
            <v>Small Office</v>
          </cell>
          <cell r="R180" t="str">
            <v/>
          </cell>
          <cell r="S180">
            <v>0</v>
          </cell>
          <cell r="T180">
            <v>0</v>
          </cell>
          <cell r="U180">
            <v>0</v>
          </cell>
          <cell r="V180">
            <v>1539.9240955129067</v>
          </cell>
          <cell r="W180">
            <v>0.54284040815068269</v>
          </cell>
          <cell r="X180" t="str">
            <v>-</v>
          </cell>
          <cell r="Y180" t="str">
            <v>3,7</v>
          </cell>
          <cell r="Z180" t="str">
            <v>3,7</v>
          </cell>
          <cell r="AA180">
            <v>0</v>
          </cell>
          <cell r="AB180">
            <v>0</v>
          </cell>
          <cell r="AC180">
            <v>9897.3879166666666</v>
          </cell>
          <cell r="AD180">
            <v>6.4271920580410926</v>
          </cell>
          <cell r="AE180">
            <v>12</v>
          </cell>
          <cell r="AF180">
            <v>12</v>
          </cell>
          <cell r="AG180">
            <v>15</v>
          </cell>
          <cell r="AH180">
            <v>9</v>
          </cell>
          <cell r="AI180">
            <v>5000</v>
          </cell>
          <cell r="AJ180">
            <v>3.2469132826541274</v>
          </cell>
          <cell r="AK180">
            <v>1</v>
          </cell>
          <cell r="AL180" t="str">
            <v>-</v>
          </cell>
          <cell r="AM180" t="str">
            <v>-</v>
          </cell>
          <cell r="AN180" t="str">
            <v/>
          </cell>
          <cell r="AO180">
            <v>0</v>
          </cell>
          <cell r="AP180" t="str">
            <v>-</v>
          </cell>
          <cell r="AQ180">
            <v>0</v>
          </cell>
          <cell r="AR180" t="str">
            <v>-</v>
          </cell>
          <cell r="AS180">
            <v>0</v>
          </cell>
          <cell r="AT180" t="str">
            <v/>
          </cell>
          <cell r="AU180">
            <v>0</v>
          </cell>
          <cell r="AV180" t="str">
            <v>-</v>
          </cell>
          <cell r="AW180">
            <v>0</v>
          </cell>
          <cell r="AX180" t="str">
            <v>-</v>
          </cell>
          <cell r="AY180">
            <v>0</v>
          </cell>
          <cell r="AZ180" t="str">
            <v/>
          </cell>
          <cell r="BA180">
            <v>0</v>
          </cell>
          <cell r="BB180" t="str">
            <v>-</v>
          </cell>
          <cell r="BC180">
            <v>0</v>
          </cell>
          <cell r="BD180" t="str">
            <v>-</v>
          </cell>
          <cell r="BE180">
            <v>0</v>
          </cell>
          <cell r="BF180" t="str">
            <v/>
          </cell>
          <cell r="BG180">
            <v>0</v>
          </cell>
          <cell r="BH180" t="str">
            <v>-</v>
          </cell>
          <cell r="BI180">
            <v>0</v>
          </cell>
          <cell r="BJ180" t="str">
            <v>-</v>
          </cell>
          <cell r="BK180">
            <v>0</v>
          </cell>
          <cell r="BL180">
            <v>0</v>
          </cell>
          <cell r="BM180" t="str">
            <v>-</v>
          </cell>
          <cell r="BN180">
            <v>15</v>
          </cell>
          <cell r="BO180" t="str">
            <v/>
          </cell>
          <cell r="BP180">
            <v>0</v>
          </cell>
          <cell r="BQ180">
            <v>0</v>
          </cell>
          <cell r="BR180" t="str">
            <v>-</v>
          </cell>
          <cell r="BS180">
            <v>0</v>
          </cell>
          <cell r="BT180">
            <v>0</v>
          </cell>
          <cell r="BU180" t="str">
            <v>-</v>
          </cell>
        </row>
        <row r="181">
          <cell r="A181" t="str">
            <v>20315MD</v>
          </cell>
          <cell r="B181">
            <v>20315</v>
          </cell>
          <cell r="C181" t="str">
            <v>MD</v>
          </cell>
          <cell r="D181" t="str">
            <v>Cooling</v>
          </cell>
          <cell r="E181" t="str">
            <v>Chiller Systems</v>
          </cell>
          <cell r="F181" t="str">
            <v>C</v>
          </cell>
          <cell r="G181" t="str">
            <v>Y</v>
          </cell>
          <cell r="M181" t="str">
            <v>NC,RENO,REPL</v>
          </cell>
          <cell r="N181" t="str">
            <v>Standard efficiency chiller systems</v>
          </cell>
          <cell r="O181">
            <v>2021</v>
          </cell>
          <cell r="P181">
            <v>2030</v>
          </cell>
          <cell r="Q181" t="str">
            <v>Large Office</v>
          </cell>
          <cell r="R181" t="str">
            <v/>
          </cell>
          <cell r="S181">
            <v>103.66279696974671</v>
          </cell>
          <cell r="T181">
            <v>106.90426565658223</v>
          </cell>
          <cell r="U181">
            <v>0</v>
          </cell>
          <cell r="V181">
            <v>8163.5018999999957</v>
          </cell>
          <cell r="W181">
            <v>0.22592592592592584</v>
          </cell>
          <cell r="X181" t="str">
            <v>-</v>
          </cell>
          <cell r="Y181" t="str">
            <v>3,46,49</v>
          </cell>
          <cell r="Z181" t="str">
            <v>3,46,49</v>
          </cell>
          <cell r="AA181">
            <v>0</v>
          </cell>
          <cell r="AB181">
            <v>0</v>
          </cell>
          <cell r="AC181">
            <v>9750</v>
          </cell>
          <cell r="AD181">
            <v>1.1943403847312151</v>
          </cell>
          <cell r="AE181">
            <v>4</v>
          </cell>
          <cell r="AF181">
            <v>4</v>
          </cell>
          <cell r="AG181">
            <v>0</v>
          </cell>
          <cell r="AH181">
            <v>0</v>
          </cell>
          <cell r="AI181">
            <v>0</v>
          </cell>
          <cell r="AJ181">
            <v>0</v>
          </cell>
          <cell r="AK181">
            <v>0</v>
          </cell>
          <cell r="AL181" t="str">
            <v>-</v>
          </cell>
          <cell r="AM181" t="str">
            <v>-</v>
          </cell>
          <cell r="AN181" t="str">
            <v/>
          </cell>
          <cell r="AO181">
            <v>0</v>
          </cell>
          <cell r="AP181" t="str">
            <v>-</v>
          </cell>
          <cell r="AQ181">
            <v>0</v>
          </cell>
          <cell r="AR181" t="str">
            <v>-</v>
          </cell>
          <cell r="AS181">
            <v>0</v>
          </cell>
          <cell r="AT181" t="str">
            <v/>
          </cell>
          <cell r="AU181">
            <v>0</v>
          </cell>
          <cell r="AV181" t="str">
            <v>-</v>
          </cell>
          <cell r="AW181">
            <v>0</v>
          </cell>
          <cell r="AX181" t="str">
            <v>-</v>
          </cell>
          <cell r="AY181">
            <v>0</v>
          </cell>
          <cell r="AZ181" t="str">
            <v/>
          </cell>
          <cell r="BA181">
            <v>0</v>
          </cell>
          <cell r="BB181" t="str">
            <v>-</v>
          </cell>
          <cell r="BC181">
            <v>0</v>
          </cell>
          <cell r="BD181" t="str">
            <v>-</v>
          </cell>
          <cell r="BE181">
            <v>0</v>
          </cell>
          <cell r="BF181" t="str">
            <v/>
          </cell>
          <cell r="BG181">
            <v>0</v>
          </cell>
          <cell r="BH181" t="str">
            <v>-</v>
          </cell>
          <cell r="BI181">
            <v>0</v>
          </cell>
          <cell r="BJ181" t="str">
            <v>-</v>
          </cell>
          <cell r="BK181">
            <v>0</v>
          </cell>
          <cell r="BL181">
            <v>0</v>
          </cell>
          <cell r="BM181" t="str">
            <v>-</v>
          </cell>
          <cell r="BN181">
            <v>15</v>
          </cell>
          <cell r="BO181" t="str">
            <v/>
          </cell>
          <cell r="BP181">
            <v>0</v>
          </cell>
          <cell r="BQ181">
            <v>0</v>
          </cell>
          <cell r="BR181" t="str">
            <v>-</v>
          </cell>
          <cell r="BS181">
            <v>0</v>
          </cell>
          <cell r="BT181">
            <v>0</v>
          </cell>
          <cell r="BU181" t="str">
            <v>-</v>
          </cell>
        </row>
        <row r="182">
          <cell r="A182" t="str">
            <v>20315RET</v>
          </cell>
          <cell r="B182">
            <v>20315</v>
          </cell>
          <cell r="C182" t="str">
            <v>RET</v>
          </cell>
          <cell r="D182" t="str">
            <v>Cooling</v>
          </cell>
          <cell r="E182" t="str">
            <v>Chiller Systems</v>
          </cell>
          <cell r="F182" t="str">
            <v>C</v>
          </cell>
          <cell r="G182" t="str">
            <v>Y</v>
          </cell>
          <cell r="M182" t="str">
            <v>RET</v>
          </cell>
          <cell r="N182" t="str">
            <v>Existing, standard efficiency chiller systems</v>
          </cell>
          <cell r="O182">
            <v>2021</v>
          </cell>
          <cell r="P182">
            <v>2030</v>
          </cell>
          <cell r="Q182" t="str">
            <v>Large Office</v>
          </cell>
          <cell r="R182" t="str">
            <v/>
          </cell>
          <cell r="S182">
            <v>103.66279696974671</v>
          </cell>
          <cell r="T182">
            <v>182.57184964356253</v>
          </cell>
          <cell r="U182">
            <v>0</v>
          </cell>
          <cell r="V182">
            <v>34843.113380976967</v>
          </cell>
          <cell r="W182">
            <v>0.54511583345436465</v>
          </cell>
          <cell r="X182" t="str">
            <v>-</v>
          </cell>
          <cell r="Y182" t="str">
            <v>3,46,49</v>
          </cell>
          <cell r="Z182" t="str">
            <v>3,46,49</v>
          </cell>
          <cell r="AA182">
            <v>0</v>
          </cell>
          <cell r="AB182">
            <v>0</v>
          </cell>
          <cell r="AC182">
            <v>9750</v>
          </cell>
          <cell r="AD182">
            <v>0.27982574040938413</v>
          </cell>
          <cell r="AE182">
            <v>4</v>
          </cell>
          <cell r="AF182">
            <v>4</v>
          </cell>
          <cell r="AG182">
            <v>20</v>
          </cell>
          <cell r="AH182">
            <v>12</v>
          </cell>
          <cell r="AI182">
            <v>-9750</v>
          </cell>
          <cell r="AJ182">
            <v>-0.27982574040938413</v>
          </cell>
          <cell r="AK182">
            <v>0.23429312446163211</v>
          </cell>
          <cell r="AL182" t="str">
            <v>-</v>
          </cell>
          <cell r="AM182" t="str">
            <v>-</v>
          </cell>
          <cell r="AN182" t="str">
            <v/>
          </cell>
          <cell r="AO182">
            <v>0</v>
          </cell>
          <cell r="AP182" t="str">
            <v>-</v>
          </cell>
          <cell r="AQ182">
            <v>0</v>
          </cell>
          <cell r="AR182" t="str">
            <v>-</v>
          </cell>
          <cell r="AS182">
            <v>0</v>
          </cell>
          <cell r="AT182" t="str">
            <v/>
          </cell>
          <cell r="AU182">
            <v>0</v>
          </cell>
          <cell r="AV182" t="str">
            <v>-</v>
          </cell>
          <cell r="AW182">
            <v>0</v>
          </cell>
          <cell r="AX182" t="str">
            <v>-</v>
          </cell>
          <cell r="AY182">
            <v>0</v>
          </cell>
          <cell r="AZ182" t="str">
            <v/>
          </cell>
          <cell r="BA182">
            <v>0</v>
          </cell>
          <cell r="BB182" t="str">
            <v>-</v>
          </cell>
          <cell r="BC182">
            <v>0</v>
          </cell>
          <cell r="BD182" t="str">
            <v>-</v>
          </cell>
          <cell r="BE182">
            <v>0</v>
          </cell>
          <cell r="BF182" t="str">
            <v/>
          </cell>
          <cell r="BG182">
            <v>0</v>
          </cell>
          <cell r="BH182" t="str">
            <v>-</v>
          </cell>
          <cell r="BI182">
            <v>0</v>
          </cell>
          <cell r="BJ182" t="str">
            <v>-</v>
          </cell>
          <cell r="BK182">
            <v>0</v>
          </cell>
          <cell r="BL182">
            <v>0</v>
          </cell>
          <cell r="BM182" t="str">
            <v>-</v>
          </cell>
          <cell r="BN182">
            <v>15</v>
          </cell>
          <cell r="BO182" t="str">
            <v/>
          </cell>
          <cell r="BP182">
            <v>0</v>
          </cell>
          <cell r="BQ182">
            <v>0</v>
          </cell>
          <cell r="BR182" t="str">
            <v>-</v>
          </cell>
          <cell r="BS182">
            <v>0</v>
          </cell>
          <cell r="BT182">
            <v>0</v>
          </cell>
          <cell r="BU182" t="str">
            <v>-</v>
          </cell>
        </row>
        <row r="183">
          <cell r="A183" t="str">
            <v>20316RET</v>
          </cell>
          <cell r="B183">
            <v>20316</v>
          </cell>
          <cell r="C183" t="str">
            <v>RET</v>
          </cell>
          <cell r="D183" t="str">
            <v>Cooling</v>
          </cell>
          <cell r="E183" t="str">
            <v>Chiller Tuneup</v>
          </cell>
          <cell r="F183" t="str">
            <v>C</v>
          </cell>
          <cell r="G183" t="str">
            <v>Y</v>
          </cell>
          <cell r="M183" t="str">
            <v>RET</v>
          </cell>
          <cell r="N183" t="str">
            <v>Existing air cooled or water chiller</v>
          </cell>
          <cell r="O183">
            <v>2021</v>
          </cell>
          <cell r="P183">
            <v>2030</v>
          </cell>
          <cell r="Q183" t="str">
            <v>Large Office</v>
          </cell>
          <cell r="R183" t="str">
            <v/>
          </cell>
          <cell r="S183">
            <v>0</v>
          </cell>
          <cell r="T183">
            <v>0</v>
          </cell>
          <cell r="U183">
            <v>0</v>
          </cell>
          <cell r="V183">
            <v>2918.6717176318803</v>
          </cell>
          <cell r="W183">
            <v>0.05</v>
          </cell>
          <cell r="X183" t="str">
            <v>-</v>
          </cell>
          <cell r="Y183" t="str">
            <v>3,46,11,12</v>
          </cell>
          <cell r="Z183" t="str">
            <v>3,46,11,12</v>
          </cell>
          <cell r="AA183">
            <v>0</v>
          </cell>
          <cell r="AB183">
            <v>0</v>
          </cell>
          <cell r="AC183">
            <v>3750</v>
          </cell>
          <cell r="AD183">
            <v>1.2848310337013968</v>
          </cell>
          <cell r="AE183">
            <v>12</v>
          </cell>
          <cell r="AF183">
            <v>12</v>
          </cell>
          <cell r="AG183">
            <v>0</v>
          </cell>
          <cell r="AH183">
            <v>0</v>
          </cell>
          <cell r="AI183">
            <v>0</v>
          </cell>
          <cell r="AJ183">
            <v>0</v>
          </cell>
          <cell r="AK183">
            <v>0</v>
          </cell>
          <cell r="AL183" t="str">
            <v>-</v>
          </cell>
          <cell r="AM183" t="str">
            <v>-</v>
          </cell>
          <cell r="AN183" t="str">
            <v/>
          </cell>
          <cell r="AO183">
            <v>0</v>
          </cell>
          <cell r="AP183" t="str">
            <v>-</v>
          </cell>
          <cell r="AQ183">
            <v>0</v>
          </cell>
          <cell r="AR183" t="str">
            <v>-</v>
          </cell>
          <cell r="AS183">
            <v>0</v>
          </cell>
          <cell r="AT183" t="str">
            <v/>
          </cell>
          <cell r="AU183">
            <v>0</v>
          </cell>
          <cell r="AV183" t="str">
            <v>-</v>
          </cell>
          <cell r="AW183">
            <v>0</v>
          </cell>
          <cell r="AX183" t="str">
            <v>-</v>
          </cell>
          <cell r="AY183">
            <v>0</v>
          </cell>
          <cell r="AZ183" t="str">
            <v/>
          </cell>
          <cell r="BA183">
            <v>0</v>
          </cell>
          <cell r="BB183" t="str">
            <v>-</v>
          </cell>
          <cell r="BC183">
            <v>0</v>
          </cell>
          <cell r="BD183" t="str">
            <v>-</v>
          </cell>
          <cell r="BE183">
            <v>0</v>
          </cell>
          <cell r="BF183" t="str">
            <v/>
          </cell>
          <cell r="BG183">
            <v>0</v>
          </cell>
          <cell r="BH183" t="str">
            <v>-</v>
          </cell>
          <cell r="BI183">
            <v>0</v>
          </cell>
          <cell r="BJ183" t="str">
            <v>-</v>
          </cell>
          <cell r="BK183">
            <v>0</v>
          </cell>
          <cell r="BL183">
            <v>0</v>
          </cell>
          <cell r="BM183" t="str">
            <v>-</v>
          </cell>
          <cell r="BN183">
            <v>5</v>
          </cell>
          <cell r="BO183" t="str">
            <v/>
          </cell>
          <cell r="BP183">
            <v>0</v>
          </cell>
          <cell r="BQ183">
            <v>0</v>
          </cell>
          <cell r="BR183" t="str">
            <v>-</v>
          </cell>
          <cell r="BS183">
            <v>0</v>
          </cell>
          <cell r="BT183">
            <v>0</v>
          </cell>
          <cell r="BU183" t="str">
            <v>-</v>
          </cell>
        </row>
        <row r="184">
          <cell r="A184" t="str">
            <v>20317RET</v>
          </cell>
          <cell r="B184">
            <v>20317</v>
          </cell>
          <cell r="C184" t="str">
            <v>RET</v>
          </cell>
          <cell r="D184" t="str">
            <v>Cooling</v>
          </cell>
          <cell r="E184" t="str">
            <v>Unitary Equipment Economizer</v>
          </cell>
          <cell r="F184" t="str">
            <v>C</v>
          </cell>
          <cell r="G184" t="str">
            <v>Y</v>
          </cell>
          <cell r="M184" t="str">
            <v>RET</v>
          </cell>
          <cell r="N184" t="str">
            <v>Existing unitary equipment without a functional air side economizer</v>
          </cell>
          <cell r="O184">
            <v>2021</v>
          </cell>
          <cell r="P184">
            <v>2030</v>
          </cell>
          <cell r="Q184" t="str">
            <v>Small Office</v>
          </cell>
          <cell r="R184" t="str">
            <v/>
          </cell>
          <cell r="S184">
            <v>0</v>
          </cell>
          <cell r="T184">
            <v>0</v>
          </cell>
          <cell r="U184">
            <v>0</v>
          </cell>
          <cell r="V184">
            <v>1497.3000000000004</v>
          </cell>
          <cell r="W184">
            <v>0.29215245483385005</v>
          </cell>
          <cell r="X184" t="str">
            <v>-</v>
          </cell>
          <cell r="Y184" t="str">
            <v>3,46,11</v>
          </cell>
          <cell r="Z184" t="str">
            <v>3,46,11</v>
          </cell>
          <cell r="AA184">
            <v>0</v>
          </cell>
          <cell r="AB184">
            <v>0</v>
          </cell>
          <cell r="AC184">
            <v>1226.5</v>
          </cell>
          <cell r="AD184">
            <v>0.81914112068389744</v>
          </cell>
          <cell r="AE184">
            <v>9</v>
          </cell>
          <cell r="AF184">
            <v>9</v>
          </cell>
          <cell r="AG184">
            <v>0</v>
          </cell>
          <cell r="AH184">
            <v>0</v>
          </cell>
          <cell r="AI184">
            <v>0</v>
          </cell>
          <cell r="AJ184">
            <v>0</v>
          </cell>
          <cell r="AK184">
            <v>0</v>
          </cell>
          <cell r="AL184" t="str">
            <v>-</v>
          </cell>
          <cell r="AM184" t="str">
            <v>-</v>
          </cell>
          <cell r="AN184" t="str">
            <v/>
          </cell>
          <cell r="AO184">
            <v>0</v>
          </cell>
          <cell r="AP184" t="str">
            <v>-</v>
          </cell>
          <cell r="AQ184">
            <v>0</v>
          </cell>
          <cell r="AR184" t="str">
            <v>-</v>
          </cell>
          <cell r="AS184">
            <v>0</v>
          </cell>
          <cell r="AT184" t="str">
            <v/>
          </cell>
          <cell r="AU184">
            <v>0</v>
          </cell>
          <cell r="AV184" t="str">
            <v>-</v>
          </cell>
          <cell r="AW184">
            <v>0</v>
          </cell>
          <cell r="AX184" t="str">
            <v>-</v>
          </cell>
          <cell r="AY184">
            <v>0</v>
          </cell>
          <cell r="AZ184" t="str">
            <v/>
          </cell>
          <cell r="BA184">
            <v>0</v>
          </cell>
          <cell r="BB184" t="str">
            <v>-</v>
          </cell>
          <cell r="BC184">
            <v>0</v>
          </cell>
          <cell r="BD184" t="str">
            <v>-</v>
          </cell>
          <cell r="BE184">
            <v>0</v>
          </cell>
          <cell r="BF184" t="str">
            <v/>
          </cell>
          <cell r="BG184">
            <v>0</v>
          </cell>
          <cell r="BH184" t="str">
            <v>-</v>
          </cell>
          <cell r="BI184">
            <v>0</v>
          </cell>
          <cell r="BJ184" t="str">
            <v>-</v>
          </cell>
          <cell r="BK184">
            <v>0</v>
          </cell>
          <cell r="BL184">
            <v>0</v>
          </cell>
          <cell r="BM184" t="str">
            <v>-</v>
          </cell>
          <cell r="BN184">
            <v>10</v>
          </cell>
          <cell r="BO184" t="str">
            <v/>
          </cell>
          <cell r="BP184">
            <v>0</v>
          </cell>
          <cell r="BQ184">
            <v>0</v>
          </cell>
          <cell r="BR184" t="str">
            <v>-</v>
          </cell>
          <cell r="BS184">
            <v>0</v>
          </cell>
          <cell r="BT184">
            <v>0</v>
          </cell>
          <cell r="BU184" t="str">
            <v>-</v>
          </cell>
        </row>
        <row r="185">
          <cell r="A185" t="str">
            <v>20318RET</v>
          </cell>
          <cell r="B185">
            <v>20318</v>
          </cell>
          <cell r="C185" t="str">
            <v>RET</v>
          </cell>
          <cell r="D185" t="str">
            <v>Cooling</v>
          </cell>
          <cell r="E185" t="str">
            <v>Demand Control Ventilation</v>
          </cell>
          <cell r="F185" t="str">
            <v>C</v>
          </cell>
          <cell r="G185" t="str">
            <v>Y</v>
          </cell>
          <cell r="M185" t="str">
            <v>RET</v>
          </cell>
          <cell r="N185" t="str">
            <v>Existing DX or water cooled air systems without DCV</v>
          </cell>
          <cell r="O185">
            <v>2021</v>
          </cell>
          <cell r="P185">
            <v>2030</v>
          </cell>
          <cell r="Q185" t="str">
            <v>Small Office</v>
          </cell>
          <cell r="R185" t="str">
            <v/>
          </cell>
          <cell r="S185">
            <v>0</v>
          </cell>
          <cell r="T185">
            <v>0</v>
          </cell>
          <cell r="U185">
            <v>0</v>
          </cell>
          <cell r="V185" t="e">
            <v>#REF!</v>
          </cell>
          <cell r="W185" t="e">
            <v>#REF!</v>
          </cell>
          <cell r="X185" t="str">
            <v>-</v>
          </cell>
          <cell r="Y185" t="str">
            <v>18,46,12</v>
          </cell>
          <cell r="Z185" t="str">
            <v>18,46,12</v>
          </cell>
          <cell r="AA185">
            <v>0</v>
          </cell>
          <cell r="AB185">
            <v>0</v>
          </cell>
          <cell r="AC185" t="e">
            <v>#REF!</v>
          </cell>
          <cell r="AD185">
            <v>0</v>
          </cell>
          <cell r="AE185" t="str">
            <v>18,42</v>
          </cell>
          <cell r="AF185" t="str">
            <v>18,42</v>
          </cell>
          <cell r="AG185">
            <v>0</v>
          </cell>
          <cell r="AH185">
            <v>0</v>
          </cell>
          <cell r="AI185">
            <v>0</v>
          </cell>
          <cell r="AJ185">
            <v>0</v>
          </cell>
          <cell r="AK185">
            <v>0</v>
          </cell>
          <cell r="AL185" t="str">
            <v>-</v>
          </cell>
          <cell r="AM185" t="str">
            <v>-</v>
          </cell>
          <cell r="AN185" t="str">
            <v/>
          </cell>
          <cell r="AO185">
            <v>0</v>
          </cell>
          <cell r="AP185" t="str">
            <v>-</v>
          </cell>
          <cell r="AQ185">
            <v>0</v>
          </cell>
          <cell r="AR185" t="str">
            <v>-</v>
          </cell>
          <cell r="AS185">
            <v>0</v>
          </cell>
          <cell r="AT185" t="str">
            <v/>
          </cell>
          <cell r="AU185">
            <v>0</v>
          </cell>
          <cell r="AV185" t="str">
            <v>-</v>
          </cell>
          <cell r="AW185">
            <v>0</v>
          </cell>
          <cell r="AX185" t="str">
            <v>-</v>
          </cell>
          <cell r="AY185">
            <v>0</v>
          </cell>
          <cell r="AZ185" t="str">
            <v/>
          </cell>
          <cell r="BA185">
            <v>0</v>
          </cell>
          <cell r="BB185" t="str">
            <v>-</v>
          </cell>
          <cell r="BC185">
            <v>0</v>
          </cell>
          <cell r="BD185" t="str">
            <v>-</v>
          </cell>
          <cell r="BE185">
            <v>0</v>
          </cell>
          <cell r="BF185" t="str">
            <v/>
          </cell>
          <cell r="BG185">
            <v>0</v>
          </cell>
          <cell r="BH185" t="str">
            <v>-</v>
          </cell>
          <cell r="BI185">
            <v>0</v>
          </cell>
          <cell r="BJ185" t="str">
            <v>-</v>
          </cell>
          <cell r="BK185">
            <v>0</v>
          </cell>
          <cell r="BL185">
            <v>0</v>
          </cell>
          <cell r="BM185" t="str">
            <v>-</v>
          </cell>
          <cell r="BN185" t="e">
            <v>#REF!</v>
          </cell>
          <cell r="BO185" t="str">
            <v/>
          </cell>
          <cell r="BP185">
            <v>0</v>
          </cell>
          <cell r="BQ185">
            <v>0</v>
          </cell>
          <cell r="BR185" t="str">
            <v>-</v>
          </cell>
          <cell r="BS185">
            <v>0</v>
          </cell>
          <cell r="BT185">
            <v>0</v>
          </cell>
          <cell r="BU185" t="str">
            <v>-</v>
          </cell>
        </row>
        <row r="186">
          <cell r="A186" t="str">
            <v>20319RET</v>
          </cell>
          <cell r="B186">
            <v>20319</v>
          </cell>
          <cell r="C186" t="str">
            <v>RET</v>
          </cell>
          <cell r="D186" t="str">
            <v>Cooling</v>
          </cell>
          <cell r="E186" t="str">
            <v>Demand Control Ventilation</v>
          </cell>
          <cell r="F186" t="str">
            <v>C</v>
          </cell>
          <cell r="G186" t="str">
            <v>Y</v>
          </cell>
          <cell r="M186" t="str">
            <v>RET</v>
          </cell>
          <cell r="N186" t="str">
            <v>Existing DX or water cooled air systems without DCV</v>
          </cell>
          <cell r="O186">
            <v>2021</v>
          </cell>
          <cell r="P186">
            <v>2030</v>
          </cell>
          <cell r="Q186" t="str">
            <v>Small Office</v>
          </cell>
          <cell r="R186" t="str">
            <v/>
          </cell>
          <cell r="S186">
            <v>0</v>
          </cell>
          <cell r="T186">
            <v>0</v>
          </cell>
          <cell r="U186">
            <v>0</v>
          </cell>
          <cell r="V186" t="e">
            <v>#REF!</v>
          </cell>
          <cell r="W186" t="e">
            <v>#REF!</v>
          </cell>
          <cell r="X186" t="str">
            <v>-</v>
          </cell>
          <cell r="Y186" t="str">
            <v>18,46,12</v>
          </cell>
          <cell r="Z186" t="str">
            <v>18,46,12</v>
          </cell>
          <cell r="AA186">
            <v>0</v>
          </cell>
          <cell r="AB186">
            <v>0</v>
          </cell>
          <cell r="AC186" t="e">
            <v>#REF!</v>
          </cell>
          <cell r="AD186">
            <v>0</v>
          </cell>
          <cell r="AE186" t="str">
            <v>18,42</v>
          </cell>
          <cell r="AF186" t="str">
            <v>18,42</v>
          </cell>
          <cell r="AG186">
            <v>0</v>
          </cell>
          <cell r="AH186">
            <v>0</v>
          </cell>
          <cell r="AI186">
            <v>0</v>
          </cell>
          <cell r="AJ186">
            <v>0</v>
          </cell>
          <cell r="AK186">
            <v>0</v>
          </cell>
          <cell r="AL186" t="str">
            <v>-</v>
          </cell>
          <cell r="AM186" t="str">
            <v>-</v>
          </cell>
          <cell r="AN186" t="str">
            <v/>
          </cell>
          <cell r="AO186">
            <v>0</v>
          </cell>
          <cell r="AP186" t="str">
            <v>-</v>
          </cell>
          <cell r="AQ186">
            <v>0</v>
          </cell>
          <cell r="AR186" t="str">
            <v>-</v>
          </cell>
          <cell r="AS186">
            <v>0</v>
          </cell>
          <cell r="AT186" t="str">
            <v/>
          </cell>
          <cell r="AU186">
            <v>0</v>
          </cell>
          <cell r="AV186" t="str">
            <v>-</v>
          </cell>
          <cell r="AW186">
            <v>0</v>
          </cell>
          <cell r="AX186" t="str">
            <v>-</v>
          </cell>
          <cell r="AY186">
            <v>0</v>
          </cell>
          <cell r="AZ186" t="str">
            <v/>
          </cell>
          <cell r="BA186">
            <v>0</v>
          </cell>
          <cell r="BB186" t="str">
            <v>-</v>
          </cell>
          <cell r="BC186">
            <v>0</v>
          </cell>
          <cell r="BD186" t="str">
            <v>-</v>
          </cell>
          <cell r="BE186">
            <v>0</v>
          </cell>
          <cell r="BF186" t="str">
            <v/>
          </cell>
          <cell r="BG186">
            <v>0</v>
          </cell>
          <cell r="BH186" t="str">
            <v>-</v>
          </cell>
          <cell r="BI186">
            <v>0</v>
          </cell>
          <cell r="BJ186" t="str">
            <v>-</v>
          </cell>
          <cell r="BK186">
            <v>0</v>
          </cell>
          <cell r="BL186">
            <v>0</v>
          </cell>
          <cell r="BM186" t="str">
            <v>-</v>
          </cell>
          <cell r="BN186" t="e">
            <v>#REF!</v>
          </cell>
          <cell r="BO186" t="str">
            <v/>
          </cell>
          <cell r="BP186">
            <v>0</v>
          </cell>
          <cell r="BQ186">
            <v>0</v>
          </cell>
          <cell r="BR186" t="str">
            <v>-</v>
          </cell>
          <cell r="BS186">
            <v>0</v>
          </cell>
          <cell r="BT186">
            <v>0</v>
          </cell>
          <cell r="BU186" t="str">
            <v>-</v>
          </cell>
        </row>
        <row r="187">
          <cell r="A187" t="str">
            <v>20320RET</v>
          </cell>
          <cell r="B187">
            <v>20320</v>
          </cell>
          <cell r="C187" t="str">
            <v>RET</v>
          </cell>
          <cell r="D187" t="str">
            <v>Cooling</v>
          </cell>
          <cell r="E187" t="str">
            <v>Controls for Unitary AC</v>
          </cell>
          <cell r="F187" t="str">
            <v>C</v>
          </cell>
          <cell r="G187" t="str">
            <v>Y</v>
          </cell>
          <cell r="M187" t="str">
            <v>RET</v>
          </cell>
          <cell r="N187" t="str">
            <v>Existing RTU without advanced controls</v>
          </cell>
          <cell r="O187">
            <v>2021</v>
          </cell>
          <cell r="P187">
            <v>2030</v>
          </cell>
          <cell r="Q187" t="str">
            <v>Large Office</v>
          </cell>
          <cell r="R187" t="str">
            <v/>
          </cell>
          <cell r="S187">
            <v>0</v>
          </cell>
          <cell r="T187">
            <v>0</v>
          </cell>
          <cell r="U187">
            <v>0</v>
          </cell>
          <cell r="V187">
            <v>0</v>
          </cell>
          <cell r="W187">
            <v>0.15</v>
          </cell>
          <cell r="X187" t="str">
            <v>-</v>
          </cell>
          <cell r="Y187">
            <v>17</v>
          </cell>
          <cell r="Z187">
            <v>17</v>
          </cell>
          <cell r="AA187">
            <v>0</v>
          </cell>
          <cell r="AB187">
            <v>0</v>
          </cell>
          <cell r="AC187">
            <v>0</v>
          </cell>
          <cell r="AD187">
            <v>0.47</v>
          </cell>
          <cell r="AE187">
            <v>17</v>
          </cell>
          <cell r="AF187">
            <v>17</v>
          </cell>
          <cell r="AG187">
            <v>0</v>
          </cell>
          <cell r="AH187">
            <v>0</v>
          </cell>
          <cell r="AI187">
            <v>0</v>
          </cell>
          <cell r="AJ187">
            <v>0</v>
          </cell>
          <cell r="AK187">
            <v>0</v>
          </cell>
          <cell r="AL187" t="str">
            <v>-</v>
          </cell>
          <cell r="AM187" t="str">
            <v>-</v>
          </cell>
          <cell r="AN187" t="str">
            <v/>
          </cell>
          <cell r="AO187">
            <v>0</v>
          </cell>
          <cell r="AP187" t="str">
            <v>-</v>
          </cell>
          <cell r="AQ187">
            <v>0</v>
          </cell>
          <cell r="AR187" t="str">
            <v>-</v>
          </cell>
          <cell r="AS187">
            <v>0</v>
          </cell>
          <cell r="AT187" t="str">
            <v/>
          </cell>
          <cell r="AU187">
            <v>0</v>
          </cell>
          <cell r="AV187" t="str">
            <v>-</v>
          </cell>
          <cell r="AW187">
            <v>0</v>
          </cell>
          <cell r="AX187" t="str">
            <v>-</v>
          </cell>
          <cell r="AY187">
            <v>0</v>
          </cell>
          <cell r="AZ187" t="str">
            <v/>
          </cell>
          <cell r="BA187">
            <v>0</v>
          </cell>
          <cell r="BB187" t="str">
            <v>-</v>
          </cell>
          <cell r="BC187">
            <v>0</v>
          </cell>
          <cell r="BD187" t="str">
            <v>-</v>
          </cell>
          <cell r="BE187">
            <v>0</v>
          </cell>
          <cell r="BF187" t="str">
            <v/>
          </cell>
          <cell r="BG187">
            <v>0</v>
          </cell>
          <cell r="BH187" t="str">
            <v>-</v>
          </cell>
          <cell r="BI187">
            <v>0</v>
          </cell>
          <cell r="BJ187" t="str">
            <v>-</v>
          </cell>
          <cell r="BK187">
            <v>0</v>
          </cell>
          <cell r="BL187">
            <v>0</v>
          </cell>
          <cell r="BM187" t="str">
            <v>-</v>
          </cell>
          <cell r="BN187">
            <v>10</v>
          </cell>
          <cell r="BO187" t="str">
            <v/>
          </cell>
          <cell r="BP187">
            <v>0</v>
          </cell>
          <cell r="BQ187">
            <v>0</v>
          </cell>
          <cell r="BR187" t="str">
            <v>-</v>
          </cell>
          <cell r="BS187">
            <v>0</v>
          </cell>
          <cell r="BT187">
            <v>0</v>
          </cell>
          <cell r="BU187" t="str">
            <v>-</v>
          </cell>
        </row>
        <row r="188">
          <cell r="A188" t="str">
            <v>20321MD</v>
          </cell>
          <cell r="B188">
            <v>20321</v>
          </cell>
          <cell r="C188" t="str">
            <v>MD</v>
          </cell>
          <cell r="D188" t="str">
            <v>Cooling</v>
          </cell>
          <cell r="E188" t="str">
            <v>Optimized UnitaryAC Distribution/Control System</v>
          </cell>
          <cell r="F188" t="str">
            <v>C</v>
          </cell>
          <cell r="G188" t="str">
            <v>Y</v>
          </cell>
          <cell r="M188" t="str">
            <v>NC,RENO</v>
          </cell>
          <cell r="N188" t="str">
            <v>New construction standard efficiency unitary HVAC distribution system</v>
          </cell>
          <cell r="O188">
            <v>2021</v>
          </cell>
          <cell r="P188">
            <v>2030</v>
          </cell>
          <cell r="Q188" t="str">
            <v>Small Office</v>
          </cell>
          <cell r="R188" t="str">
            <v/>
          </cell>
          <cell r="S188">
            <v>0</v>
          </cell>
          <cell r="T188">
            <v>0</v>
          </cell>
          <cell r="U188">
            <v>0</v>
          </cell>
          <cell r="V188">
            <v>0</v>
          </cell>
          <cell r="W188">
            <v>0.19285714285714287</v>
          </cell>
          <cell r="X188" t="str">
            <v>-</v>
          </cell>
          <cell r="Y188">
            <v>50</v>
          </cell>
          <cell r="Z188">
            <v>50</v>
          </cell>
          <cell r="AA188">
            <v>0</v>
          </cell>
          <cell r="AB188">
            <v>0</v>
          </cell>
          <cell r="AC188">
            <v>0</v>
          </cell>
          <cell r="AD188">
            <v>0.85</v>
          </cell>
          <cell r="AE188" t="str">
            <v>9,12</v>
          </cell>
          <cell r="AF188" t="str">
            <v>9,12</v>
          </cell>
          <cell r="AG188">
            <v>0</v>
          </cell>
          <cell r="AH188">
            <v>0</v>
          </cell>
          <cell r="AI188">
            <v>0</v>
          </cell>
          <cell r="AJ188">
            <v>0</v>
          </cell>
          <cell r="AK188">
            <v>0</v>
          </cell>
          <cell r="AL188" t="str">
            <v>-</v>
          </cell>
          <cell r="AM188" t="str">
            <v>-</v>
          </cell>
          <cell r="AN188" t="str">
            <v/>
          </cell>
          <cell r="AO188">
            <v>0</v>
          </cell>
          <cell r="AP188" t="str">
            <v>-</v>
          </cell>
          <cell r="AQ188">
            <v>0</v>
          </cell>
          <cell r="AR188" t="str">
            <v>-</v>
          </cell>
          <cell r="AS188">
            <v>0</v>
          </cell>
          <cell r="AT188" t="str">
            <v/>
          </cell>
          <cell r="AU188">
            <v>0</v>
          </cell>
          <cell r="AV188" t="str">
            <v>-</v>
          </cell>
          <cell r="AW188">
            <v>0</v>
          </cell>
          <cell r="AX188" t="str">
            <v>-</v>
          </cell>
          <cell r="AY188">
            <v>0</v>
          </cell>
          <cell r="AZ188" t="str">
            <v/>
          </cell>
          <cell r="BA188">
            <v>0</v>
          </cell>
          <cell r="BB188" t="str">
            <v>-</v>
          </cell>
          <cell r="BC188">
            <v>0</v>
          </cell>
          <cell r="BD188" t="str">
            <v>-</v>
          </cell>
          <cell r="BE188">
            <v>0</v>
          </cell>
          <cell r="BF188" t="str">
            <v/>
          </cell>
          <cell r="BG188">
            <v>0</v>
          </cell>
          <cell r="BH188" t="str">
            <v>-</v>
          </cell>
          <cell r="BI188">
            <v>0</v>
          </cell>
          <cell r="BJ188" t="str">
            <v>-</v>
          </cell>
          <cell r="BK188">
            <v>0</v>
          </cell>
          <cell r="BL188">
            <v>0</v>
          </cell>
          <cell r="BM188" t="str">
            <v>-</v>
          </cell>
          <cell r="BN188">
            <v>10</v>
          </cell>
          <cell r="BO188" t="str">
            <v/>
          </cell>
          <cell r="BP188">
            <v>0</v>
          </cell>
          <cell r="BQ188">
            <v>0</v>
          </cell>
          <cell r="BR188" t="str">
            <v>-</v>
          </cell>
          <cell r="BS188">
            <v>0</v>
          </cell>
          <cell r="BT188">
            <v>0</v>
          </cell>
          <cell r="BU188" t="str">
            <v>-</v>
          </cell>
        </row>
        <row r="189">
          <cell r="A189" t="str">
            <v>20322MD</v>
          </cell>
          <cell r="B189">
            <v>20322</v>
          </cell>
          <cell r="C189" t="str">
            <v>MD</v>
          </cell>
          <cell r="D189" t="str">
            <v>Cooling</v>
          </cell>
          <cell r="E189" t="str">
            <v>Optimized UnitaryAC Distribution/Control System</v>
          </cell>
          <cell r="F189" t="str">
            <v>C</v>
          </cell>
          <cell r="G189" t="str">
            <v>Y</v>
          </cell>
          <cell r="M189" t="str">
            <v>NC,RENO</v>
          </cell>
          <cell r="N189" t="str">
            <v>New construction standard efficiency unitary HVAC distribution system</v>
          </cell>
          <cell r="O189">
            <v>2021</v>
          </cell>
          <cell r="P189">
            <v>2030</v>
          </cell>
          <cell r="Q189" t="str">
            <v>Small Office</v>
          </cell>
          <cell r="R189" t="str">
            <v/>
          </cell>
          <cell r="S189">
            <v>0</v>
          </cell>
          <cell r="T189">
            <v>0</v>
          </cell>
          <cell r="U189">
            <v>0</v>
          </cell>
          <cell r="V189">
            <v>0</v>
          </cell>
          <cell r="W189">
            <v>0.19285714285714287</v>
          </cell>
          <cell r="X189" t="str">
            <v>-</v>
          </cell>
          <cell r="Y189">
            <v>50</v>
          </cell>
          <cell r="Z189">
            <v>50</v>
          </cell>
          <cell r="AA189">
            <v>0</v>
          </cell>
          <cell r="AB189">
            <v>0</v>
          </cell>
          <cell r="AC189">
            <v>0</v>
          </cell>
          <cell r="AD189">
            <v>0.85</v>
          </cell>
          <cell r="AE189" t="str">
            <v>9,12</v>
          </cell>
          <cell r="AF189" t="str">
            <v>9,12</v>
          </cell>
          <cell r="AG189">
            <v>0</v>
          </cell>
          <cell r="AH189">
            <v>0</v>
          </cell>
          <cell r="AI189">
            <v>0</v>
          </cell>
          <cell r="AJ189">
            <v>0</v>
          </cell>
          <cell r="AK189">
            <v>0</v>
          </cell>
          <cell r="AL189" t="str">
            <v>-</v>
          </cell>
          <cell r="AM189" t="str">
            <v>-</v>
          </cell>
          <cell r="AN189" t="str">
            <v/>
          </cell>
          <cell r="AO189">
            <v>0</v>
          </cell>
          <cell r="AP189" t="str">
            <v>-</v>
          </cell>
          <cell r="AQ189">
            <v>0</v>
          </cell>
          <cell r="AR189" t="str">
            <v>-</v>
          </cell>
          <cell r="AS189">
            <v>0</v>
          </cell>
          <cell r="AT189" t="str">
            <v/>
          </cell>
          <cell r="AU189">
            <v>0</v>
          </cell>
          <cell r="AV189" t="str">
            <v>-</v>
          </cell>
          <cell r="AW189">
            <v>0</v>
          </cell>
          <cell r="AX189" t="str">
            <v>-</v>
          </cell>
          <cell r="AY189">
            <v>0</v>
          </cell>
          <cell r="AZ189" t="str">
            <v/>
          </cell>
          <cell r="BA189">
            <v>0</v>
          </cell>
          <cell r="BB189" t="str">
            <v>-</v>
          </cell>
          <cell r="BC189">
            <v>0</v>
          </cell>
          <cell r="BD189" t="str">
            <v>-</v>
          </cell>
          <cell r="BE189">
            <v>0</v>
          </cell>
          <cell r="BF189" t="str">
            <v/>
          </cell>
          <cell r="BG189">
            <v>0</v>
          </cell>
          <cell r="BH189" t="str">
            <v>-</v>
          </cell>
          <cell r="BI189">
            <v>0</v>
          </cell>
          <cell r="BJ189" t="str">
            <v>-</v>
          </cell>
          <cell r="BK189">
            <v>0</v>
          </cell>
          <cell r="BL189">
            <v>0</v>
          </cell>
          <cell r="BM189" t="str">
            <v>-</v>
          </cell>
          <cell r="BN189">
            <v>10</v>
          </cell>
          <cell r="BO189" t="str">
            <v/>
          </cell>
          <cell r="BP189">
            <v>0</v>
          </cell>
          <cell r="BQ189">
            <v>0</v>
          </cell>
          <cell r="BR189" t="str">
            <v>-</v>
          </cell>
          <cell r="BS189">
            <v>0</v>
          </cell>
          <cell r="BT189">
            <v>0</v>
          </cell>
          <cell r="BU189" t="str">
            <v>-</v>
          </cell>
        </row>
        <row r="190">
          <cell r="A190" t="str">
            <v>20323MD</v>
          </cell>
          <cell r="B190">
            <v>20323</v>
          </cell>
          <cell r="C190" t="str">
            <v>MD</v>
          </cell>
          <cell r="D190" t="str">
            <v>Cooling</v>
          </cell>
          <cell r="E190" t="str">
            <v>Optimized Chiller Distribution/Control System</v>
          </cell>
          <cell r="F190" t="str">
            <v>C</v>
          </cell>
          <cell r="G190" t="str">
            <v>Y</v>
          </cell>
          <cell r="M190" t="str">
            <v>NC,RENO</v>
          </cell>
          <cell r="N190" t="str">
            <v>New construction standard efficiency unitary HVAC distribution system</v>
          </cell>
          <cell r="O190">
            <v>2021</v>
          </cell>
          <cell r="P190">
            <v>2030</v>
          </cell>
          <cell r="Q190" t="str">
            <v>Large Office</v>
          </cell>
          <cell r="R190" t="str">
            <v/>
          </cell>
          <cell r="S190">
            <v>0</v>
          </cell>
          <cell r="T190">
            <v>0</v>
          </cell>
          <cell r="U190">
            <v>0</v>
          </cell>
          <cell r="V190">
            <v>20430.70202342316</v>
          </cell>
          <cell r="W190">
            <v>0.35</v>
          </cell>
          <cell r="X190" t="str">
            <v>-</v>
          </cell>
          <cell r="Y190">
            <v>14</v>
          </cell>
          <cell r="Z190">
            <v>14</v>
          </cell>
          <cell r="AA190">
            <v>0</v>
          </cell>
          <cell r="AB190">
            <v>0</v>
          </cell>
          <cell r="AC190">
            <v>9750</v>
          </cell>
          <cell r="AD190">
            <v>0.47722295537480458</v>
          </cell>
          <cell r="AE190">
            <v>4</v>
          </cell>
          <cell r="AF190">
            <v>4</v>
          </cell>
          <cell r="AG190">
            <v>0</v>
          </cell>
          <cell r="AH190">
            <v>0</v>
          </cell>
          <cell r="AI190">
            <v>0</v>
          </cell>
          <cell r="AJ190">
            <v>0</v>
          </cell>
          <cell r="AK190">
            <v>0</v>
          </cell>
          <cell r="AL190" t="str">
            <v>-</v>
          </cell>
          <cell r="AM190" t="str">
            <v>-</v>
          </cell>
          <cell r="AN190" t="str">
            <v/>
          </cell>
          <cell r="AO190">
            <v>0</v>
          </cell>
          <cell r="AP190" t="str">
            <v>-</v>
          </cell>
          <cell r="AQ190">
            <v>0</v>
          </cell>
          <cell r="AR190" t="str">
            <v>-</v>
          </cell>
          <cell r="AS190">
            <v>0</v>
          </cell>
          <cell r="AT190" t="str">
            <v/>
          </cell>
          <cell r="AU190">
            <v>0</v>
          </cell>
          <cell r="AV190" t="str">
            <v>-</v>
          </cell>
          <cell r="AW190">
            <v>0</v>
          </cell>
          <cell r="AX190" t="str">
            <v>-</v>
          </cell>
          <cell r="AY190">
            <v>0</v>
          </cell>
          <cell r="AZ190" t="str">
            <v/>
          </cell>
          <cell r="BA190">
            <v>0</v>
          </cell>
          <cell r="BB190" t="str">
            <v>-</v>
          </cell>
          <cell r="BC190">
            <v>0</v>
          </cell>
          <cell r="BD190" t="str">
            <v>-</v>
          </cell>
          <cell r="BE190">
            <v>0</v>
          </cell>
          <cell r="BF190" t="str">
            <v/>
          </cell>
          <cell r="BG190">
            <v>0</v>
          </cell>
          <cell r="BH190" t="str">
            <v>-</v>
          </cell>
          <cell r="BI190">
            <v>0</v>
          </cell>
          <cell r="BJ190" t="str">
            <v>-</v>
          </cell>
          <cell r="BK190">
            <v>0</v>
          </cell>
          <cell r="BL190">
            <v>0</v>
          </cell>
          <cell r="BM190" t="str">
            <v>-</v>
          </cell>
          <cell r="BN190">
            <v>15</v>
          </cell>
          <cell r="BO190" t="str">
            <v/>
          </cell>
          <cell r="BP190">
            <v>0</v>
          </cell>
          <cell r="BQ190">
            <v>0</v>
          </cell>
          <cell r="BR190" t="str">
            <v>-</v>
          </cell>
          <cell r="BS190">
            <v>0</v>
          </cell>
          <cell r="BT190">
            <v>0</v>
          </cell>
          <cell r="BU190" t="str">
            <v>-</v>
          </cell>
        </row>
        <row r="191">
          <cell r="A191" t="str">
            <v>20324RET</v>
          </cell>
          <cell r="B191">
            <v>20324</v>
          </cell>
          <cell r="C191" t="str">
            <v>RET</v>
          </cell>
          <cell r="D191" t="str">
            <v>Cooling</v>
          </cell>
          <cell r="E191" t="str">
            <v>Guest Room EM</v>
          </cell>
          <cell r="F191" t="str">
            <v>C</v>
          </cell>
          <cell r="G191" t="str">
            <v>Y</v>
          </cell>
          <cell r="M191" t="str">
            <v>RET</v>
          </cell>
          <cell r="N191" t="str">
            <v>Guest rooms without energy management controls (PTAC w/ electric resistance heat)</v>
          </cell>
          <cell r="O191">
            <v>2021</v>
          </cell>
          <cell r="P191">
            <v>2030</v>
          </cell>
          <cell r="Q191" t="str">
            <v>Small Lodging</v>
          </cell>
          <cell r="R191" t="str">
            <v/>
          </cell>
          <cell r="S191">
            <v>0</v>
          </cell>
          <cell r="T191">
            <v>0</v>
          </cell>
          <cell r="U191">
            <v>0</v>
          </cell>
          <cell r="V191">
            <v>853.66924928005596</v>
          </cell>
          <cell r="W191">
            <v>0.16412696902307655</v>
          </cell>
          <cell r="X191" t="str">
            <v>-</v>
          </cell>
          <cell r="Y191" t="str">
            <v>3,6,46</v>
          </cell>
          <cell r="Z191" t="str">
            <v>3,6,46</v>
          </cell>
          <cell r="AA191">
            <v>0</v>
          </cell>
          <cell r="AB191">
            <v>0</v>
          </cell>
          <cell r="AC191">
            <v>260</v>
          </cell>
          <cell r="AD191">
            <v>0.304567606504828</v>
          </cell>
          <cell r="AE191">
            <v>42</v>
          </cell>
          <cell r="AF191">
            <v>42</v>
          </cell>
          <cell r="AG191">
            <v>0</v>
          </cell>
          <cell r="AH191">
            <v>0</v>
          </cell>
          <cell r="AI191">
            <v>0</v>
          </cell>
          <cell r="AJ191">
            <v>0</v>
          </cell>
          <cell r="AK191">
            <v>0</v>
          </cell>
          <cell r="AL191" t="str">
            <v>-</v>
          </cell>
          <cell r="AM191" t="str">
            <v>-</v>
          </cell>
          <cell r="AN191" t="str">
            <v/>
          </cell>
          <cell r="AO191">
            <v>0</v>
          </cell>
          <cell r="AP191" t="str">
            <v>-</v>
          </cell>
          <cell r="AQ191">
            <v>0</v>
          </cell>
          <cell r="AR191" t="str">
            <v>-</v>
          </cell>
          <cell r="AS191">
            <v>0</v>
          </cell>
          <cell r="AT191" t="str">
            <v/>
          </cell>
          <cell r="AU191">
            <v>0</v>
          </cell>
          <cell r="AV191" t="str">
            <v>-</v>
          </cell>
          <cell r="AW191">
            <v>0</v>
          </cell>
          <cell r="AX191" t="str">
            <v>-</v>
          </cell>
          <cell r="AY191">
            <v>0</v>
          </cell>
          <cell r="AZ191" t="str">
            <v/>
          </cell>
          <cell r="BA191">
            <v>0</v>
          </cell>
          <cell r="BB191" t="str">
            <v>-</v>
          </cell>
          <cell r="BC191">
            <v>0</v>
          </cell>
          <cell r="BD191" t="str">
            <v>-</v>
          </cell>
          <cell r="BE191">
            <v>0</v>
          </cell>
          <cell r="BF191" t="str">
            <v/>
          </cell>
          <cell r="BG191">
            <v>0</v>
          </cell>
          <cell r="BH191" t="str">
            <v>-</v>
          </cell>
          <cell r="BI191">
            <v>0</v>
          </cell>
          <cell r="BJ191" t="str">
            <v>-</v>
          </cell>
          <cell r="BK191">
            <v>0</v>
          </cell>
          <cell r="BL191">
            <v>0</v>
          </cell>
          <cell r="BM191" t="str">
            <v>-</v>
          </cell>
          <cell r="BN191">
            <v>15</v>
          </cell>
          <cell r="BO191" t="str">
            <v/>
          </cell>
          <cell r="BP191">
            <v>0</v>
          </cell>
          <cell r="BQ191">
            <v>0</v>
          </cell>
          <cell r="BR191" t="str">
            <v>-</v>
          </cell>
          <cell r="BS191">
            <v>0</v>
          </cell>
          <cell r="BT191">
            <v>0</v>
          </cell>
          <cell r="BU191" t="str">
            <v>-</v>
          </cell>
        </row>
        <row r="192">
          <cell r="A192" t="str">
            <v>20325RET</v>
          </cell>
          <cell r="B192">
            <v>20325</v>
          </cell>
          <cell r="C192" t="str">
            <v>RET</v>
          </cell>
          <cell r="D192" t="str">
            <v>Cooling</v>
          </cell>
          <cell r="E192" t="str">
            <v>Guest Room EM</v>
          </cell>
          <cell r="F192" t="str">
            <v>C</v>
          </cell>
          <cell r="G192" t="str">
            <v>Y</v>
          </cell>
          <cell r="M192" t="str">
            <v>RET</v>
          </cell>
          <cell r="N192" t="str">
            <v>Guest rooms without energy management controls (PTAC w/ electric resistance heat)</v>
          </cell>
          <cell r="O192">
            <v>2021</v>
          </cell>
          <cell r="P192">
            <v>2030</v>
          </cell>
          <cell r="Q192" t="str">
            <v>Small Lodging</v>
          </cell>
          <cell r="R192" t="str">
            <v/>
          </cell>
          <cell r="S192">
            <v>0</v>
          </cell>
          <cell r="T192">
            <v>0</v>
          </cell>
          <cell r="U192">
            <v>0</v>
          </cell>
          <cell r="V192">
            <v>848.20090533448979</v>
          </cell>
          <cell r="W192">
            <v>0.16307562189054439</v>
          </cell>
          <cell r="X192" t="str">
            <v>-</v>
          </cell>
          <cell r="Y192" t="str">
            <v>7,19</v>
          </cell>
          <cell r="Z192" t="str">
            <v>7,19</v>
          </cell>
          <cell r="AA192">
            <v>0</v>
          </cell>
          <cell r="AB192">
            <v>0</v>
          </cell>
          <cell r="AC192">
            <v>260</v>
          </cell>
          <cell r="AD192">
            <v>0.30653115124590496</v>
          </cell>
          <cell r="AE192">
            <v>42</v>
          </cell>
          <cell r="AF192">
            <v>42</v>
          </cell>
          <cell r="AG192">
            <v>0</v>
          </cell>
          <cell r="AH192">
            <v>0</v>
          </cell>
          <cell r="AI192">
            <v>0</v>
          </cell>
          <cell r="AJ192">
            <v>0</v>
          </cell>
          <cell r="AK192">
            <v>0</v>
          </cell>
          <cell r="AL192" t="str">
            <v>-</v>
          </cell>
          <cell r="AM192" t="str">
            <v>-</v>
          </cell>
          <cell r="AN192" t="str">
            <v/>
          </cell>
          <cell r="AO192">
            <v>0</v>
          </cell>
          <cell r="AP192" t="str">
            <v>-</v>
          </cell>
          <cell r="AQ192">
            <v>0</v>
          </cell>
          <cell r="AR192" t="str">
            <v>-</v>
          </cell>
          <cell r="AS192">
            <v>0</v>
          </cell>
          <cell r="AT192" t="str">
            <v/>
          </cell>
          <cell r="AU192">
            <v>0</v>
          </cell>
          <cell r="AV192" t="str">
            <v>-</v>
          </cell>
          <cell r="AW192">
            <v>0</v>
          </cell>
          <cell r="AX192" t="str">
            <v>-</v>
          </cell>
          <cell r="AY192">
            <v>0</v>
          </cell>
          <cell r="AZ192" t="str">
            <v/>
          </cell>
          <cell r="BA192">
            <v>0</v>
          </cell>
          <cell r="BB192" t="str">
            <v>-</v>
          </cell>
          <cell r="BC192">
            <v>0</v>
          </cell>
          <cell r="BD192" t="str">
            <v>-</v>
          </cell>
          <cell r="BE192">
            <v>0</v>
          </cell>
          <cell r="BF192" t="str">
            <v/>
          </cell>
          <cell r="BG192">
            <v>0</v>
          </cell>
          <cell r="BH192" t="str">
            <v>-</v>
          </cell>
          <cell r="BI192">
            <v>0</v>
          </cell>
          <cell r="BJ192" t="str">
            <v>-</v>
          </cell>
          <cell r="BK192">
            <v>0</v>
          </cell>
          <cell r="BL192">
            <v>0</v>
          </cell>
          <cell r="BM192" t="str">
            <v>-</v>
          </cell>
          <cell r="BN192">
            <v>15</v>
          </cell>
          <cell r="BO192" t="str">
            <v/>
          </cell>
          <cell r="BP192">
            <v>0</v>
          </cell>
          <cell r="BQ192">
            <v>0</v>
          </cell>
          <cell r="BR192" t="str">
            <v>-</v>
          </cell>
          <cell r="BS192">
            <v>0</v>
          </cell>
          <cell r="BT192">
            <v>0</v>
          </cell>
          <cell r="BU192" t="str">
            <v>-</v>
          </cell>
        </row>
        <row r="193">
          <cell r="A193" t="str">
            <v>20326MD</v>
          </cell>
          <cell r="B193">
            <v>20326</v>
          </cell>
          <cell r="C193" t="str">
            <v>MD</v>
          </cell>
          <cell r="D193" t="str">
            <v>Cooling</v>
          </cell>
          <cell r="E193" t="str">
            <v>Programmable Tstat</v>
          </cell>
          <cell r="F193" t="str">
            <v>C</v>
          </cell>
          <cell r="G193" t="str">
            <v>Y</v>
          </cell>
          <cell r="M193" t="str">
            <v>NC,RENO</v>
          </cell>
          <cell r="N193" t="str">
            <v>Manual thermostat</v>
          </cell>
          <cell r="O193">
            <v>2021</v>
          </cell>
          <cell r="P193">
            <v>2030</v>
          </cell>
          <cell r="Q193" t="str">
            <v>Small Office</v>
          </cell>
          <cell r="R193" t="str">
            <v/>
          </cell>
          <cell r="S193">
            <v>0</v>
          </cell>
          <cell r="T193">
            <v>0</v>
          </cell>
          <cell r="U193">
            <v>0</v>
          </cell>
          <cell r="V193">
            <v>61.813766006090738</v>
          </cell>
          <cell r="W193">
            <v>0.09</v>
          </cell>
          <cell r="X193" t="str">
            <v>-</v>
          </cell>
          <cell r="Y193" t="str">
            <v>2,3,11,6,46</v>
          </cell>
          <cell r="Z193" t="str">
            <v>2,3,11,6,46</v>
          </cell>
          <cell r="AA193">
            <v>0</v>
          </cell>
          <cell r="AB193">
            <v>0</v>
          </cell>
          <cell r="AC193">
            <v>64</v>
          </cell>
          <cell r="AD193">
            <v>1.0353680763228994</v>
          </cell>
          <cell r="AE193" t="str">
            <v>4,12</v>
          </cell>
          <cell r="AF193" t="str">
            <v>4,12</v>
          </cell>
          <cell r="AG193">
            <v>0</v>
          </cell>
          <cell r="AH193">
            <v>0</v>
          </cell>
          <cell r="AI193">
            <v>0</v>
          </cell>
          <cell r="AJ193">
            <v>0</v>
          </cell>
          <cell r="AK193">
            <v>0</v>
          </cell>
          <cell r="AL193" t="str">
            <v>-</v>
          </cell>
          <cell r="AM193" t="str">
            <v>-</v>
          </cell>
          <cell r="AN193" t="str">
            <v/>
          </cell>
          <cell r="AO193">
            <v>0</v>
          </cell>
          <cell r="AP193" t="str">
            <v>-</v>
          </cell>
          <cell r="AQ193">
            <v>0</v>
          </cell>
          <cell r="AR193" t="str">
            <v>-</v>
          </cell>
          <cell r="AS193">
            <v>0</v>
          </cell>
          <cell r="AT193" t="str">
            <v/>
          </cell>
          <cell r="AU193">
            <v>0</v>
          </cell>
          <cell r="AV193" t="str">
            <v>-</v>
          </cell>
          <cell r="AW193">
            <v>0</v>
          </cell>
          <cell r="AX193" t="str">
            <v>-</v>
          </cell>
          <cell r="AY193">
            <v>0</v>
          </cell>
          <cell r="AZ193" t="str">
            <v/>
          </cell>
          <cell r="BA193">
            <v>0</v>
          </cell>
          <cell r="BB193" t="str">
            <v>-</v>
          </cell>
          <cell r="BC193">
            <v>0</v>
          </cell>
          <cell r="BD193" t="str">
            <v>-</v>
          </cell>
          <cell r="BE193">
            <v>0</v>
          </cell>
          <cell r="BF193" t="str">
            <v/>
          </cell>
          <cell r="BG193">
            <v>0</v>
          </cell>
          <cell r="BH193" t="str">
            <v>-</v>
          </cell>
          <cell r="BI193">
            <v>0</v>
          </cell>
          <cell r="BJ193" t="str">
            <v>-</v>
          </cell>
          <cell r="BK193">
            <v>0</v>
          </cell>
          <cell r="BL193">
            <v>0</v>
          </cell>
          <cell r="BM193" t="str">
            <v>-</v>
          </cell>
          <cell r="BN193">
            <v>11</v>
          </cell>
          <cell r="BO193" t="str">
            <v/>
          </cell>
          <cell r="BP193">
            <v>0</v>
          </cell>
          <cell r="BQ193">
            <v>0</v>
          </cell>
          <cell r="BR193" t="str">
            <v>-</v>
          </cell>
          <cell r="BS193">
            <v>0</v>
          </cell>
          <cell r="BT193">
            <v>0</v>
          </cell>
          <cell r="BU193" t="str">
            <v>-</v>
          </cell>
        </row>
        <row r="194">
          <cell r="A194" t="str">
            <v>20326RET</v>
          </cell>
          <cell r="B194">
            <v>20326</v>
          </cell>
          <cell r="C194" t="str">
            <v>RET</v>
          </cell>
          <cell r="D194" t="str">
            <v>Cooling</v>
          </cell>
          <cell r="E194" t="str">
            <v>Programmable Tstat - RET</v>
          </cell>
          <cell r="F194" t="str">
            <v>C</v>
          </cell>
          <cell r="G194" t="str">
            <v>Y</v>
          </cell>
          <cell r="M194" t="str">
            <v>REPL</v>
          </cell>
          <cell r="N194" t="str">
            <v>Manual thermostat</v>
          </cell>
          <cell r="O194">
            <v>2021</v>
          </cell>
          <cell r="P194">
            <v>2030</v>
          </cell>
          <cell r="Q194" t="str">
            <v>Small Office</v>
          </cell>
          <cell r="R194" t="str">
            <v/>
          </cell>
          <cell r="S194">
            <v>0</v>
          </cell>
          <cell r="T194">
            <v>0</v>
          </cell>
          <cell r="U194">
            <v>0</v>
          </cell>
          <cell r="V194">
            <v>61.813766006090738</v>
          </cell>
          <cell r="W194">
            <v>0.09</v>
          </cell>
          <cell r="X194" t="str">
            <v>-</v>
          </cell>
          <cell r="Y194" t="str">
            <v>2,3,11,6,46</v>
          </cell>
          <cell r="Z194" t="str">
            <v>2,3,11,6,46</v>
          </cell>
          <cell r="AA194">
            <v>0</v>
          </cell>
          <cell r="AB194">
            <v>0</v>
          </cell>
          <cell r="AC194">
            <v>64</v>
          </cell>
          <cell r="AD194">
            <v>1.0353680763228994</v>
          </cell>
          <cell r="AE194" t="str">
            <v>4,12</v>
          </cell>
          <cell r="AF194" t="str">
            <v>4,12</v>
          </cell>
          <cell r="AG194">
            <v>0</v>
          </cell>
          <cell r="AH194">
            <v>0</v>
          </cell>
          <cell r="AI194">
            <v>0</v>
          </cell>
          <cell r="AJ194">
            <v>0</v>
          </cell>
          <cell r="AK194">
            <v>0</v>
          </cell>
          <cell r="AL194" t="str">
            <v>-</v>
          </cell>
          <cell r="AM194" t="str">
            <v>-</v>
          </cell>
          <cell r="AN194" t="str">
            <v/>
          </cell>
          <cell r="AO194">
            <v>0</v>
          </cell>
          <cell r="AP194" t="str">
            <v>-</v>
          </cell>
          <cell r="AQ194">
            <v>0</v>
          </cell>
          <cell r="AR194" t="str">
            <v>-</v>
          </cell>
          <cell r="AS194">
            <v>0</v>
          </cell>
          <cell r="AT194" t="str">
            <v/>
          </cell>
          <cell r="AU194">
            <v>0</v>
          </cell>
          <cell r="AV194" t="str">
            <v>-</v>
          </cell>
          <cell r="AW194">
            <v>0</v>
          </cell>
          <cell r="AX194" t="str">
            <v>-</v>
          </cell>
          <cell r="AY194">
            <v>0</v>
          </cell>
          <cell r="AZ194" t="str">
            <v/>
          </cell>
          <cell r="BA194">
            <v>0</v>
          </cell>
          <cell r="BB194" t="str">
            <v>-</v>
          </cell>
          <cell r="BC194">
            <v>0</v>
          </cell>
          <cell r="BD194" t="str">
            <v>-</v>
          </cell>
          <cell r="BE194">
            <v>0</v>
          </cell>
          <cell r="BF194" t="str">
            <v/>
          </cell>
          <cell r="BG194">
            <v>0</v>
          </cell>
          <cell r="BH194" t="str">
            <v>-</v>
          </cell>
          <cell r="BI194">
            <v>0</v>
          </cell>
          <cell r="BJ194" t="str">
            <v>-</v>
          </cell>
          <cell r="BK194">
            <v>0</v>
          </cell>
          <cell r="BL194">
            <v>0</v>
          </cell>
          <cell r="BM194" t="str">
            <v>-</v>
          </cell>
          <cell r="BN194">
            <v>11</v>
          </cell>
          <cell r="BO194" t="str">
            <v/>
          </cell>
          <cell r="BP194">
            <v>0</v>
          </cell>
          <cell r="BQ194">
            <v>0</v>
          </cell>
          <cell r="BR194" t="str">
            <v>-</v>
          </cell>
          <cell r="BS194">
            <v>0</v>
          </cell>
          <cell r="BT194">
            <v>0</v>
          </cell>
          <cell r="BU194" t="str">
            <v>-</v>
          </cell>
        </row>
        <row r="195">
          <cell r="A195" t="str">
            <v>20327MD</v>
          </cell>
          <cell r="B195">
            <v>20327</v>
          </cell>
          <cell r="C195" t="str">
            <v>MD</v>
          </cell>
          <cell r="D195" t="str">
            <v>Cooling</v>
          </cell>
          <cell r="E195" t="str">
            <v>Programmable Tstat</v>
          </cell>
          <cell r="F195" t="str">
            <v>C</v>
          </cell>
          <cell r="G195" t="str">
            <v>Y</v>
          </cell>
          <cell r="M195" t="str">
            <v>NC,RENO</v>
          </cell>
          <cell r="N195" t="str">
            <v>Manual thermostat</v>
          </cell>
          <cell r="O195">
            <v>2021</v>
          </cell>
          <cell r="P195">
            <v>2030</v>
          </cell>
          <cell r="Q195" t="str">
            <v>Small Office</v>
          </cell>
          <cell r="R195" t="str">
            <v/>
          </cell>
          <cell r="S195">
            <v>0</v>
          </cell>
          <cell r="T195">
            <v>0</v>
          </cell>
          <cell r="U195">
            <v>0</v>
          </cell>
          <cell r="V195">
            <v>61.813766006090738</v>
          </cell>
          <cell r="W195">
            <v>0.09</v>
          </cell>
          <cell r="X195" t="str">
            <v>-</v>
          </cell>
          <cell r="Y195" t="str">
            <v>2,3,11,6,46</v>
          </cell>
          <cell r="Z195" t="str">
            <v>2,3,11,6,46</v>
          </cell>
          <cell r="AA195">
            <v>0</v>
          </cell>
          <cell r="AB195">
            <v>0</v>
          </cell>
          <cell r="AC195">
            <v>64</v>
          </cell>
          <cell r="AD195">
            <v>1.0353680763228994</v>
          </cell>
          <cell r="AE195" t="str">
            <v>4,12</v>
          </cell>
          <cell r="AF195" t="str">
            <v>4,12</v>
          </cell>
          <cell r="AG195">
            <v>0</v>
          </cell>
          <cell r="AH195">
            <v>0</v>
          </cell>
          <cell r="AI195">
            <v>0</v>
          </cell>
          <cell r="AJ195">
            <v>0</v>
          </cell>
          <cell r="AK195">
            <v>0</v>
          </cell>
          <cell r="AL195" t="str">
            <v>-</v>
          </cell>
          <cell r="AM195" t="str">
            <v>-</v>
          </cell>
          <cell r="AN195" t="str">
            <v/>
          </cell>
          <cell r="AO195">
            <v>0</v>
          </cell>
          <cell r="AP195" t="str">
            <v>-</v>
          </cell>
          <cell r="AQ195">
            <v>0</v>
          </cell>
          <cell r="AR195" t="str">
            <v>-</v>
          </cell>
          <cell r="AS195">
            <v>0</v>
          </cell>
          <cell r="AT195" t="str">
            <v/>
          </cell>
          <cell r="AU195">
            <v>0</v>
          </cell>
          <cell r="AV195" t="str">
            <v>-</v>
          </cell>
          <cell r="AW195">
            <v>0</v>
          </cell>
          <cell r="AX195" t="str">
            <v>-</v>
          </cell>
          <cell r="AY195">
            <v>0</v>
          </cell>
          <cell r="AZ195" t="str">
            <v/>
          </cell>
          <cell r="BA195">
            <v>0</v>
          </cell>
          <cell r="BB195" t="str">
            <v>-</v>
          </cell>
          <cell r="BC195">
            <v>0</v>
          </cell>
          <cell r="BD195" t="str">
            <v>-</v>
          </cell>
          <cell r="BE195">
            <v>0</v>
          </cell>
          <cell r="BF195" t="str">
            <v/>
          </cell>
          <cell r="BG195">
            <v>0</v>
          </cell>
          <cell r="BH195" t="str">
            <v>-</v>
          </cell>
          <cell r="BI195">
            <v>0</v>
          </cell>
          <cell r="BJ195" t="str">
            <v>-</v>
          </cell>
          <cell r="BK195">
            <v>0</v>
          </cell>
          <cell r="BL195">
            <v>0</v>
          </cell>
          <cell r="BM195" t="str">
            <v>-</v>
          </cell>
          <cell r="BN195">
            <v>11</v>
          </cell>
          <cell r="BO195" t="str">
            <v/>
          </cell>
          <cell r="BP195">
            <v>0</v>
          </cell>
          <cell r="BQ195">
            <v>0</v>
          </cell>
          <cell r="BR195" t="str">
            <v>-</v>
          </cell>
          <cell r="BS195">
            <v>0</v>
          </cell>
          <cell r="BT195">
            <v>0</v>
          </cell>
          <cell r="BU195" t="str">
            <v>-</v>
          </cell>
        </row>
        <row r="196">
          <cell r="A196" t="str">
            <v>20327RET</v>
          </cell>
          <cell r="B196">
            <v>20327</v>
          </cell>
          <cell r="C196" t="str">
            <v>RET</v>
          </cell>
          <cell r="D196" t="str">
            <v>Cooling</v>
          </cell>
          <cell r="E196" t="str">
            <v>Programmable Tstat - RET</v>
          </cell>
          <cell r="F196" t="str">
            <v>C</v>
          </cell>
          <cell r="G196" t="str">
            <v>Y</v>
          </cell>
          <cell r="M196" t="str">
            <v>RET</v>
          </cell>
          <cell r="N196" t="str">
            <v>Manual thermostat</v>
          </cell>
          <cell r="O196">
            <v>2021</v>
          </cell>
          <cell r="P196">
            <v>2030</v>
          </cell>
          <cell r="Q196" t="str">
            <v>Small Office</v>
          </cell>
          <cell r="R196" t="str">
            <v/>
          </cell>
          <cell r="S196">
            <v>0</v>
          </cell>
          <cell r="T196">
            <v>0</v>
          </cell>
          <cell r="U196">
            <v>0</v>
          </cell>
          <cell r="V196">
            <v>61.813766006090738</v>
          </cell>
          <cell r="W196">
            <v>0.09</v>
          </cell>
          <cell r="X196" t="str">
            <v>-</v>
          </cell>
          <cell r="Y196" t="str">
            <v>7,11</v>
          </cell>
          <cell r="Z196" t="str">
            <v>7,11</v>
          </cell>
          <cell r="AA196">
            <v>0</v>
          </cell>
          <cell r="AB196">
            <v>0</v>
          </cell>
          <cell r="AC196">
            <v>64</v>
          </cell>
          <cell r="AD196">
            <v>1.0353680763228994</v>
          </cell>
          <cell r="AE196">
            <v>12</v>
          </cell>
          <cell r="AF196">
            <v>12</v>
          </cell>
          <cell r="AG196">
            <v>0</v>
          </cell>
          <cell r="AH196">
            <v>0</v>
          </cell>
          <cell r="AI196">
            <v>0</v>
          </cell>
          <cell r="AJ196">
            <v>0</v>
          </cell>
          <cell r="AK196">
            <v>0</v>
          </cell>
          <cell r="AL196" t="str">
            <v>-</v>
          </cell>
          <cell r="AM196" t="str">
            <v>-</v>
          </cell>
          <cell r="AN196" t="str">
            <v/>
          </cell>
          <cell r="AO196">
            <v>0</v>
          </cell>
          <cell r="AP196" t="str">
            <v>-</v>
          </cell>
          <cell r="AQ196">
            <v>0</v>
          </cell>
          <cell r="AR196" t="str">
            <v>-</v>
          </cell>
          <cell r="AS196">
            <v>0</v>
          </cell>
          <cell r="AT196" t="str">
            <v/>
          </cell>
          <cell r="AU196">
            <v>0</v>
          </cell>
          <cell r="AV196" t="str">
            <v>-</v>
          </cell>
          <cell r="AW196">
            <v>0</v>
          </cell>
          <cell r="AX196" t="str">
            <v>-</v>
          </cell>
          <cell r="AY196">
            <v>0</v>
          </cell>
          <cell r="AZ196" t="str">
            <v/>
          </cell>
          <cell r="BA196">
            <v>0</v>
          </cell>
          <cell r="BB196" t="str">
            <v>-</v>
          </cell>
          <cell r="BC196">
            <v>0</v>
          </cell>
          <cell r="BD196" t="str">
            <v>-</v>
          </cell>
          <cell r="BE196">
            <v>0</v>
          </cell>
          <cell r="BF196" t="str">
            <v/>
          </cell>
          <cell r="BG196">
            <v>0</v>
          </cell>
          <cell r="BH196" t="str">
            <v>-</v>
          </cell>
          <cell r="BI196">
            <v>0</v>
          </cell>
          <cell r="BJ196" t="str">
            <v>-</v>
          </cell>
          <cell r="BK196">
            <v>0</v>
          </cell>
          <cell r="BL196">
            <v>0</v>
          </cell>
          <cell r="BM196" t="str">
            <v>-</v>
          </cell>
          <cell r="BN196">
            <v>11</v>
          </cell>
          <cell r="BO196" t="str">
            <v/>
          </cell>
          <cell r="BP196">
            <v>0</v>
          </cell>
          <cell r="BQ196">
            <v>0</v>
          </cell>
          <cell r="BR196" t="str">
            <v>-</v>
          </cell>
          <cell r="BS196">
            <v>0</v>
          </cell>
          <cell r="BT196">
            <v>0</v>
          </cell>
          <cell r="BU196" t="str">
            <v>-</v>
          </cell>
        </row>
        <row r="197">
          <cell r="A197" t="str">
            <v>20328MD</v>
          </cell>
          <cell r="B197">
            <v>20328</v>
          </cell>
          <cell r="C197" t="str">
            <v>MD</v>
          </cell>
          <cell r="D197" t="str">
            <v>Cooling</v>
          </cell>
          <cell r="E197" t="str">
            <v>Smart Tstat MD</v>
          </cell>
          <cell r="F197" t="str">
            <v>C</v>
          </cell>
          <cell r="G197" t="str">
            <v>Y</v>
          </cell>
          <cell r="M197" t="str">
            <v>NC,RENO</v>
          </cell>
          <cell r="N197" t="str">
            <v>Non-wifi programmable thermostat</v>
          </cell>
          <cell r="O197">
            <v>2021</v>
          </cell>
          <cell r="P197">
            <v>2030</v>
          </cell>
          <cell r="Q197" t="str">
            <v>Small Office</v>
          </cell>
          <cell r="R197" t="str">
            <v/>
          </cell>
          <cell r="S197">
            <v>0</v>
          </cell>
          <cell r="T197">
            <v>0</v>
          </cell>
          <cell r="U197">
            <v>0</v>
          </cell>
          <cell r="V197">
            <v>104</v>
          </cell>
          <cell r="W197">
            <v>0.15142258116222404</v>
          </cell>
          <cell r="X197" t="str">
            <v>-</v>
          </cell>
          <cell r="Y197" t="str">
            <v>2,3,11,6,46</v>
          </cell>
          <cell r="Z197" t="str">
            <v>2,3,11,6,46</v>
          </cell>
          <cell r="AA197">
            <v>0</v>
          </cell>
          <cell r="AB197">
            <v>0</v>
          </cell>
          <cell r="AC197">
            <v>64</v>
          </cell>
          <cell r="AD197">
            <v>0.61538461538461542</v>
          </cell>
          <cell r="AE197" t="str">
            <v>4,12</v>
          </cell>
          <cell r="AF197" t="str">
            <v>4,12</v>
          </cell>
          <cell r="AG197">
            <v>0</v>
          </cell>
          <cell r="AH197">
            <v>0</v>
          </cell>
          <cell r="AI197">
            <v>0</v>
          </cell>
          <cell r="AJ197">
            <v>0</v>
          </cell>
          <cell r="AK197">
            <v>0</v>
          </cell>
          <cell r="AL197" t="str">
            <v>-</v>
          </cell>
          <cell r="AM197" t="str">
            <v>-</v>
          </cell>
          <cell r="AN197" t="str">
            <v/>
          </cell>
          <cell r="AO197">
            <v>0</v>
          </cell>
          <cell r="AP197" t="str">
            <v>-</v>
          </cell>
          <cell r="AQ197">
            <v>0</v>
          </cell>
          <cell r="AR197" t="str">
            <v>-</v>
          </cell>
          <cell r="AS197">
            <v>0</v>
          </cell>
          <cell r="AT197" t="str">
            <v/>
          </cell>
          <cell r="AU197">
            <v>0</v>
          </cell>
          <cell r="AV197" t="str">
            <v>-</v>
          </cell>
          <cell r="AW197">
            <v>0</v>
          </cell>
          <cell r="AX197" t="str">
            <v>-</v>
          </cell>
          <cell r="AY197">
            <v>0</v>
          </cell>
          <cell r="AZ197" t="str">
            <v/>
          </cell>
          <cell r="BA197">
            <v>0</v>
          </cell>
          <cell r="BB197" t="str">
            <v>-</v>
          </cell>
          <cell r="BC197">
            <v>0</v>
          </cell>
          <cell r="BD197" t="str">
            <v>-</v>
          </cell>
          <cell r="BE197">
            <v>0</v>
          </cell>
          <cell r="BF197" t="str">
            <v/>
          </cell>
          <cell r="BG197">
            <v>0</v>
          </cell>
          <cell r="BH197" t="str">
            <v>-</v>
          </cell>
          <cell r="BI197">
            <v>0</v>
          </cell>
          <cell r="BJ197" t="str">
            <v>-</v>
          </cell>
          <cell r="BK197">
            <v>0</v>
          </cell>
          <cell r="BL197">
            <v>0</v>
          </cell>
          <cell r="BM197" t="str">
            <v>-</v>
          </cell>
          <cell r="BN197">
            <v>11</v>
          </cell>
          <cell r="BO197" t="str">
            <v/>
          </cell>
          <cell r="BP197">
            <v>0</v>
          </cell>
          <cell r="BQ197">
            <v>0</v>
          </cell>
          <cell r="BR197" t="str">
            <v>-</v>
          </cell>
          <cell r="BS197">
            <v>0</v>
          </cell>
          <cell r="BT197">
            <v>0</v>
          </cell>
          <cell r="BU197" t="str">
            <v>-</v>
          </cell>
        </row>
        <row r="198">
          <cell r="A198" t="str">
            <v>20328RET</v>
          </cell>
          <cell r="B198">
            <v>20328</v>
          </cell>
          <cell r="C198" t="str">
            <v>RET</v>
          </cell>
          <cell r="D198" t="str">
            <v>Cooling</v>
          </cell>
          <cell r="E198" t="str">
            <v>Smart Tstat  RET</v>
          </cell>
          <cell r="F198" t="str">
            <v>C</v>
          </cell>
          <cell r="G198" t="str">
            <v>Y</v>
          </cell>
          <cell r="M198" t="str">
            <v>RET</v>
          </cell>
          <cell r="N198" t="str">
            <v>Non-wifi programmable thermostat</v>
          </cell>
          <cell r="O198">
            <v>2021</v>
          </cell>
          <cell r="P198">
            <v>2030</v>
          </cell>
          <cell r="Q198" t="str">
            <v>Small Office</v>
          </cell>
          <cell r="R198" t="str">
            <v/>
          </cell>
          <cell r="S198">
            <v>0</v>
          </cell>
          <cell r="T198">
            <v>0</v>
          </cell>
          <cell r="U198">
            <v>0</v>
          </cell>
          <cell r="V198">
            <v>104</v>
          </cell>
          <cell r="W198">
            <v>0.15142258116222404</v>
          </cell>
          <cell r="X198" t="str">
            <v>-</v>
          </cell>
          <cell r="Y198" t="str">
            <v>2,3,11,6,46</v>
          </cell>
          <cell r="Z198" t="str">
            <v>2,3,11,6,46</v>
          </cell>
          <cell r="AA198">
            <v>0</v>
          </cell>
          <cell r="AB198">
            <v>0</v>
          </cell>
          <cell r="AC198">
            <v>64</v>
          </cell>
          <cell r="AD198">
            <v>0.61538461538461542</v>
          </cell>
          <cell r="AE198" t="str">
            <v>4,12</v>
          </cell>
          <cell r="AF198" t="str">
            <v>4,12</v>
          </cell>
          <cell r="AG198">
            <v>0</v>
          </cell>
          <cell r="AH198">
            <v>0</v>
          </cell>
          <cell r="AI198">
            <v>0</v>
          </cell>
          <cell r="AJ198">
            <v>0</v>
          </cell>
          <cell r="AK198">
            <v>0</v>
          </cell>
          <cell r="AL198" t="str">
            <v>-</v>
          </cell>
          <cell r="AM198" t="str">
            <v>-</v>
          </cell>
          <cell r="AN198" t="str">
            <v/>
          </cell>
          <cell r="AO198">
            <v>0</v>
          </cell>
          <cell r="AP198" t="str">
            <v>-</v>
          </cell>
          <cell r="AQ198">
            <v>0</v>
          </cell>
          <cell r="AR198" t="str">
            <v>-</v>
          </cell>
          <cell r="AS198">
            <v>0</v>
          </cell>
          <cell r="AT198" t="str">
            <v/>
          </cell>
          <cell r="AU198">
            <v>0</v>
          </cell>
          <cell r="AV198" t="str">
            <v>-</v>
          </cell>
          <cell r="AW198">
            <v>0</v>
          </cell>
          <cell r="AX198" t="str">
            <v>-</v>
          </cell>
          <cell r="AY198">
            <v>0</v>
          </cell>
          <cell r="AZ198" t="str">
            <v/>
          </cell>
          <cell r="BA198">
            <v>0</v>
          </cell>
          <cell r="BB198" t="str">
            <v>-</v>
          </cell>
          <cell r="BC198">
            <v>0</v>
          </cell>
          <cell r="BD198" t="str">
            <v>-</v>
          </cell>
          <cell r="BE198">
            <v>0</v>
          </cell>
          <cell r="BF198" t="str">
            <v/>
          </cell>
          <cell r="BG198">
            <v>0</v>
          </cell>
          <cell r="BH198" t="str">
            <v>-</v>
          </cell>
          <cell r="BI198">
            <v>0</v>
          </cell>
          <cell r="BJ198" t="str">
            <v>-</v>
          </cell>
          <cell r="BK198">
            <v>0</v>
          </cell>
          <cell r="BL198">
            <v>0</v>
          </cell>
          <cell r="BM198" t="str">
            <v>-</v>
          </cell>
          <cell r="BN198">
            <v>11</v>
          </cell>
          <cell r="BO198" t="str">
            <v/>
          </cell>
          <cell r="BP198">
            <v>0</v>
          </cell>
          <cell r="BQ198">
            <v>0</v>
          </cell>
          <cell r="BR198" t="str">
            <v>-</v>
          </cell>
          <cell r="BS198">
            <v>0</v>
          </cell>
          <cell r="BT198">
            <v>0</v>
          </cell>
          <cell r="BU198" t="str">
            <v>-</v>
          </cell>
        </row>
        <row r="199">
          <cell r="A199" t="str">
            <v>20329MD</v>
          </cell>
          <cell r="B199">
            <v>20329</v>
          </cell>
          <cell r="C199" t="str">
            <v>MD</v>
          </cell>
          <cell r="D199" t="str">
            <v>Cooling</v>
          </cell>
          <cell r="E199" t="str">
            <v>Smart Tstat MD</v>
          </cell>
          <cell r="F199" t="str">
            <v>C</v>
          </cell>
          <cell r="G199" t="str">
            <v>Y</v>
          </cell>
          <cell r="M199" t="str">
            <v>NC,RENO</v>
          </cell>
          <cell r="N199" t="str">
            <v>Non-wifi programmable thermostat</v>
          </cell>
          <cell r="O199">
            <v>2021</v>
          </cell>
          <cell r="P199">
            <v>2030</v>
          </cell>
          <cell r="Q199" t="str">
            <v>Small Office</v>
          </cell>
          <cell r="R199" t="str">
            <v/>
          </cell>
          <cell r="S199">
            <v>0</v>
          </cell>
          <cell r="T199">
            <v>0</v>
          </cell>
          <cell r="U199">
            <v>0</v>
          </cell>
          <cell r="V199">
            <v>104</v>
          </cell>
          <cell r="W199">
            <v>0.15142258116222404</v>
          </cell>
          <cell r="X199" t="str">
            <v>-</v>
          </cell>
          <cell r="Y199" t="str">
            <v>2,3,11,6,46</v>
          </cell>
          <cell r="Z199" t="str">
            <v>2,3,11,6,46</v>
          </cell>
          <cell r="AA199">
            <v>0</v>
          </cell>
          <cell r="AB199">
            <v>0</v>
          </cell>
          <cell r="AC199">
            <v>64</v>
          </cell>
          <cell r="AD199">
            <v>0.61538461538461542</v>
          </cell>
          <cell r="AE199" t="str">
            <v>4,12</v>
          </cell>
          <cell r="AF199" t="str">
            <v>4,12</v>
          </cell>
          <cell r="AG199">
            <v>0</v>
          </cell>
          <cell r="AH199">
            <v>0</v>
          </cell>
          <cell r="AI199">
            <v>0</v>
          </cell>
          <cell r="AJ199">
            <v>0</v>
          </cell>
          <cell r="AK199">
            <v>0</v>
          </cell>
          <cell r="AL199" t="str">
            <v>-</v>
          </cell>
          <cell r="AM199" t="str">
            <v>-</v>
          </cell>
          <cell r="AN199" t="str">
            <v/>
          </cell>
          <cell r="AO199">
            <v>0</v>
          </cell>
          <cell r="AP199" t="str">
            <v>-</v>
          </cell>
          <cell r="AQ199">
            <v>0</v>
          </cell>
          <cell r="AR199" t="str">
            <v>-</v>
          </cell>
          <cell r="AS199">
            <v>0</v>
          </cell>
          <cell r="AT199" t="str">
            <v/>
          </cell>
          <cell r="AU199">
            <v>0</v>
          </cell>
          <cell r="AV199" t="str">
            <v>-</v>
          </cell>
          <cell r="AW199">
            <v>0</v>
          </cell>
          <cell r="AX199" t="str">
            <v>-</v>
          </cell>
          <cell r="AY199">
            <v>0</v>
          </cell>
          <cell r="AZ199" t="str">
            <v/>
          </cell>
          <cell r="BA199">
            <v>0</v>
          </cell>
          <cell r="BB199" t="str">
            <v>-</v>
          </cell>
          <cell r="BC199">
            <v>0</v>
          </cell>
          <cell r="BD199" t="str">
            <v>-</v>
          </cell>
          <cell r="BE199">
            <v>0</v>
          </cell>
          <cell r="BF199" t="str">
            <v/>
          </cell>
          <cell r="BG199">
            <v>0</v>
          </cell>
          <cell r="BH199" t="str">
            <v>-</v>
          </cell>
          <cell r="BI199">
            <v>0</v>
          </cell>
          <cell r="BJ199" t="str">
            <v>-</v>
          </cell>
          <cell r="BK199">
            <v>0</v>
          </cell>
          <cell r="BL199">
            <v>0</v>
          </cell>
          <cell r="BM199" t="str">
            <v>-</v>
          </cell>
          <cell r="BN199">
            <v>11</v>
          </cell>
          <cell r="BO199" t="str">
            <v/>
          </cell>
          <cell r="BP199">
            <v>0</v>
          </cell>
          <cell r="BQ199">
            <v>0</v>
          </cell>
          <cell r="BR199" t="str">
            <v>-</v>
          </cell>
          <cell r="BS199">
            <v>0</v>
          </cell>
          <cell r="BT199">
            <v>0</v>
          </cell>
          <cell r="BU199" t="str">
            <v>-</v>
          </cell>
        </row>
        <row r="200">
          <cell r="A200" t="str">
            <v>20329RET</v>
          </cell>
          <cell r="B200">
            <v>20329</v>
          </cell>
          <cell r="C200" t="str">
            <v>RET</v>
          </cell>
          <cell r="D200" t="str">
            <v>Cooling</v>
          </cell>
          <cell r="E200" t="str">
            <v>Smart Tstat  RET</v>
          </cell>
          <cell r="F200" t="str">
            <v>C</v>
          </cell>
          <cell r="G200" t="str">
            <v>Y</v>
          </cell>
          <cell r="M200" t="str">
            <v>RET</v>
          </cell>
          <cell r="N200" t="str">
            <v>Non-wifi programmable thermostat</v>
          </cell>
          <cell r="O200">
            <v>2021</v>
          </cell>
          <cell r="P200">
            <v>2030</v>
          </cell>
          <cell r="Q200" t="str">
            <v>Small Office</v>
          </cell>
          <cell r="R200" t="str">
            <v/>
          </cell>
          <cell r="S200">
            <v>0</v>
          </cell>
          <cell r="T200">
            <v>0</v>
          </cell>
          <cell r="U200">
            <v>0</v>
          </cell>
          <cell r="V200">
            <v>104</v>
          </cell>
          <cell r="W200">
            <v>0.15142258116222404</v>
          </cell>
          <cell r="X200" t="str">
            <v>-</v>
          </cell>
          <cell r="Y200" t="str">
            <v>2,3,11,6,46</v>
          </cell>
          <cell r="Z200" t="str">
            <v>2,3,11,6,46</v>
          </cell>
          <cell r="AA200">
            <v>0</v>
          </cell>
          <cell r="AB200">
            <v>0</v>
          </cell>
          <cell r="AC200">
            <v>64</v>
          </cell>
          <cell r="AD200">
            <v>0.61538461538461542</v>
          </cell>
          <cell r="AE200" t="str">
            <v>4,12</v>
          </cell>
          <cell r="AF200" t="str">
            <v>4,12</v>
          </cell>
          <cell r="AG200">
            <v>0</v>
          </cell>
          <cell r="AH200">
            <v>0</v>
          </cell>
          <cell r="AI200">
            <v>0</v>
          </cell>
          <cell r="AJ200">
            <v>0</v>
          </cell>
          <cell r="AK200">
            <v>0</v>
          </cell>
          <cell r="AL200" t="str">
            <v>-</v>
          </cell>
          <cell r="AM200" t="str">
            <v>-</v>
          </cell>
          <cell r="AN200" t="str">
            <v/>
          </cell>
          <cell r="AO200">
            <v>0</v>
          </cell>
          <cell r="AP200" t="str">
            <v>-</v>
          </cell>
          <cell r="AQ200">
            <v>0</v>
          </cell>
          <cell r="AR200" t="str">
            <v>-</v>
          </cell>
          <cell r="AS200">
            <v>0</v>
          </cell>
          <cell r="AT200" t="str">
            <v/>
          </cell>
          <cell r="AU200">
            <v>0</v>
          </cell>
          <cell r="AV200" t="str">
            <v>-</v>
          </cell>
          <cell r="AW200">
            <v>0</v>
          </cell>
          <cell r="AX200" t="str">
            <v>-</v>
          </cell>
          <cell r="AY200">
            <v>0</v>
          </cell>
          <cell r="AZ200" t="str">
            <v/>
          </cell>
          <cell r="BA200">
            <v>0</v>
          </cell>
          <cell r="BB200" t="str">
            <v>-</v>
          </cell>
          <cell r="BC200">
            <v>0</v>
          </cell>
          <cell r="BD200" t="str">
            <v>-</v>
          </cell>
          <cell r="BE200">
            <v>0</v>
          </cell>
          <cell r="BF200" t="str">
            <v/>
          </cell>
          <cell r="BG200">
            <v>0</v>
          </cell>
          <cell r="BH200" t="str">
            <v>-</v>
          </cell>
          <cell r="BI200">
            <v>0</v>
          </cell>
          <cell r="BJ200" t="str">
            <v>-</v>
          </cell>
          <cell r="BK200">
            <v>0</v>
          </cell>
          <cell r="BL200">
            <v>0</v>
          </cell>
          <cell r="BM200" t="str">
            <v>-</v>
          </cell>
          <cell r="BN200">
            <v>11</v>
          </cell>
          <cell r="BO200" t="str">
            <v/>
          </cell>
          <cell r="BP200">
            <v>0</v>
          </cell>
          <cell r="BQ200">
            <v>0</v>
          </cell>
          <cell r="BR200" t="str">
            <v>-</v>
          </cell>
          <cell r="BS200">
            <v>0</v>
          </cell>
          <cell r="BT200">
            <v>0</v>
          </cell>
          <cell r="BU200" t="str">
            <v>-</v>
          </cell>
        </row>
        <row r="201">
          <cell r="A201" t="str">
            <v>20330RET</v>
          </cell>
          <cell r="B201">
            <v>20330</v>
          </cell>
          <cell r="C201" t="str">
            <v>RET</v>
          </cell>
          <cell r="D201" t="str">
            <v>Cooling</v>
          </cell>
          <cell r="E201" t="str">
            <v>Duct Sealing Regulated</v>
          </cell>
          <cell r="F201" t="str">
            <v>C</v>
          </cell>
          <cell r="G201" t="str">
            <v>Y</v>
          </cell>
          <cell r="M201" t="str">
            <v>RET</v>
          </cell>
          <cell r="N201" t="str">
            <v>Over a very broad set of buildings, we measured average duct leakage at 8%</v>
          </cell>
          <cell r="O201">
            <v>2021</v>
          </cell>
          <cell r="P201">
            <v>2030</v>
          </cell>
          <cell r="Q201" t="str">
            <v>Small Office</v>
          </cell>
          <cell r="R201" t="str">
            <v/>
          </cell>
          <cell r="S201">
            <v>0</v>
          </cell>
          <cell r="T201">
            <v>0</v>
          </cell>
          <cell r="U201">
            <v>0</v>
          </cell>
          <cell r="V201">
            <v>0</v>
          </cell>
          <cell r="W201">
            <v>0.13</v>
          </cell>
          <cell r="X201" t="str">
            <v>-</v>
          </cell>
          <cell r="Y201">
            <v>24</v>
          </cell>
          <cell r="Z201">
            <v>24</v>
          </cell>
          <cell r="AA201">
            <v>0</v>
          </cell>
          <cell r="AB201">
            <v>0</v>
          </cell>
          <cell r="AC201">
            <v>0</v>
          </cell>
          <cell r="AD201">
            <v>0</v>
          </cell>
          <cell r="AE201">
            <v>24</v>
          </cell>
          <cell r="AF201">
            <v>24</v>
          </cell>
          <cell r="AG201">
            <v>0</v>
          </cell>
          <cell r="AH201">
            <v>0</v>
          </cell>
          <cell r="AI201">
            <v>0</v>
          </cell>
          <cell r="AJ201">
            <v>0</v>
          </cell>
          <cell r="AK201">
            <v>0</v>
          </cell>
          <cell r="AL201" t="str">
            <v>-</v>
          </cell>
          <cell r="AM201" t="str">
            <v>-</v>
          </cell>
          <cell r="AN201" t="str">
            <v/>
          </cell>
          <cell r="AO201">
            <v>0</v>
          </cell>
          <cell r="AP201" t="str">
            <v>-</v>
          </cell>
          <cell r="AQ201">
            <v>0</v>
          </cell>
          <cell r="AR201" t="str">
            <v>-</v>
          </cell>
          <cell r="AS201">
            <v>0</v>
          </cell>
          <cell r="AT201" t="str">
            <v/>
          </cell>
          <cell r="AU201">
            <v>0</v>
          </cell>
          <cell r="AV201" t="str">
            <v>-</v>
          </cell>
          <cell r="AW201">
            <v>0</v>
          </cell>
          <cell r="AX201" t="str">
            <v>-</v>
          </cell>
          <cell r="AY201">
            <v>0</v>
          </cell>
          <cell r="AZ201" t="str">
            <v/>
          </cell>
          <cell r="BA201">
            <v>0</v>
          </cell>
          <cell r="BB201" t="str">
            <v>-</v>
          </cell>
          <cell r="BC201">
            <v>0</v>
          </cell>
          <cell r="BD201" t="str">
            <v>-</v>
          </cell>
          <cell r="BE201">
            <v>0</v>
          </cell>
          <cell r="BF201" t="str">
            <v/>
          </cell>
          <cell r="BG201">
            <v>0</v>
          </cell>
          <cell r="BH201" t="str">
            <v>-</v>
          </cell>
          <cell r="BI201">
            <v>0</v>
          </cell>
          <cell r="BJ201" t="str">
            <v>-</v>
          </cell>
          <cell r="BK201">
            <v>0</v>
          </cell>
          <cell r="BL201">
            <v>0</v>
          </cell>
          <cell r="BM201" t="str">
            <v>-</v>
          </cell>
          <cell r="BN201">
            <v>15</v>
          </cell>
          <cell r="BO201" t="str">
            <v/>
          </cell>
          <cell r="BP201">
            <v>0</v>
          </cell>
          <cell r="BQ201">
            <v>0</v>
          </cell>
          <cell r="BR201" t="str">
            <v>-</v>
          </cell>
          <cell r="BS201">
            <v>0</v>
          </cell>
          <cell r="BT201">
            <v>0</v>
          </cell>
          <cell r="BU201" t="str">
            <v>-</v>
          </cell>
        </row>
        <row r="202">
          <cell r="A202" t="str">
            <v>20331RET</v>
          </cell>
          <cell r="B202">
            <v>20331</v>
          </cell>
          <cell r="C202" t="str">
            <v>RET</v>
          </cell>
          <cell r="D202" t="str">
            <v>Cooling</v>
          </cell>
          <cell r="E202" t="str">
            <v>Duct Sealing Regulated</v>
          </cell>
          <cell r="F202" t="str">
            <v>C</v>
          </cell>
          <cell r="G202" t="str">
            <v>Y</v>
          </cell>
          <cell r="M202" t="str">
            <v>RET</v>
          </cell>
          <cell r="N202" t="str">
            <v>A subset of buildings have high leakage, nominally 29%. Screening procedures can identify these buildings with good success</v>
          </cell>
          <cell r="O202">
            <v>2021</v>
          </cell>
          <cell r="P202">
            <v>2030</v>
          </cell>
          <cell r="Q202" t="str">
            <v>Small Office</v>
          </cell>
          <cell r="R202" t="str">
            <v/>
          </cell>
          <cell r="S202">
            <v>0</v>
          </cell>
          <cell r="T202">
            <v>0</v>
          </cell>
          <cell r="U202">
            <v>0</v>
          </cell>
          <cell r="V202">
            <v>0</v>
          </cell>
          <cell r="W202">
            <v>0.13</v>
          </cell>
          <cell r="X202" t="str">
            <v>-</v>
          </cell>
          <cell r="Y202">
            <v>24</v>
          </cell>
          <cell r="Z202">
            <v>24</v>
          </cell>
          <cell r="AA202">
            <v>0</v>
          </cell>
          <cell r="AB202">
            <v>0</v>
          </cell>
          <cell r="AC202">
            <v>0</v>
          </cell>
          <cell r="AD202">
            <v>0</v>
          </cell>
          <cell r="AE202">
            <v>24</v>
          </cell>
          <cell r="AF202">
            <v>24</v>
          </cell>
          <cell r="AG202">
            <v>0</v>
          </cell>
          <cell r="AH202">
            <v>0</v>
          </cell>
          <cell r="AI202">
            <v>0</v>
          </cell>
          <cell r="AJ202">
            <v>0</v>
          </cell>
          <cell r="AK202">
            <v>0</v>
          </cell>
          <cell r="AL202" t="str">
            <v>-</v>
          </cell>
          <cell r="AM202" t="str">
            <v>-</v>
          </cell>
          <cell r="AN202" t="str">
            <v/>
          </cell>
          <cell r="AO202">
            <v>0</v>
          </cell>
          <cell r="AP202" t="str">
            <v>-</v>
          </cell>
          <cell r="AQ202">
            <v>0</v>
          </cell>
          <cell r="AR202" t="str">
            <v>-</v>
          </cell>
          <cell r="AS202">
            <v>0</v>
          </cell>
          <cell r="AT202" t="str">
            <v/>
          </cell>
          <cell r="AU202">
            <v>0</v>
          </cell>
          <cell r="AV202" t="str">
            <v>-</v>
          </cell>
          <cell r="AW202">
            <v>0</v>
          </cell>
          <cell r="AX202" t="str">
            <v>-</v>
          </cell>
          <cell r="AY202">
            <v>0</v>
          </cell>
          <cell r="AZ202" t="str">
            <v/>
          </cell>
          <cell r="BA202">
            <v>0</v>
          </cell>
          <cell r="BB202" t="str">
            <v>-</v>
          </cell>
          <cell r="BC202">
            <v>0</v>
          </cell>
          <cell r="BD202" t="str">
            <v>-</v>
          </cell>
          <cell r="BE202">
            <v>0</v>
          </cell>
          <cell r="BF202" t="str">
            <v/>
          </cell>
          <cell r="BG202">
            <v>0</v>
          </cell>
          <cell r="BH202" t="str">
            <v>-</v>
          </cell>
          <cell r="BI202">
            <v>0</v>
          </cell>
          <cell r="BJ202" t="str">
            <v>-</v>
          </cell>
          <cell r="BK202">
            <v>0</v>
          </cell>
          <cell r="BL202">
            <v>0</v>
          </cell>
          <cell r="BM202" t="str">
            <v>-</v>
          </cell>
          <cell r="BN202">
            <v>15</v>
          </cell>
          <cell r="BO202" t="str">
            <v/>
          </cell>
          <cell r="BP202">
            <v>0</v>
          </cell>
          <cell r="BQ202">
            <v>0</v>
          </cell>
          <cell r="BR202" t="str">
            <v>-</v>
          </cell>
          <cell r="BS202">
            <v>0</v>
          </cell>
          <cell r="BT202">
            <v>0</v>
          </cell>
          <cell r="BU202" t="str">
            <v>-</v>
          </cell>
        </row>
        <row r="203">
          <cell r="A203" t="str">
            <v>20332RET</v>
          </cell>
          <cell r="B203">
            <v>20332</v>
          </cell>
          <cell r="C203" t="str">
            <v>RET</v>
          </cell>
          <cell r="D203" t="str">
            <v>Cooling</v>
          </cell>
          <cell r="E203" t="str">
            <v>Commercial Air Sealing</v>
          </cell>
          <cell r="F203" t="str">
            <v>C</v>
          </cell>
          <cell r="G203" t="str">
            <v>Y</v>
          </cell>
          <cell r="M203" t="str">
            <v>RET</v>
          </cell>
          <cell r="N203" t="str">
            <v>Existing building envelop without additional air sealing</v>
          </cell>
          <cell r="O203">
            <v>2021</v>
          </cell>
          <cell r="P203">
            <v>2030</v>
          </cell>
          <cell r="Q203" t="str">
            <v>Small Office</v>
          </cell>
          <cell r="R203" t="str">
            <v>CFM Reduction</v>
          </cell>
          <cell r="S203">
            <v>0</v>
          </cell>
          <cell r="T203">
            <v>0</v>
          </cell>
          <cell r="U203">
            <v>0</v>
          </cell>
          <cell r="V203">
            <v>0.80212459098443811</v>
          </cell>
          <cell r="W203">
            <v>0.14876190476190476</v>
          </cell>
          <cell r="X203" t="str">
            <v>-</v>
          </cell>
          <cell r="Y203" t="str">
            <v>8,2,12</v>
          </cell>
          <cell r="Z203" t="str">
            <v>8,2,12</v>
          </cell>
          <cell r="AA203">
            <v>0</v>
          </cell>
          <cell r="AB203">
            <v>0</v>
          </cell>
          <cell r="AC203">
            <v>1.1499999999999999</v>
          </cell>
          <cell r="AD203">
            <v>0</v>
          </cell>
          <cell r="AE203" t="str">
            <v>41,12</v>
          </cell>
          <cell r="AF203" t="str">
            <v>41,12</v>
          </cell>
          <cell r="AG203">
            <v>0</v>
          </cell>
          <cell r="AH203">
            <v>0</v>
          </cell>
          <cell r="AI203">
            <v>0</v>
          </cell>
          <cell r="AJ203">
            <v>0</v>
          </cell>
          <cell r="AK203">
            <v>0</v>
          </cell>
          <cell r="AL203" t="str">
            <v>-</v>
          </cell>
          <cell r="AM203" t="str">
            <v>-</v>
          </cell>
          <cell r="AN203" t="str">
            <v/>
          </cell>
          <cell r="AO203">
            <v>0</v>
          </cell>
          <cell r="AP203" t="str">
            <v>-</v>
          </cell>
          <cell r="AQ203">
            <v>0</v>
          </cell>
          <cell r="AR203" t="str">
            <v>-</v>
          </cell>
          <cell r="AS203">
            <v>0</v>
          </cell>
          <cell r="AT203" t="str">
            <v/>
          </cell>
          <cell r="AU203">
            <v>0</v>
          </cell>
          <cell r="AV203" t="str">
            <v>-</v>
          </cell>
          <cell r="AW203">
            <v>0</v>
          </cell>
          <cell r="AX203" t="str">
            <v>-</v>
          </cell>
          <cell r="AY203">
            <v>0</v>
          </cell>
          <cell r="AZ203" t="str">
            <v/>
          </cell>
          <cell r="BA203">
            <v>0</v>
          </cell>
          <cell r="BB203" t="str">
            <v>-</v>
          </cell>
          <cell r="BC203">
            <v>0</v>
          </cell>
          <cell r="BD203" t="str">
            <v>-</v>
          </cell>
          <cell r="BE203">
            <v>0</v>
          </cell>
          <cell r="BF203" t="str">
            <v/>
          </cell>
          <cell r="BG203">
            <v>0</v>
          </cell>
          <cell r="BH203" t="str">
            <v>-</v>
          </cell>
          <cell r="BI203">
            <v>0</v>
          </cell>
          <cell r="BJ203" t="str">
            <v>-</v>
          </cell>
          <cell r="BK203">
            <v>0</v>
          </cell>
          <cell r="BL203">
            <v>0</v>
          </cell>
          <cell r="BM203" t="str">
            <v>-</v>
          </cell>
          <cell r="BN203">
            <v>20</v>
          </cell>
          <cell r="BO203" t="str">
            <v/>
          </cell>
          <cell r="BP203">
            <v>0</v>
          </cell>
          <cell r="BQ203">
            <v>0</v>
          </cell>
          <cell r="BR203" t="str">
            <v>-</v>
          </cell>
          <cell r="BS203">
            <v>0</v>
          </cell>
          <cell r="BT203">
            <v>0</v>
          </cell>
          <cell r="BU203" t="str">
            <v>-</v>
          </cell>
        </row>
        <row r="204">
          <cell r="A204" t="str">
            <v>20333MD</v>
          </cell>
          <cell r="B204">
            <v>20333</v>
          </cell>
          <cell r="C204" t="str">
            <v>MD</v>
          </cell>
          <cell r="D204" t="str">
            <v>Cooling</v>
          </cell>
          <cell r="E204" t="str">
            <v>Windows</v>
          </cell>
          <cell r="F204" t="str">
            <v>C</v>
          </cell>
          <cell r="G204" t="str">
            <v>Y</v>
          </cell>
          <cell r="M204" t="str">
            <v>NC,RENO</v>
          </cell>
          <cell r="N204" t="str">
            <v>Standard Windows</v>
          </cell>
          <cell r="O204">
            <v>2021</v>
          </cell>
          <cell r="P204">
            <v>2030</v>
          </cell>
          <cell r="Q204" t="str">
            <v>Small Office</v>
          </cell>
          <cell r="R204" t="str">
            <v/>
          </cell>
          <cell r="S204">
            <v>0</v>
          </cell>
          <cell r="T204">
            <v>0</v>
          </cell>
          <cell r="U204">
            <v>0</v>
          </cell>
          <cell r="V204">
            <v>0</v>
          </cell>
          <cell r="W204">
            <v>0.15666666666666668</v>
          </cell>
          <cell r="X204" t="str">
            <v>-</v>
          </cell>
          <cell r="Y204" t="str">
            <v>11,23</v>
          </cell>
          <cell r="Z204" t="str">
            <v>11,23</v>
          </cell>
          <cell r="AA204">
            <v>0</v>
          </cell>
          <cell r="AB204">
            <v>0</v>
          </cell>
          <cell r="AC204">
            <v>0</v>
          </cell>
          <cell r="AD204">
            <v>7.8014184397163122</v>
          </cell>
          <cell r="AE204">
            <v>9</v>
          </cell>
          <cell r="AF204">
            <v>9</v>
          </cell>
          <cell r="AG204">
            <v>0</v>
          </cell>
          <cell r="AH204">
            <v>0</v>
          </cell>
          <cell r="AI204">
            <v>0</v>
          </cell>
          <cell r="AJ204">
            <v>0</v>
          </cell>
          <cell r="AK204">
            <v>0</v>
          </cell>
          <cell r="AL204" t="str">
            <v>-</v>
          </cell>
          <cell r="AM204" t="str">
            <v>-</v>
          </cell>
          <cell r="AN204" t="str">
            <v/>
          </cell>
          <cell r="AO204">
            <v>0</v>
          </cell>
          <cell r="AP204" t="str">
            <v>-</v>
          </cell>
          <cell r="AQ204">
            <v>0</v>
          </cell>
          <cell r="AR204" t="str">
            <v>-</v>
          </cell>
          <cell r="AS204">
            <v>0</v>
          </cell>
          <cell r="AT204" t="str">
            <v/>
          </cell>
          <cell r="AU204">
            <v>0</v>
          </cell>
          <cell r="AV204" t="str">
            <v>-</v>
          </cell>
          <cell r="AW204">
            <v>0</v>
          </cell>
          <cell r="AX204" t="str">
            <v>-</v>
          </cell>
          <cell r="AY204">
            <v>0</v>
          </cell>
          <cell r="AZ204" t="str">
            <v/>
          </cell>
          <cell r="BA204">
            <v>0</v>
          </cell>
          <cell r="BB204" t="str">
            <v>-</v>
          </cell>
          <cell r="BC204">
            <v>0</v>
          </cell>
          <cell r="BD204" t="str">
            <v>-</v>
          </cell>
          <cell r="BE204">
            <v>0</v>
          </cell>
          <cell r="BF204" t="str">
            <v/>
          </cell>
          <cell r="BG204">
            <v>0</v>
          </cell>
          <cell r="BH204" t="str">
            <v>-</v>
          </cell>
          <cell r="BI204">
            <v>0</v>
          </cell>
          <cell r="BJ204" t="str">
            <v>-</v>
          </cell>
          <cell r="BK204">
            <v>0</v>
          </cell>
          <cell r="BL204">
            <v>0</v>
          </cell>
          <cell r="BM204" t="str">
            <v>-</v>
          </cell>
          <cell r="BN204">
            <v>20</v>
          </cell>
          <cell r="BO204" t="str">
            <v/>
          </cell>
          <cell r="BP204">
            <v>0</v>
          </cell>
          <cell r="BQ204">
            <v>0</v>
          </cell>
          <cell r="BR204" t="str">
            <v>-</v>
          </cell>
          <cell r="BS204">
            <v>0</v>
          </cell>
          <cell r="BT204">
            <v>0</v>
          </cell>
          <cell r="BU204" t="str">
            <v>-</v>
          </cell>
        </row>
        <row r="205">
          <cell r="A205" t="str">
            <v>20334MD</v>
          </cell>
          <cell r="B205">
            <v>20334</v>
          </cell>
          <cell r="C205" t="str">
            <v>MD</v>
          </cell>
          <cell r="D205" t="str">
            <v>Cooling</v>
          </cell>
          <cell r="E205" t="str">
            <v>Windows</v>
          </cell>
          <cell r="F205" t="str">
            <v>C</v>
          </cell>
          <cell r="G205" t="str">
            <v>Y</v>
          </cell>
          <cell r="M205" t="str">
            <v>NC,RENO</v>
          </cell>
          <cell r="N205" t="str">
            <v>Standard Windows</v>
          </cell>
          <cell r="O205">
            <v>2021</v>
          </cell>
          <cell r="P205">
            <v>2030</v>
          </cell>
          <cell r="Q205" t="str">
            <v>Small Office</v>
          </cell>
          <cell r="R205" t="str">
            <v/>
          </cell>
          <cell r="S205">
            <v>0</v>
          </cell>
          <cell r="T205">
            <v>0</v>
          </cell>
          <cell r="U205">
            <v>0</v>
          </cell>
          <cell r="V205">
            <v>0</v>
          </cell>
          <cell r="W205">
            <v>0.15666666666666668</v>
          </cell>
          <cell r="X205" t="str">
            <v>-</v>
          </cell>
          <cell r="Y205" t="str">
            <v>11,23</v>
          </cell>
          <cell r="Z205" t="str">
            <v>11,23</v>
          </cell>
          <cell r="AA205">
            <v>0</v>
          </cell>
          <cell r="AB205">
            <v>0</v>
          </cell>
          <cell r="AC205">
            <v>0</v>
          </cell>
          <cell r="AD205">
            <v>7.8014184397163122</v>
          </cell>
          <cell r="AE205">
            <v>9</v>
          </cell>
          <cell r="AF205">
            <v>9</v>
          </cell>
          <cell r="AG205">
            <v>0</v>
          </cell>
          <cell r="AH205">
            <v>0</v>
          </cell>
          <cell r="AI205">
            <v>0</v>
          </cell>
          <cell r="AJ205">
            <v>0</v>
          </cell>
          <cell r="AK205">
            <v>0</v>
          </cell>
          <cell r="AL205" t="str">
            <v>-</v>
          </cell>
          <cell r="AM205" t="str">
            <v>-</v>
          </cell>
          <cell r="AN205" t="str">
            <v/>
          </cell>
          <cell r="AO205">
            <v>0</v>
          </cell>
          <cell r="AP205" t="str">
            <v>-</v>
          </cell>
          <cell r="AQ205">
            <v>0</v>
          </cell>
          <cell r="AR205" t="str">
            <v>-</v>
          </cell>
          <cell r="AS205">
            <v>0</v>
          </cell>
          <cell r="AT205" t="str">
            <v/>
          </cell>
          <cell r="AU205">
            <v>0</v>
          </cell>
          <cell r="AV205" t="str">
            <v>-</v>
          </cell>
          <cell r="AW205">
            <v>0</v>
          </cell>
          <cell r="AX205" t="str">
            <v>-</v>
          </cell>
          <cell r="AY205">
            <v>0</v>
          </cell>
          <cell r="AZ205" t="str">
            <v/>
          </cell>
          <cell r="BA205">
            <v>0</v>
          </cell>
          <cell r="BB205" t="str">
            <v>-</v>
          </cell>
          <cell r="BC205">
            <v>0</v>
          </cell>
          <cell r="BD205" t="str">
            <v>-</v>
          </cell>
          <cell r="BE205">
            <v>0</v>
          </cell>
          <cell r="BF205" t="str">
            <v/>
          </cell>
          <cell r="BG205">
            <v>0</v>
          </cell>
          <cell r="BH205" t="str">
            <v>-</v>
          </cell>
          <cell r="BI205">
            <v>0</v>
          </cell>
          <cell r="BJ205" t="str">
            <v>-</v>
          </cell>
          <cell r="BK205">
            <v>0</v>
          </cell>
          <cell r="BL205">
            <v>0</v>
          </cell>
          <cell r="BM205" t="str">
            <v>-</v>
          </cell>
          <cell r="BN205">
            <v>20</v>
          </cell>
          <cell r="BO205" t="str">
            <v/>
          </cell>
          <cell r="BP205">
            <v>0</v>
          </cell>
          <cell r="BQ205">
            <v>0</v>
          </cell>
          <cell r="BR205" t="str">
            <v>-</v>
          </cell>
          <cell r="BS205">
            <v>0</v>
          </cell>
          <cell r="BT205">
            <v>0</v>
          </cell>
          <cell r="BU205" t="str">
            <v>-</v>
          </cell>
        </row>
        <row r="206">
          <cell r="A206" t="str">
            <v>20335RET</v>
          </cell>
          <cell r="B206">
            <v>20335</v>
          </cell>
          <cell r="C206" t="str">
            <v>RET</v>
          </cell>
          <cell r="D206" t="str">
            <v>Cooling</v>
          </cell>
          <cell r="E206" t="str">
            <v>Window Film</v>
          </cell>
          <cell r="F206" t="str">
            <v>C</v>
          </cell>
          <cell r="G206" t="str">
            <v>Y</v>
          </cell>
          <cell r="M206" t="str">
            <v>RET</v>
          </cell>
          <cell r="N206" t="str">
            <v>No window film</v>
          </cell>
          <cell r="O206">
            <v>2021</v>
          </cell>
          <cell r="P206">
            <v>2030</v>
          </cell>
          <cell r="Q206" t="str">
            <v>Small Office</v>
          </cell>
          <cell r="R206" t="str">
            <v/>
          </cell>
          <cell r="S206">
            <v>0</v>
          </cell>
          <cell r="T206">
            <v>0</v>
          </cell>
          <cell r="U206">
            <v>0</v>
          </cell>
          <cell r="V206">
            <v>0</v>
          </cell>
          <cell r="W206">
            <v>0.21055555555555555</v>
          </cell>
          <cell r="X206" t="str">
            <v>-</v>
          </cell>
          <cell r="Y206" t="str">
            <v>11,23</v>
          </cell>
          <cell r="Z206" t="str">
            <v>11,23</v>
          </cell>
          <cell r="AA206">
            <v>0</v>
          </cell>
          <cell r="AB206">
            <v>0</v>
          </cell>
          <cell r="AC206">
            <v>0</v>
          </cell>
          <cell r="AD206">
            <v>5.2770448548812663</v>
          </cell>
          <cell r="AE206">
            <v>12</v>
          </cell>
          <cell r="AF206">
            <v>12</v>
          </cell>
          <cell r="AG206">
            <v>0</v>
          </cell>
          <cell r="AH206">
            <v>0</v>
          </cell>
          <cell r="AI206">
            <v>0</v>
          </cell>
          <cell r="AJ206">
            <v>0</v>
          </cell>
          <cell r="AK206">
            <v>0</v>
          </cell>
          <cell r="AL206" t="str">
            <v>-</v>
          </cell>
          <cell r="AM206" t="str">
            <v>-</v>
          </cell>
          <cell r="AN206" t="str">
            <v/>
          </cell>
          <cell r="AO206">
            <v>0</v>
          </cell>
          <cell r="AP206" t="str">
            <v>-</v>
          </cell>
          <cell r="AQ206">
            <v>0</v>
          </cell>
          <cell r="AR206" t="str">
            <v>-</v>
          </cell>
          <cell r="AS206">
            <v>0</v>
          </cell>
          <cell r="AT206" t="str">
            <v/>
          </cell>
          <cell r="AU206">
            <v>0</v>
          </cell>
          <cell r="AV206" t="str">
            <v>-</v>
          </cell>
          <cell r="AW206">
            <v>0</v>
          </cell>
          <cell r="AX206" t="str">
            <v>-</v>
          </cell>
          <cell r="AY206">
            <v>0</v>
          </cell>
          <cell r="AZ206" t="str">
            <v/>
          </cell>
          <cell r="BA206">
            <v>0</v>
          </cell>
          <cell r="BB206" t="str">
            <v>-</v>
          </cell>
          <cell r="BC206">
            <v>0</v>
          </cell>
          <cell r="BD206" t="str">
            <v>-</v>
          </cell>
          <cell r="BE206">
            <v>0</v>
          </cell>
          <cell r="BF206" t="str">
            <v/>
          </cell>
          <cell r="BG206">
            <v>0</v>
          </cell>
          <cell r="BH206" t="str">
            <v>-</v>
          </cell>
          <cell r="BI206">
            <v>0</v>
          </cell>
          <cell r="BJ206" t="str">
            <v>-</v>
          </cell>
          <cell r="BK206">
            <v>0</v>
          </cell>
          <cell r="BL206">
            <v>0</v>
          </cell>
          <cell r="BM206" t="str">
            <v>-</v>
          </cell>
          <cell r="BN206">
            <v>10</v>
          </cell>
          <cell r="BO206" t="str">
            <v/>
          </cell>
          <cell r="BP206">
            <v>0</v>
          </cell>
          <cell r="BQ206">
            <v>0</v>
          </cell>
          <cell r="BR206" t="str">
            <v>-</v>
          </cell>
          <cell r="BS206">
            <v>1.4</v>
          </cell>
          <cell r="BT206">
            <v>0</v>
          </cell>
          <cell r="BU206" t="str">
            <v>-</v>
          </cell>
        </row>
        <row r="207">
          <cell r="A207" t="str">
            <v>20336RET</v>
          </cell>
          <cell r="B207">
            <v>20336</v>
          </cell>
          <cell r="C207" t="str">
            <v>RET</v>
          </cell>
          <cell r="D207" t="str">
            <v>Cooling</v>
          </cell>
          <cell r="E207" t="str">
            <v>Window Film</v>
          </cell>
          <cell r="F207" t="str">
            <v>C</v>
          </cell>
          <cell r="G207" t="str">
            <v>Y</v>
          </cell>
          <cell r="M207" t="str">
            <v>RET</v>
          </cell>
          <cell r="N207" t="str">
            <v>No window film</v>
          </cell>
          <cell r="O207">
            <v>2021</v>
          </cell>
          <cell r="P207">
            <v>2030</v>
          </cell>
          <cell r="Q207" t="str">
            <v>Small Office</v>
          </cell>
          <cell r="R207" t="str">
            <v/>
          </cell>
          <cell r="S207">
            <v>0</v>
          </cell>
          <cell r="T207">
            <v>0</v>
          </cell>
          <cell r="U207">
            <v>0</v>
          </cell>
          <cell r="V207">
            <v>0</v>
          </cell>
          <cell r="W207">
            <v>0.21055555555555555</v>
          </cell>
          <cell r="X207" t="str">
            <v>-</v>
          </cell>
          <cell r="Y207" t="str">
            <v>11,23</v>
          </cell>
          <cell r="Z207" t="str">
            <v>11,23</v>
          </cell>
          <cell r="AA207">
            <v>0</v>
          </cell>
          <cell r="AB207">
            <v>0</v>
          </cell>
          <cell r="AC207">
            <v>0</v>
          </cell>
          <cell r="AD207">
            <v>5.2770448548812663</v>
          </cell>
          <cell r="AE207">
            <v>12</v>
          </cell>
          <cell r="AF207">
            <v>12</v>
          </cell>
          <cell r="AG207">
            <v>0</v>
          </cell>
          <cell r="AH207">
            <v>0</v>
          </cell>
          <cell r="AI207">
            <v>0</v>
          </cell>
          <cell r="AJ207">
            <v>0</v>
          </cell>
          <cell r="AK207">
            <v>0</v>
          </cell>
          <cell r="AL207" t="str">
            <v>-</v>
          </cell>
          <cell r="AM207" t="str">
            <v>-</v>
          </cell>
          <cell r="AN207" t="str">
            <v/>
          </cell>
          <cell r="AO207">
            <v>0</v>
          </cell>
          <cell r="AP207" t="str">
            <v>-</v>
          </cell>
          <cell r="AQ207">
            <v>0</v>
          </cell>
          <cell r="AR207" t="str">
            <v>-</v>
          </cell>
          <cell r="AS207">
            <v>0</v>
          </cell>
          <cell r="AT207" t="str">
            <v/>
          </cell>
          <cell r="AU207">
            <v>0</v>
          </cell>
          <cell r="AV207" t="str">
            <v>-</v>
          </cell>
          <cell r="AW207">
            <v>0</v>
          </cell>
          <cell r="AX207" t="str">
            <v>-</v>
          </cell>
          <cell r="AY207">
            <v>0</v>
          </cell>
          <cell r="AZ207" t="str">
            <v/>
          </cell>
          <cell r="BA207">
            <v>0</v>
          </cell>
          <cell r="BB207" t="str">
            <v>-</v>
          </cell>
          <cell r="BC207">
            <v>0</v>
          </cell>
          <cell r="BD207" t="str">
            <v>-</v>
          </cell>
          <cell r="BE207">
            <v>0</v>
          </cell>
          <cell r="BF207" t="str">
            <v/>
          </cell>
          <cell r="BG207">
            <v>0</v>
          </cell>
          <cell r="BH207" t="str">
            <v>-</v>
          </cell>
          <cell r="BI207">
            <v>0</v>
          </cell>
          <cell r="BJ207" t="str">
            <v>-</v>
          </cell>
          <cell r="BK207">
            <v>0</v>
          </cell>
          <cell r="BL207">
            <v>0</v>
          </cell>
          <cell r="BM207" t="str">
            <v>-</v>
          </cell>
          <cell r="BN207">
            <v>10</v>
          </cell>
          <cell r="BO207" t="str">
            <v/>
          </cell>
          <cell r="BP207">
            <v>0</v>
          </cell>
          <cell r="BQ207">
            <v>0</v>
          </cell>
          <cell r="BR207" t="str">
            <v>-</v>
          </cell>
          <cell r="BS207">
            <v>0</v>
          </cell>
          <cell r="BT207">
            <v>0</v>
          </cell>
          <cell r="BU207" t="str">
            <v>-</v>
          </cell>
        </row>
        <row r="208">
          <cell r="A208" t="str">
            <v>20337MD</v>
          </cell>
          <cell r="B208">
            <v>20337</v>
          </cell>
          <cell r="C208" t="str">
            <v>MD</v>
          </cell>
          <cell r="D208" t="str">
            <v>Cooling</v>
          </cell>
          <cell r="E208" t="str">
            <v>Fast Acting Doors</v>
          </cell>
          <cell r="F208" t="str">
            <v>C</v>
          </cell>
          <cell r="G208" t="str">
            <v>Y</v>
          </cell>
          <cell r="M208" t="str">
            <v>NC,RENO,REPL</v>
          </cell>
          <cell r="N208" t="str">
            <v>No Barrier or Strip Curtains or standard door</v>
          </cell>
          <cell r="O208">
            <v>2021</v>
          </cell>
          <cell r="P208">
            <v>2030</v>
          </cell>
          <cell r="Q208" t="str">
            <v>Large Warehouse</v>
          </cell>
          <cell r="R208" t="str">
            <v/>
          </cell>
          <cell r="S208">
            <v>0</v>
          </cell>
          <cell r="T208">
            <v>0</v>
          </cell>
          <cell r="U208">
            <v>0</v>
          </cell>
          <cell r="V208">
            <v>64132.196054083623</v>
          </cell>
          <cell r="W208">
            <v>0.66794720699273125</v>
          </cell>
          <cell r="X208" t="str">
            <v>-</v>
          </cell>
          <cell r="Y208">
            <v>8</v>
          </cell>
          <cell r="Z208">
            <v>8</v>
          </cell>
          <cell r="AA208">
            <v>0</v>
          </cell>
          <cell r="AB208">
            <v>0</v>
          </cell>
          <cell r="AC208">
            <v>0</v>
          </cell>
          <cell r="AD208">
            <v>0.69306057138836519</v>
          </cell>
          <cell r="AE208">
            <v>8</v>
          </cell>
          <cell r="AF208">
            <v>8</v>
          </cell>
          <cell r="AG208">
            <v>0</v>
          </cell>
          <cell r="AH208">
            <v>0</v>
          </cell>
          <cell r="AI208">
            <v>0</v>
          </cell>
          <cell r="AJ208">
            <v>0</v>
          </cell>
          <cell r="AK208">
            <v>0</v>
          </cell>
          <cell r="AL208" t="str">
            <v>-</v>
          </cell>
          <cell r="AM208" t="str">
            <v>-</v>
          </cell>
          <cell r="AN208" t="str">
            <v/>
          </cell>
          <cell r="AO208">
            <v>0</v>
          </cell>
          <cell r="AP208" t="str">
            <v>-</v>
          </cell>
          <cell r="AQ208">
            <v>0</v>
          </cell>
          <cell r="AR208" t="str">
            <v>-</v>
          </cell>
          <cell r="AS208">
            <v>0</v>
          </cell>
          <cell r="AT208" t="str">
            <v/>
          </cell>
          <cell r="AU208">
            <v>0</v>
          </cell>
          <cell r="AV208" t="str">
            <v>-</v>
          </cell>
          <cell r="AW208">
            <v>0</v>
          </cell>
          <cell r="AX208" t="str">
            <v>-</v>
          </cell>
          <cell r="AY208">
            <v>0</v>
          </cell>
          <cell r="AZ208" t="str">
            <v/>
          </cell>
          <cell r="BA208">
            <v>0</v>
          </cell>
          <cell r="BB208" t="str">
            <v>-</v>
          </cell>
          <cell r="BC208">
            <v>0</v>
          </cell>
          <cell r="BD208" t="str">
            <v>-</v>
          </cell>
          <cell r="BE208">
            <v>0</v>
          </cell>
          <cell r="BF208" t="str">
            <v/>
          </cell>
          <cell r="BG208">
            <v>0</v>
          </cell>
          <cell r="BH208" t="str">
            <v>-</v>
          </cell>
          <cell r="BI208">
            <v>0</v>
          </cell>
          <cell r="BJ208" t="str">
            <v>-</v>
          </cell>
          <cell r="BK208">
            <v>0</v>
          </cell>
          <cell r="BL208">
            <v>0</v>
          </cell>
          <cell r="BM208" t="str">
            <v>-</v>
          </cell>
          <cell r="BN208">
            <v>12</v>
          </cell>
          <cell r="BO208" t="str">
            <v/>
          </cell>
          <cell r="BP208">
            <v>0</v>
          </cell>
          <cell r="BQ208">
            <v>0</v>
          </cell>
          <cell r="BR208" t="str">
            <v>-</v>
          </cell>
          <cell r="BS208">
            <v>0</v>
          </cell>
          <cell r="BT208">
            <v>0</v>
          </cell>
          <cell r="BU208" t="str">
            <v>-</v>
          </cell>
        </row>
        <row r="209">
          <cell r="A209" t="str">
            <v>20337RET</v>
          </cell>
          <cell r="B209">
            <v>20337</v>
          </cell>
          <cell r="C209" t="str">
            <v>RET</v>
          </cell>
          <cell r="D209" t="str">
            <v>Cooling</v>
          </cell>
          <cell r="E209" t="str">
            <v>Fast Acting Doors</v>
          </cell>
          <cell r="F209" t="str">
            <v>C</v>
          </cell>
          <cell r="G209" t="str">
            <v>Y</v>
          </cell>
          <cell r="M209" t="str">
            <v>RET</v>
          </cell>
          <cell r="N209" t="str">
            <v>No Barrier or Strip Curtains or standard door</v>
          </cell>
          <cell r="O209">
            <v>2021</v>
          </cell>
          <cell r="P209">
            <v>2030</v>
          </cell>
          <cell r="Q209" t="str">
            <v>Large Warehouse</v>
          </cell>
          <cell r="R209" t="str">
            <v/>
          </cell>
          <cell r="S209">
            <v>0</v>
          </cell>
          <cell r="T209">
            <v>0</v>
          </cell>
          <cell r="U209">
            <v>0</v>
          </cell>
          <cell r="V209">
            <v>64132.196054083623</v>
          </cell>
          <cell r="W209">
            <v>0.66794720699273125</v>
          </cell>
          <cell r="X209" t="str">
            <v>-</v>
          </cell>
          <cell r="Y209">
            <v>8</v>
          </cell>
          <cell r="Z209">
            <v>8</v>
          </cell>
          <cell r="AA209">
            <v>0</v>
          </cell>
          <cell r="AB209">
            <v>0</v>
          </cell>
          <cell r="AC209">
            <v>0</v>
          </cell>
          <cell r="AD209">
            <v>0.69306057138836519</v>
          </cell>
          <cell r="AE209">
            <v>8</v>
          </cell>
          <cell r="AF209">
            <v>8</v>
          </cell>
          <cell r="AG209">
            <v>0</v>
          </cell>
          <cell r="AH209">
            <v>0</v>
          </cell>
          <cell r="AI209">
            <v>0</v>
          </cell>
          <cell r="AJ209">
            <v>0</v>
          </cell>
          <cell r="AK209">
            <v>0</v>
          </cell>
          <cell r="AL209" t="str">
            <v>-</v>
          </cell>
          <cell r="AM209" t="str">
            <v>-</v>
          </cell>
          <cell r="AN209" t="str">
            <v/>
          </cell>
          <cell r="AO209">
            <v>0</v>
          </cell>
          <cell r="AP209" t="str">
            <v>-</v>
          </cell>
          <cell r="AQ209">
            <v>0</v>
          </cell>
          <cell r="AR209" t="str">
            <v>-</v>
          </cell>
          <cell r="AS209">
            <v>0</v>
          </cell>
          <cell r="AT209" t="str">
            <v/>
          </cell>
          <cell r="AU209">
            <v>0</v>
          </cell>
          <cell r="AV209" t="str">
            <v>-</v>
          </cell>
          <cell r="AW209">
            <v>0</v>
          </cell>
          <cell r="AX209" t="str">
            <v>-</v>
          </cell>
          <cell r="AY209">
            <v>0</v>
          </cell>
          <cell r="AZ209" t="str">
            <v/>
          </cell>
          <cell r="BA209">
            <v>0</v>
          </cell>
          <cell r="BB209" t="str">
            <v>-</v>
          </cell>
          <cell r="BC209">
            <v>0</v>
          </cell>
          <cell r="BD209" t="str">
            <v>-</v>
          </cell>
          <cell r="BE209">
            <v>0</v>
          </cell>
          <cell r="BF209" t="str">
            <v/>
          </cell>
          <cell r="BG209">
            <v>0</v>
          </cell>
          <cell r="BH209" t="str">
            <v>-</v>
          </cell>
          <cell r="BI209">
            <v>0</v>
          </cell>
          <cell r="BJ209" t="str">
            <v>-</v>
          </cell>
          <cell r="BK209">
            <v>0</v>
          </cell>
          <cell r="BL209">
            <v>0</v>
          </cell>
          <cell r="BM209" t="str">
            <v>-</v>
          </cell>
          <cell r="BN209">
            <v>12</v>
          </cell>
          <cell r="BO209" t="str">
            <v/>
          </cell>
          <cell r="BP209">
            <v>0</v>
          </cell>
          <cell r="BQ209">
            <v>0</v>
          </cell>
          <cell r="BR209" t="str">
            <v>-</v>
          </cell>
          <cell r="BS209">
            <v>0</v>
          </cell>
          <cell r="BT209">
            <v>0</v>
          </cell>
          <cell r="BU209" t="str">
            <v>-</v>
          </cell>
        </row>
        <row r="210">
          <cell r="A210" t="str">
            <v>20338MD</v>
          </cell>
          <cell r="B210">
            <v>20338</v>
          </cell>
          <cell r="C210" t="str">
            <v>MD</v>
          </cell>
          <cell r="D210" t="str">
            <v>Cooling</v>
          </cell>
          <cell r="E210" t="str">
            <v>Cool Roof - MD</v>
          </cell>
          <cell r="F210" t="str">
            <v>C</v>
          </cell>
          <cell r="G210" t="str">
            <v>Y</v>
          </cell>
          <cell r="M210" t="str">
            <v>NC,RENO</v>
          </cell>
          <cell r="N210" t="str">
            <v>Conventional dark-colored roofing materials</v>
          </cell>
          <cell r="O210">
            <v>2021</v>
          </cell>
          <cell r="P210">
            <v>2030</v>
          </cell>
          <cell r="Q210" t="str">
            <v>Small Office</v>
          </cell>
          <cell r="R210" t="str">
            <v/>
          </cell>
          <cell r="S210">
            <v>0</v>
          </cell>
          <cell r="T210">
            <v>0</v>
          </cell>
          <cell r="U210">
            <v>0</v>
          </cell>
          <cell r="V210">
            <v>0</v>
          </cell>
          <cell r="W210">
            <v>9.3888888888888883E-2</v>
          </cell>
          <cell r="X210" t="str">
            <v>-</v>
          </cell>
          <cell r="Y210" t="str">
            <v>11,23</v>
          </cell>
          <cell r="Z210" t="str">
            <v>11,23</v>
          </cell>
          <cell r="AA210">
            <v>0</v>
          </cell>
          <cell r="AB210">
            <v>0</v>
          </cell>
          <cell r="AC210">
            <v>0</v>
          </cell>
          <cell r="AD210">
            <v>3.6982248520710059</v>
          </cell>
          <cell r="AE210">
            <v>16</v>
          </cell>
          <cell r="AF210">
            <v>16</v>
          </cell>
          <cell r="AG210">
            <v>0</v>
          </cell>
          <cell r="AH210">
            <v>0</v>
          </cell>
          <cell r="AI210">
            <v>0</v>
          </cell>
          <cell r="AJ210">
            <v>0</v>
          </cell>
          <cell r="AK210">
            <v>0</v>
          </cell>
          <cell r="AL210" t="str">
            <v>-</v>
          </cell>
          <cell r="AM210" t="str">
            <v>-</v>
          </cell>
          <cell r="AN210" t="str">
            <v/>
          </cell>
          <cell r="AO210">
            <v>0</v>
          </cell>
          <cell r="AP210" t="str">
            <v>-</v>
          </cell>
          <cell r="AQ210">
            <v>0</v>
          </cell>
          <cell r="AR210" t="str">
            <v>-</v>
          </cell>
          <cell r="AS210">
            <v>0</v>
          </cell>
          <cell r="AT210" t="str">
            <v/>
          </cell>
          <cell r="AU210">
            <v>0</v>
          </cell>
          <cell r="AV210" t="str">
            <v>-</v>
          </cell>
          <cell r="AW210">
            <v>0</v>
          </cell>
          <cell r="AX210" t="str">
            <v>-</v>
          </cell>
          <cell r="AY210">
            <v>0</v>
          </cell>
          <cell r="AZ210" t="str">
            <v/>
          </cell>
          <cell r="BA210">
            <v>0</v>
          </cell>
          <cell r="BB210" t="str">
            <v>-</v>
          </cell>
          <cell r="BC210">
            <v>0</v>
          </cell>
          <cell r="BD210" t="str">
            <v>-</v>
          </cell>
          <cell r="BE210">
            <v>0</v>
          </cell>
          <cell r="BF210" t="str">
            <v/>
          </cell>
          <cell r="BG210">
            <v>0</v>
          </cell>
          <cell r="BH210" t="str">
            <v>-</v>
          </cell>
          <cell r="BI210">
            <v>0</v>
          </cell>
          <cell r="BJ210" t="str">
            <v>-</v>
          </cell>
          <cell r="BK210">
            <v>0</v>
          </cell>
          <cell r="BL210">
            <v>0</v>
          </cell>
          <cell r="BM210" t="str">
            <v>-</v>
          </cell>
          <cell r="BN210">
            <v>15</v>
          </cell>
          <cell r="BO210" t="str">
            <v/>
          </cell>
          <cell r="BP210">
            <v>0</v>
          </cell>
          <cell r="BQ210">
            <v>0</v>
          </cell>
          <cell r="BR210" t="str">
            <v>-</v>
          </cell>
          <cell r="BS210">
            <v>0</v>
          </cell>
          <cell r="BT210">
            <v>0</v>
          </cell>
          <cell r="BU210" t="str">
            <v>-</v>
          </cell>
        </row>
        <row r="211">
          <cell r="A211" t="str">
            <v>20338RET</v>
          </cell>
          <cell r="B211">
            <v>20338</v>
          </cell>
          <cell r="C211" t="str">
            <v>RET</v>
          </cell>
          <cell r="D211" t="str">
            <v>Cooling</v>
          </cell>
          <cell r="E211" t="str">
            <v>Cool Roof - Ret</v>
          </cell>
          <cell r="F211" t="str">
            <v>C</v>
          </cell>
          <cell r="G211" t="str">
            <v>Y</v>
          </cell>
          <cell r="M211" t="str">
            <v>RET</v>
          </cell>
          <cell r="N211" t="str">
            <v>Conventional dark-colored roofing materials</v>
          </cell>
          <cell r="O211">
            <v>2021</v>
          </cell>
          <cell r="P211">
            <v>2030</v>
          </cell>
          <cell r="Q211" t="str">
            <v>Small Office</v>
          </cell>
          <cell r="R211" t="str">
            <v/>
          </cell>
          <cell r="S211">
            <v>0</v>
          </cell>
          <cell r="T211">
            <v>0</v>
          </cell>
          <cell r="U211">
            <v>0</v>
          </cell>
          <cell r="V211">
            <v>0</v>
          </cell>
          <cell r="W211">
            <v>9.3888888888888883E-2</v>
          </cell>
          <cell r="X211" t="str">
            <v>-</v>
          </cell>
          <cell r="Y211" t="str">
            <v>11,23</v>
          </cell>
          <cell r="Z211" t="str">
            <v>11,23</v>
          </cell>
          <cell r="AA211">
            <v>0</v>
          </cell>
          <cell r="AB211">
            <v>0</v>
          </cell>
          <cell r="AC211">
            <v>0</v>
          </cell>
          <cell r="AD211">
            <v>9.615384615384615</v>
          </cell>
          <cell r="AE211">
            <v>16</v>
          </cell>
          <cell r="AF211">
            <v>16</v>
          </cell>
          <cell r="AG211">
            <v>15</v>
          </cell>
          <cell r="AH211">
            <v>10</v>
          </cell>
          <cell r="AI211">
            <v>1000</v>
          </cell>
          <cell r="AJ211">
            <v>5.9171597633136095</v>
          </cell>
          <cell r="AK211">
            <v>1</v>
          </cell>
          <cell r="AL211" t="str">
            <v>-</v>
          </cell>
          <cell r="AM211" t="str">
            <v>-</v>
          </cell>
          <cell r="AN211" t="str">
            <v/>
          </cell>
          <cell r="AO211">
            <v>0</v>
          </cell>
          <cell r="AP211" t="str">
            <v>-</v>
          </cell>
          <cell r="AQ211">
            <v>0</v>
          </cell>
          <cell r="AR211" t="str">
            <v>-</v>
          </cell>
          <cell r="AS211">
            <v>0</v>
          </cell>
          <cell r="AT211" t="str">
            <v/>
          </cell>
          <cell r="AU211">
            <v>0</v>
          </cell>
          <cell r="AV211" t="str">
            <v>-</v>
          </cell>
          <cell r="AW211">
            <v>0</v>
          </cell>
          <cell r="AX211" t="str">
            <v>-</v>
          </cell>
          <cell r="AY211">
            <v>0</v>
          </cell>
          <cell r="AZ211" t="str">
            <v/>
          </cell>
          <cell r="BA211">
            <v>0</v>
          </cell>
          <cell r="BB211" t="str">
            <v>-</v>
          </cell>
          <cell r="BC211">
            <v>0</v>
          </cell>
          <cell r="BD211" t="str">
            <v>-</v>
          </cell>
          <cell r="BE211">
            <v>0</v>
          </cell>
          <cell r="BF211" t="str">
            <v/>
          </cell>
          <cell r="BG211">
            <v>0</v>
          </cell>
          <cell r="BH211" t="str">
            <v>-</v>
          </cell>
          <cell r="BI211">
            <v>0</v>
          </cell>
          <cell r="BJ211" t="str">
            <v>-</v>
          </cell>
          <cell r="BK211">
            <v>0</v>
          </cell>
          <cell r="BL211">
            <v>0</v>
          </cell>
          <cell r="BM211" t="str">
            <v>-</v>
          </cell>
          <cell r="BN211">
            <v>15</v>
          </cell>
          <cell r="BO211" t="str">
            <v/>
          </cell>
          <cell r="BP211">
            <v>0</v>
          </cell>
          <cell r="BQ211">
            <v>0</v>
          </cell>
          <cell r="BR211" t="str">
            <v>-</v>
          </cell>
          <cell r="BS211">
            <v>0</v>
          </cell>
          <cell r="BT211">
            <v>0</v>
          </cell>
          <cell r="BU211" t="str">
            <v>-</v>
          </cell>
        </row>
        <row r="212">
          <cell r="A212" t="str">
            <v>20339MD</v>
          </cell>
          <cell r="B212">
            <v>20339</v>
          </cell>
          <cell r="C212" t="str">
            <v>MD</v>
          </cell>
          <cell r="D212" t="str">
            <v>Cooling</v>
          </cell>
          <cell r="E212" t="str">
            <v>Cool Roof - MD</v>
          </cell>
          <cell r="F212" t="str">
            <v>C</v>
          </cell>
          <cell r="G212" t="str">
            <v>Y</v>
          </cell>
          <cell r="M212" t="str">
            <v>NC,RENO</v>
          </cell>
          <cell r="N212" t="str">
            <v>Conventional dark-colored roofing materials</v>
          </cell>
          <cell r="O212">
            <v>2021</v>
          </cell>
          <cell r="P212">
            <v>2030</v>
          </cell>
          <cell r="Q212" t="str">
            <v>Small Office</v>
          </cell>
          <cell r="R212" t="str">
            <v/>
          </cell>
          <cell r="S212">
            <v>0</v>
          </cell>
          <cell r="T212">
            <v>0</v>
          </cell>
          <cell r="U212">
            <v>0</v>
          </cell>
          <cell r="V212">
            <v>0</v>
          </cell>
          <cell r="W212">
            <v>9.3888888888888883E-2</v>
          </cell>
          <cell r="X212" t="str">
            <v>-</v>
          </cell>
          <cell r="Y212">
            <v>11</v>
          </cell>
          <cell r="Z212">
            <v>11</v>
          </cell>
          <cell r="AA212">
            <v>0</v>
          </cell>
          <cell r="AB212">
            <v>0</v>
          </cell>
          <cell r="AC212">
            <v>0</v>
          </cell>
          <cell r="AD212">
            <v>3.6982248520710059</v>
          </cell>
          <cell r="AE212">
            <v>16</v>
          </cell>
          <cell r="AF212">
            <v>16</v>
          </cell>
          <cell r="AG212">
            <v>0</v>
          </cell>
          <cell r="AH212">
            <v>0</v>
          </cell>
          <cell r="AI212">
            <v>0</v>
          </cell>
          <cell r="AJ212">
            <v>0</v>
          </cell>
          <cell r="AK212">
            <v>0</v>
          </cell>
          <cell r="AL212" t="str">
            <v>-</v>
          </cell>
          <cell r="AM212" t="str">
            <v>-</v>
          </cell>
          <cell r="AN212" t="str">
            <v/>
          </cell>
          <cell r="AO212">
            <v>0</v>
          </cell>
          <cell r="AP212" t="str">
            <v>-</v>
          </cell>
          <cell r="AQ212">
            <v>0</v>
          </cell>
          <cell r="AR212" t="str">
            <v>-</v>
          </cell>
          <cell r="AS212">
            <v>0</v>
          </cell>
          <cell r="AT212" t="str">
            <v/>
          </cell>
          <cell r="AU212">
            <v>0</v>
          </cell>
          <cell r="AV212" t="str">
            <v>-</v>
          </cell>
          <cell r="AW212">
            <v>0</v>
          </cell>
          <cell r="AX212" t="str">
            <v>-</v>
          </cell>
          <cell r="AY212">
            <v>0</v>
          </cell>
          <cell r="AZ212" t="str">
            <v/>
          </cell>
          <cell r="BA212">
            <v>0</v>
          </cell>
          <cell r="BB212" t="str">
            <v>-</v>
          </cell>
          <cell r="BC212">
            <v>0</v>
          </cell>
          <cell r="BD212" t="str">
            <v>-</v>
          </cell>
          <cell r="BE212">
            <v>0</v>
          </cell>
          <cell r="BF212" t="str">
            <v/>
          </cell>
          <cell r="BG212">
            <v>0</v>
          </cell>
          <cell r="BH212" t="str">
            <v>-</v>
          </cell>
          <cell r="BI212">
            <v>0</v>
          </cell>
          <cell r="BJ212" t="str">
            <v>-</v>
          </cell>
          <cell r="BK212">
            <v>0</v>
          </cell>
          <cell r="BL212">
            <v>0</v>
          </cell>
          <cell r="BM212" t="str">
            <v>-</v>
          </cell>
          <cell r="BN212">
            <v>15</v>
          </cell>
          <cell r="BO212" t="str">
            <v/>
          </cell>
          <cell r="BP212">
            <v>0</v>
          </cell>
          <cell r="BQ212">
            <v>0</v>
          </cell>
          <cell r="BR212" t="str">
            <v>-</v>
          </cell>
          <cell r="BS212">
            <v>0</v>
          </cell>
          <cell r="BT212">
            <v>0</v>
          </cell>
          <cell r="BU212" t="str">
            <v>-</v>
          </cell>
        </row>
        <row r="213">
          <cell r="A213" t="str">
            <v>20339RET</v>
          </cell>
          <cell r="B213">
            <v>20339</v>
          </cell>
          <cell r="C213" t="str">
            <v>RET</v>
          </cell>
          <cell r="D213" t="str">
            <v>Cooling</v>
          </cell>
          <cell r="E213" t="str">
            <v>Cool Roof - Ret</v>
          </cell>
          <cell r="F213" t="str">
            <v>C</v>
          </cell>
          <cell r="G213" t="str">
            <v>Y</v>
          </cell>
          <cell r="M213" t="str">
            <v>RET</v>
          </cell>
          <cell r="N213" t="str">
            <v>Conventional dark-colored roofing materials</v>
          </cell>
          <cell r="O213">
            <v>2021</v>
          </cell>
          <cell r="P213">
            <v>2030</v>
          </cell>
          <cell r="Q213" t="str">
            <v>Small Office</v>
          </cell>
          <cell r="R213" t="str">
            <v/>
          </cell>
          <cell r="S213">
            <v>0</v>
          </cell>
          <cell r="T213">
            <v>0</v>
          </cell>
          <cell r="U213">
            <v>0</v>
          </cell>
          <cell r="V213">
            <v>0</v>
          </cell>
          <cell r="W213">
            <v>9.3888888888888883E-2</v>
          </cell>
          <cell r="X213" t="str">
            <v>-</v>
          </cell>
          <cell r="Y213">
            <v>11</v>
          </cell>
          <cell r="Z213">
            <v>11</v>
          </cell>
          <cell r="AA213">
            <v>0</v>
          </cell>
          <cell r="AB213">
            <v>0</v>
          </cell>
          <cell r="AC213">
            <v>0</v>
          </cell>
          <cell r="AD213">
            <v>9.615384615384615</v>
          </cell>
          <cell r="AE213">
            <v>16</v>
          </cell>
          <cell r="AF213">
            <v>16</v>
          </cell>
          <cell r="AG213">
            <v>15</v>
          </cell>
          <cell r="AH213">
            <v>10</v>
          </cell>
          <cell r="AI213">
            <v>1000</v>
          </cell>
          <cell r="AJ213">
            <v>5.9171597633136095</v>
          </cell>
          <cell r="AK213">
            <v>1</v>
          </cell>
          <cell r="AL213" t="str">
            <v>-</v>
          </cell>
          <cell r="AM213" t="str">
            <v>-</v>
          </cell>
          <cell r="AN213" t="str">
            <v/>
          </cell>
          <cell r="AO213">
            <v>0</v>
          </cell>
          <cell r="AP213" t="str">
            <v>-</v>
          </cell>
          <cell r="AQ213">
            <v>0</v>
          </cell>
          <cell r="AR213" t="str">
            <v>-</v>
          </cell>
          <cell r="AS213">
            <v>0</v>
          </cell>
          <cell r="AT213" t="str">
            <v/>
          </cell>
          <cell r="AU213">
            <v>0</v>
          </cell>
          <cell r="AV213" t="str">
            <v>-</v>
          </cell>
          <cell r="AW213">
            <v>0</v>
          </cell>
          <cell r="AX213" t="str">
            <v>-</v>
          </cell>
          <cell r="AY213">
            <v>0</v>
          </cell>
          <cell r="AZ213" t="str">
            <v/>
          </cell>
          <cell r="BA213">
            <v>0</v>
          </cell>
          <cell r="BB213" t="str">
            <v>-</v>
          </cell>
          <cell r="BC213">
            <v>0</v>
          </cell>
          <cell r="BD213" t="str">
            <v>-</v>
          </cell>
          <cell r="BE213">
            <v>0</v>
          </cell>
          <cell r="BF213" t="str">
            <v/>
          </cell>
          <cell r="BG213">
            <v>0</v>
          </cell>
          <cell r="BH213" t="str">
            <v>-</v>
          </cell>
          <cell r="BI213">
            <v>0</v>
          </cell>
          <cell r="BJ213" t="str">
            <v>-</v>
          </cell>
          <cell r="BK213">
            <v>0</v>
          </cell>
          <cell r="BL213">
            <v>0</v>
          </cell>
          <cell r="BM213" t="str">
            <v>-</v>
          </cell>
          <cell r="BN213">
            <v>15</v>
          </cell>
          <cell r="BO213" t="str">
            <v/>
          </cell>
          <cell r="BP213">
            <v>0</v>
          </cell>
          <cell r="BQ213">
            <v>0</v>
          </cell>
          <cell r="BR213" t="str">
            <v>-</v>
          </cell>
          <cell r="BS213">
            <v>0</v>
          </cell>
          <cell r="BT213">
            <v>0</v>
          </cell>
          <cell r="BU213" t="str">
            <v>-</v>
          </cell>
        </row>
        <row r="214">
          <cell r="A214" t="str">
            <v>20340RET</v>
          </cell>
          <cell r="B214">
            <v>20340</v>
          </cell>
          <cell r="C214" t="str">
            <v>RET</v>
          </cell>
          <cell r="D214" t="str">
            <v>Cooling</v>
          </cell>
          <cell r="E214" t="str">
            <v>ECM Circulators</v>
          </cell>
          <cell r="F214" t="str">
            <v>C</v>
          </cell>
          <cell r="G214" t="str">
            <v>Y</v>
          </cell>
          <cell r="M214" t="str">
            <v>RET</v>
          </cell>
          <cell r="N214" t="str">
            <v>Permanent Split Capacitor (PSC) circulator motors</v>
          </cell>
          <cell r="O214">
            <v>2021</v>
          </cell>
          <cell r="P214">
            <v>2030</v>
          </cell>
          <cell r="Q214" t="str">
            <v>Large Office</v>
          </cell>
          <cell r="R214" t="str">
            <v/>
          </cell>
          <cell r="S214">
            <v>0</v>
          </cell>
          <cell r="T214">
            <v>0</v>
          </cell>
          <cell r="U214">
            <v>0</v>
          </cell>
          <cell r="V214">
            <v>2635.0538679738565</v>
          </cell>
          <cell r="W214">
            <v>0.82</v>
          </cell>
          <cell r="X214" t="str">
            <v>-</v>
          </cell>
          <cell r="Y214" t="str">
            <v>3,12</v>
          </cell>
          <cell r="Z214" t="str">
            <v>3,12</v>
          </cell>
          <cell r="AA214">
            <v>0</v>
          </cell>
          <cell r="AB214">
            <v>0</v>
          </cell>
          <cell r="AC214">
            <v>278.125</v>
          </cell>
          <cell r="AD214">
            <v>0.1055481268828313</v>
          </cell>
          <cell r="AE214">
            <v>4</v>
          </cell>
          <cell r="AF214">
            <v>4</v>
          </cell>
          <cell r="AG214">
            <v>0</v>
          </cell>
          <cell r="AH214">
            <v>0</v>
          </cell>
          <cell r="AI214">
            <v>0</v>
          </cell>
          <cell r="AJ214">
            <v>0</v>
          </cell>
          <cell r="AK214">
            <v>0</v>
          </cell>
          <cell r="AL214" t="str">
            <v>-</v>
          </cell>
          <cell r="AM214" t="str">
            <v>-</v>
          </cell>
          <cell r="AN214" t="str">
            <v/>
          </cell>
          <cell r="AO214">
            <v>0</v>
          </cell>
          <cell r="AP214" t="str">
            <v>-</v>
          </cell>
          <cell r="AQ214">
            <v>0</v>
          </cell>
          <cell r="AR214" t="str">
            <v>-</v>
          </cell>
          <cell r="AS214">
            <v>0</v>
          </cell>
          <cell r="AT214" t="str">
            <v/>
          </cell>
          <cell r="AU214">
            <v>0</v>
          </cell>
          <cell r="AV214" t="str">
            <v>-</v>
          </cell>
          <cell r="AW214">
            <v>0</v>
          </cell>
          <cell r="AX214" t="str">
            <v>-</v>
          </cell>
          <cell r="AY214">
            <v>0</v>
          </cell>
          <cell r="AZ214" t="str">
            <v/>
          </cell>
          <cell r="BA214">
            <v>0</v>
          </cell>
          <cell r="BB214" t="str">
            <v>-</v>
          </cell>
          <cell r="BC214">
            <v>0</v>
          </cell>
          <cell r="BD214" t="str">
            <v>-</v>
          </cell>
          <cell r="BE214">
            <v>0</v>
          </cell>
          <cell r="BF214" t="str">
            <v/>
          </cell>
          <cell r="BG214">
            <v>0</v>
          </cell>
          <cell r="BH214" t="str">
            <v>-</v>
          </cell>
          <cell r="BI214">
            <v>0</v>
          </cell>
          <cell r="BJ214" t="str">
            <v>-</v>
          </cell>
          <cell r="BK214">
            <v>0</v>
          </cell>
          <cell r="BL214">
            <v>0</v>
          </cell>
          <cell r="BM214" t="str">
            <v>-</v>
          </cell>
          <cell r="BN214">
            <v>15</v>
          </cell>
          <cell r="BO214" t="str">
            <v/>
          </cell>
          <cell r="BP214">
            <v>0</v>
          </cell>
          <cell r="BQ214">
            <v>0</v>
          </cell>
          <cell r="BR214" t="str">
            <v>-</v>
          </cell>
          <cell r="BS214">
            <v>0</v>
          </cell>
          <cell r="BT214">
            <v>0</v>
          </cell>
          <cell r="BU214" t="str">
            <v>-</v>
          </cell>
        </row>
        <row r="215">
          <cell r="A215" t="str">
            <v>20401RET</v>
          </cell>
          <cell r="B215">
            <v>20401</v>
          </cell>
          <cell r="C215" t="str">
            <v>RET</v>
          </cell>
          <cell r="D215" t="str">
            <v>Exterior Lighting</v>
          </cell>
          <cell r="E215" t="str">
            <v>Exterior Area Lighting</v>
          </cell>
          <cell r="F215" t="str">
            <v>C</v>
          </cell>
          <cell r="G215" t="str">
            <v>Y</v>
          </cell>
          <cell r="M215" t="str">
            <v>RET</v>
          </cell>
          <cell r="N215" t="str">
            <v>Outdoor pole/arm- or wall-mounted luminaire with a high intensity discharge light-source</v>
          </cell>
          <cell r="O215">
            <v>2021</v>
          </cell>
          <cell r="P215">
            <v>2030</v>
          </cell>
          <cell r="Q215" t="str">
            <v>Small Office</v>
          </cell>
          <cell r="R215" t="str">
            <v/>
          </cell>
          <cell r="S215">
            <v>0</v>
          </cell>
          <cell r="T215">
            <v>0</v>
          </cell>
          <cell r="U215">
            <v>0</v>
          </cell>
          <cell r="V215">
            <v>0</v>
          </cell>
          <cell r="W215">
            <v>0.77599011371187587</v>
          </cell>
          <cell r="X215" t="str">
            <v>-</v>
          </cell>
          <cell r="Y215" t="str">
            <v>3,8</v>
          </cell>
          <cell r="Z215" t="str">
            <v>3,8</v>
          </cell>
          <cell r="AA215">
            <v>0</v>
          </cell>
          <cell r="AB215">
            <v>0</v>
          </cell>
          <cell r="AC215">
            <v>0</v>
          </cell>
          <cell r="AD215">
            <v>0.28890834887152211</v>
          </cell>
          <cell r="AE215">
            <v>4</v>
          </cell>
          <cell r="AF215">
            <v>4</v>
          </cell>
          <cell r="AG215">
            <v>15</v>
          </cell>
          <cell r="AH215">
            <v>10</v>
          </cell>
          <cell r="AI215">
            <v>0</v>
          </cell>
          <cell r="AJ215">
            <v>3.3855531958181972E-2</v>
          </cell>
          <cell r="AK215">
            <v>1</v>
          </cell>
          <cell r="AL215" t="str">
            <v>-</v>
          </cell>
          <cell r="AM215" t="str">
            <v>-</v>
          </cell>
          <cell r="AN215" t="str">
            <v/>
          </cell>
          <cell r="AO215">
            <v>0</v>
          </cell>
          <cell r="AP215" t="str">
            <v>-</v>
          </cell>
          <cell r="AQ215">
            <v>0</v>
          </cell>
          <cell r="AR215" t="str">
            <v>-</v>
          </cell>
          <cell r="AS215">
            <v>0</v>
          </cell>
          <cell r="AT215" t="str">
            <v/>
          </cell>
          <cell r="AU215">
            <v>0</v>
          </cell>
          <cell r="AV215" t="str">
            <v>-</v>
          </cell>
          <cell r="AW215">
            <v>0</v>
          </cell>
          <cell r="AX215" t="str">
            <v>-</v>
          </cell>
          <cell r="AY215">
            <v>0</v>
          </cell>
          <cell r="AZ215" t="str">
            <v/>
          </cell>
          <cell r="BA215">
            <v>0</v>
          </cell>
          <cell r="BB215" t="str">
            <v>-</v>
          </cell>
          <cell r="BC215">
            <v>0</v>
          </cell>
          <cell r="BD215" t="str">
            <v>-</v>
          </cell>
          <cell r="BE215">
            <v>0</v>
          </cell>
          <cell r="BF215" t="str">
            <v/>
          </cell>
          <cell r="BG215">
            <v>0</v>
          </cell>
          <cell r="BH215" t="str">
            <v>-</v>
          </cell>
          <cell r="BI215">
            <v>0</v>
          </cell>
          <cell r="BJ215" t="str">
            <v>-</v>
          </cell>
          <cell r="BK215">
            <v>0</v>
          </cell>
          <cell r="BL215">
            <v>3.0425107944048696E-3</v>
          </cell>
          <cell r="BM215" t="str">
            <v>-</v>
          </cell>
          <cell r="BN215">
            <v>15</v>
          </cell>
          <cell r="BO215" t="str">
            <v/>
          </cell>
          <cell r="BP215">
            <v>0</v>
          </cell>
          <cell r="BQ215">
            <v>0</v>
          </cell>
          <cell r="BR215" t="str">
            <v>-</v>
          </cell>
          <cell r="BS215">
            <v>0</v>
          </cell>
          <cell r="BT215">
            <v>0</v>
          </cell>
          <cell r="BU215" t="str">
            <v>-</v>
          </cell>
        </row>
        <row r="216">
          <cell r="A216" t="str">
            <v>20401MD</v>
          </cell>
          <cell r="B216">
            <v>20401</v>
          </cell>
          <cell r="C216" t="str">
            <v>MD</v>
          </cell>
          <cell r="D216" t="str">
            <v>Exterior Lighting</v>
          </cell>
          <cell r="E216" t="str">
            <v>Exterior Area Lighting</v>
          </cell>
          <cell r="F216" t="str">
            <v>C</v>
          </cell>
          <cell r="G216" t="str">
            <v>Y</v>
          </cell>
          <cell r="M216" t="str">
            <v>NC, REPL</v>
          </cell>
          <cell r="N216" t="str">
            <v>Outdoor pole/arm- or wall-mounted luminaire with a high intensity discharge light-source</v>
          </cell>
          <cell r="O216">
            <v>2021</v>
          </cell>
          <cell r="P216">
            <v>2030</v>
          </cell>
          <cell r="Q216" t="str">
            <v>Small Office</v>
          </cell>
          <cell r="R216" t="str">
            <v/>
          </cell>
          <cell r="S216">
            <v>0</v>
          </cell>
          <cell r="T216">
            <v>0</v>
          </cell>
          <cell r="U216">
            <v>0</v>
          </cell>
          <cell r="V216">
            <v>0</v>
          </cell>
          <cell r="W216">
            <v>0.77599011371187587</v>
          </cell>
          <cell r="X216" t="str">
            <v>-</v>
          </cell>
          <cell r="Y216" t="str">
            <v>3,8</v>
          </cell>
          <cell r="Z216" t="str">
            <v>3,8</v>
          </cell>
          <cell r="AA216">
            <v>0</v>
          </cell>
          <cell r="AB216">
            <v>0</v>
          </cell>
          <cell r="AC216">
            <v>0</v>
          </cell>
          <cell r="AD216">
            <v>9.8892458225864316E-2</v>
          </cell>
          <cell r="AE216">
            <v>4</v>
          </cell>
          <cell r="AF216">
            <v>4</v>
          </cell>
          <cell r="AG216">
            <v>0</v>
          </cell>
          <cell r="AH216">
            <v>0</v>
          </cell>
          <cell r="AI216">
            <v>0</v>
          </cell>
          <cell r="AJ216">
            <v>0</v>
          </cell>
          <cell r="AK216">
            <v>0</v>
          </cell>
          <cell r="AL216" t="str">
            <v>-</v>
          </cell>
          <cell r="AM216" t="str">
            <v>-</v>
          </cell>
          <cell r="AN216" t="str">
            <v/>
          </cell>
          <cell r="AO216">
            <v>0</v>
          </cell>
          <cell r="AP216" t="str">
            <v>-</v>
          </cell>
          <cell r="AQ216">
            <v>0</v>
          </cell>
          <cell r="AR216" t="str">
            <v>-</v>
          </cell>
          <cell r="AS216">
            <v>0</v>
          </cell>
          <cell r="AT216" t="str">
            <v/>
          </cell>
          <cell r="AU216">
            <v>0</v>
          </cell>
          <cell r="AV216" t="str">
            <v>-</v>
          </cell>
          <cell r="AW216">
            <v>0</v>
          </cell>
          <cell r="AX216" t="str">
            <v>-</v>
          </cell>
          <cell r="AY216">
            <v>0</v>
          </cell>
          <cell r="AZ216" t="str">
            <v/>
          </cell>
          <cell r="BA216">
            <v>0</v>
          </cell>
          <cell r="BB216" t="str">
            <v>-</v>
          </cell>
          <cell r="BC216">
            <v>0</v>
          </cell>
          <cell r="BD216" t="str">
            <v>-</v>
          </cell>
          <cell r="BE216">
            <v>0</v>
          </cell>
          <cell r="BF216" t="str">
            <v/>
          </cell>
          <cell r="BG216">
            <v>0</v>
          </cell>
          <cell r="BH216" t="str">
            <v>-</v>
          </cell>
          <cell r="BI216">
            <v>0</v>
          </cell>
          <cell r="BJ216" t="str">
            <v>-</v>
          </cell>
          <cell r="BK216">
            <v>0</v>
          </cell>
          <cell r="BL216">
            <v>3.0425107944048696E-3</v>
          </cell>
          <cell r="BM216" t="str">
            <v>-</v>
          </cell>
          <cell r="BN216">
            <v>15</v>
          </cell>
          <cell r="BO216" t="str">
            <v/>
          </cell>
          <cell r="BP216">
            <v>0</v>
          </cell>
          <cell r="BQ216">
            <v>0</v>
          </cell>
          <cell r="BR216" t="str">
            <v>-</v>
          </cell>
          <cell r="BS216">
            <v>0</v>
          </cell>
          <cell r="BT216">
            <v>0</v>
          </cell>
          <cell r="BU216" t="str">
            <v>-</v>
          </cell>
        </row>
        <row r="217">
          <cell r="A217" t="str">
            <v>20402RET</v>
          </cell>
          <cell r="B217">
            <v>20402</v>
          </cell>
          <cell r="C217" t="str">
            <v>RET</v>
          </cell>
          <cell r="D217" t="e">
            <v>#REF!</v>
          </cell>
          <cell r="E217" t="e">
            <v>#REF!</v>
          </cell>
          <cell r="F217" t="e">
            <v>#REF!</v>
          </cell>
          <cell r="G217" t="str">
            <v>Y</v>
          </cell>
          <cell r="M217" t="e">
            <v>#REF!</v>
          </cell>
          <cell r="N217" t="e">
            <v>#REF!</v>
          </cell>
          <cell r="O217" t="e">
            <v>#REF!</v>
          </cell>
          <cell r="P217" t="e">
            <v>#REF!</v>
          </cell>
          <cell r="Q217" t="e">
            <v>#REF!</v>
          </cell>
          <cell r="R217" t="e">
            <v>#REF!</v>
          </cell>
          <cell r="S217" t="e">
            <v>#REF!</v>
          </cell>
          <cell r="T217" t="e">
            <v>#REF!</v>
          </cell>
          <cell r="U217" t="e">
            <v>#REF!</v>
          </cell>
          <cell r="V217" t="e">
            <v>#REF!</v>
          </cell>
          <cell r="W217" t="e">
            <v>#REF!</v>
          </cell>
          <cell r="X217" t="e">
            <v>#REF!</v>
          </cell>
          <cell r="Y217" t="e">
            <v>#REF!</v>
          </cell>
          <cell r="Z217" t="e">
            <v>#REF!</v>
          </cell>
          <cell r="AA217" t="e">
            <v>#REF!</v>
          </cell>
          <cell r="AB217" t="e">
            <v>#REF!</v>
          </cell>
          <cell r="AC217" t="e">
            <v>#REF!</v>
          </cell>
          <cell r="AD217" t="e">
            <v>#REF!</v>
          </cell>
          <cell r="AE217" t="e">
            <v>#REF!</v>
          </cell>
          <cell r="AF217" t="e">
            <v>#REF!</v>
          </cell>
          <cell r="AG217" t="e">
            <v>#REF!</v>
          </cell>
          <cell r="AH217" t="e">
            <v>#REF!</v>
          </cell>
          <cell r="AI217" t="e">
            <v>#REF!</v>
          </cell>
          <cell r="AJ217" t="e">
            <v>#REF!</v>
          </cell>
          <cell r="AK217" t="e">
            <v>#REF!</v>
          </cell>
          <cell r="AL217" t="e">
            <v>#REF!</v>
          </cell>
          <cell r="AM217" t="e">
            <v>#REF!</v>
          </cell>
          <cell r="AN217" t="e">
            <v>#REF!</v>
          </cell>
          <cell r="AO217" t="e">
            <v>#REF!</v>
          </cell>
          <cell r="AP217" t="e">
            <v>#REF!</v>
          </cell>
          <cell r="AQ217" t="e">
            <v>#REF!</v>
          </cell>
          <cell r="AR217" t="e">
            <v>#REF!</v>
          </cell>
          <cell r="AS217" t="e">
            <v>#REF!</v>
          </cell>
          <cell r="AT217" t="e">
            <v>#REF!</v>
          </cell>
          <cell r="AU217" t="e">
            <v>#REF!</v>
          </cell>
          <cell r="AV217" t="e">
            <v>#REF!</v>
          </cell>
          <cell r="AW217" t="e">
            <v>#REF!</v>
          </cell>
          <cell r="AX217" t="e">
            <v>#REF!</v>
          </cell>
          <cell r="AY217" t="e">
            <v>#REF!</v>
          </cell>
          <cell r="AZ217" t="e">
            <v>#REF!</v>
          </cell>
          <cell r="BA217" t="e">
            <v>#REF!</v>
          </cell>
          <cell r="BB217" t="e">
            <v>#REF!</v>
          </cell>
          <cell r="BC217" t="e">
            <v>#REF!</v>
          </cell>
          <cell r="BD217" t="e">
            <v>#REF!</v>
          </cell>
          <cell r="BE217" t="e">
            <v>#REF!</v>
          </cell>
          <cell r="BF217" t="e">
            <v>#REF!</v>
          </cell>
          <cell r="BG217" t="e">
            <v>#REF!</v>
          </cell>
          <cell r="BH217" t="e">
            <v>#REF!</v>
          </cell>
          <cell r="BI217" t="e">
            <v>#REF!</v>
          </cell>
          <cell r="BJ217" t="e">
            <v>#REF!</v>
          </cell>
          <cell r="BK217" t="e">
            <v>#REF!</v>
          </cell>
          <cell r="BL217" t="e">
            <v>#REF!</v>
          </cell>
          <cell r="BM217" t="e">
            <v>#REF!</v>
          </cell>
          <cell r="BN217" t="e">
            <v>#REF!</v>
          </cell>
          <cell r="BO217" t="e">
            <v>#REF!</v>
          </cell>
          <cell r="BP217" t="e">
            <v>#REF!</v>
          </cell>
          <cell r="BQ217" t="e">
            <v>#REF!</v>
          </cell>
          <cell r="BR217" t="e">
            <v>#REF!</v>
          </cell>
          <cell r="BS217" t="e">
            <v>#REF!</v>
          </cell>
          <cell r="BT217" t="e">
            <v>#REF!</v>
          </cell>
          <cell r="BU217" t="e">
            <v>#REF!</v>
          </cell>
        </row>
        <row r="218">
          <cell r="A218" t="str">
            <v>20402MD</v>
          </cell>
          <cell r="B218">
            <v>20402</v>
          </cell>
          <cell r="C218" t="str">
            <v>MD</v>
          </cell>
          <cell r="D218" t="e">
            <v>#REF!</v>
          </cell>
          <cell r="E218" t="e">
            <v>#REF!</v>
          </cell>
          <cell r="F218" t="e">
            <v>#REF!</v>
          </cell>
          <cell r="G218" t="str">
            <v>Y</v>
          </cell>
          <cell r="M218" t="e">
            <v>#REF!</v>
          </cell>
          <cell r="N218" t="e">
            <v>#REF!</v>
          </cell>
          <cell r="O218" t="e">
            <v>#REF!</v>
          </cell>
          <cell r="P218" t="e">
            <v>#REF!</v>
          </cell>
          <cell r="Q218" t="e">
            <v>#REF!</v>
          </cell>
          <cell r="R218" t="e">
            <v>#REF!</v>
          </cell>
          <cell r="S218" t="e">
            <v>#REF!</v>
          </cell>
          <cell r="T218" t="e">
            <v>#REF!</v>
          </cell>
          <cell r="U218" t="e">
            <v>#REF!</v>
          </cell>
          <cell r="V218" t="e">
            <v>#REF!</v>
          </cell>
          <cell r="W218" t="e">
            <v>#REF!</v>
          </cell>
          <cell r="X218" t="e">
            <v>#REF!</v>
          </cell>
          <cell r="Y218" t="e">
            <v>#REF!</v>
          </cell>
          <cell r="Z218" t="e">
            <v>#REF!</v>
          </cell>
          <cell r="AA218" t="e">
            <v>#REF!</v>
          </cell>
          <cell r="AB218" t="e">
            <v>#REF!</v>
          </cell>
          <cell r="AC218" t="e">
            <v>#REF!</v>
          </cell>
          <cell r="AD218" t="e">
            <v>#REF!</v>
          </cell>
          <cell r="AE218" t="e">
            <v>#REF!</v>
          </cell>
          <cell r="AF218" t="e">
            <v>#REF!</v>
          </cell>
          <cell r="AG218" t="e">
            <v>#REF!</v>
          </cell>
          <cell r="AH218" t="e">
            <v>#REF!</v>
          </cell>
          <cell r="AI218" t="e">
            <v>#REF!</v>
          </cell>
          <cell r="AJ218" t="e">
            <v>#REF!</v>
          </cell>
          <cell r="AK218" t="e">
            <v>#REF!</v>
          </cell>
          <cell r="AL218" t="e">
            <v>#REF!</v>
          </cell>
          <cell r="AM218" t="e">
            <v>#REF!</v>
          </cell>
          <cell r="AN218" t="e">
            <v>#REF!</v>
          </cell>
          <cell r="AO218" t="e">
            <v>#REF!</v>
          </cell>
          <cell r="AP218" t="e">
            <v>#REF!</v>
          </cell>
          <cell r="AQ218" t="e">
            <v>#REF!</v>
          </cell>
          <cell r="AR218" t="e">
            <v>#REF!</v>
          </cell>
          <cell r="AS218" t="e">
            <v>#REF!</v>
          </cell>
          <cell r="AT218" t="e">
            <v>#REF!</v>
          </cell>
          <cell r="AU218" t="e">
            <v>#REF!</v>
          </cell>
          <cell r="AV218" t="e">
            <v>#REF!</v>
          </cell>
          <cell r="AW218" t="e">
            <v>#REF!</v>
          </cell>
          <cell r="AX218" t="e">
            <v>#REF!</v>
          </cell>
          <cell r="AY218" t="e">
            <v>#REF!</v>
          </cell>
          <cell r="AZ218" t="e">
            <v>#REF!</v>
          </cell>
          <cell r="BA218" t="e">
            <v>#REF!</v>
          </cell>
          <cell r="BB218" t="e">
            <v>#REF!</v>
          </cell>
          <cell r="BC218" t="e">
            <v>#REF!</v>
          </cell>
          <cell r="BD218" t="e">
            <v>#REF!</v>
          </cell>
          <cell r="BE218" t="e">
            <v>#REF!</v>
          </cell>
          <cell r="BF218" t="e">
            <v>#REF!</v>
          </cell>
          <cell r="BG218" t="e">
            <v>#REF!</v>
          </cell>
          <cell r="BH218" t="e">
            <v>#REF!</v>
          </cell>
          <cell r="BI218" t="e">
            <v>#REF!</v>
          </cell>
          <cell r="BJ218" t="e">
            <v>#REF!</v>
          </cell>
          <cell r="BK218" t="e">
            <v>#REF!</v>
          </cell>
          <cell r="BL218" t="e">
            <v>#REF!</v>
          </cell>
          <cell r="BM218" t="e">
            <v>#REF!</v>
          </cell>
          <cell r="BN218" t="e">
            <v>#REF!</v>
          </cell>
          <cell r="BO218" t="e">
            <v>#REF!</v>
          </cell>
          <cell r="BP218" t="e">
            <v>#REF!</v>
          </cell>
          <cell r="BQ218" t="e">
            <v>#REF!</v>
          </cell>
          <cell r="BR218" t="e">
            <v>#REF!</v>
          </cell>
          <cell r="BS218" t="e">
            <v>#REF!</v>
          </cell>
          <cell r="BT218" t="e">
            <v>#REF!</v>
          </cell>
          <cell r="BU218" t="e">
            <v>#REF!</v>
          </cell>
        </row>
        <row r="219">
          <cell r="A219" t="str">
            <v>20403MD</v>
          </cell>
          <cell r="B219">
            <v>20403</v>
          </cell>
          <cell r="C219" t="str">
            <v>MD</v>
          </cell>
          <cell r="D219" t="str">
            <v>Exterior Lighting</v>
          </cell>
          <cell r="E219" t="str">
            <v>Improved Exterior Lighting Design</v>
          </cell>
          <cell r="F219" t="str">
            <v>C</v>
          </cell>
          <cell r="G219" t="str">
            <v>Y</v>
          </cell>
          <cell r="M219" t="str">
            <v>NC</v>
          </cell>
          <cell r="N219" t="str">
            <v>Unoptimized exterior lighting design</v>
          </cell>
          <cell r="O219">
            <v>2021</v>
          </cell>
          <cell r="P219">
            <v>2030</v>
          </cell>
          <cell r="Q219" t="str">
            <v>Small Office</v>
          </cell>
          <cell r="R219" t="str">
            <v/>
          </cell>
          <cell r="S219">
            <v>0</v>
          </cell>
          <cell r="T219">
            <v>0</v>
          </cell>
          <cell r="U219">
            <v>0</v>
          </cell>
          <cell r="V219">
            <v>0</v>
          </cell>
          <cell r="W219">
            <v>0.65526860162203659</v>
          </cell>
          <cell r="X219" t="str">
            <v>-</v>
          </cell>
          <cell r="Y219">
            <v>65</v>
          </cell>
          <cell r="Z219">
            <v>65</v>
          </cell>
          <cell r="AA219">
            <v>0</v>
          </cell>
          <cell r="AB219">
            <v>0</v>
          </cell>
          <cell r="AC219">
            <v>0</v>
          </cell>
          <cell r="AD219">
            <v>9.8892458225864316E-2</v>
          </cell>
          <cell r="AE219">
            <v>4</v>
          </cell>
          <cell r="AF219">
            <v>4</v>
          </cell>
          <cell r="AG219">
            <v>0</v>
          </cell>
          <cell r="AH219">
            <v>0</v>
          </cell>
          <cell r="AI219">
            <v>0</v>
          </cell>
          <cell r="AJ219">
            <v>0</v>
          </cell>
          <cell r="AK219">
            <v>0</v>
          </cell>
          <cell r="AL219" t="str">
            <v>-</v>
          </cell>
          <cell r="AM219" t="str">
            <v>-</v>
          </cell>
          <cell r="AN219" t="str">
            <v/>
          </cell>
          <cell r="AO219">
            <v>0</v>
          </cell>
          <cell r="AP219" t="str">
            <v>-</v>
          </cell>
          <cell r="AQ219">
            <v>0</v>
          </cell>
          <cell r="AR219" t="str">
            <v>-</v>
          </cell>
          <cell r="AS219">
            <v>0</v>
          </cell>
          <cell r="AT219" t="str">
            <v/>
          </cell>
          <cell r="AU219">
            <v>0</v>
          </cell>
          <cell r="AV219" t="str">
            <v>-</v>
          </cell>
          <cell r="AW219">
            <v>0</v>
          </cell>
          <cell r="AX219" t="str">
            <v>-</v>
          </cell>
          <cell r="AY219">
            <v>0</v>
          </cell>
          <cell r="AZ219" t="str">
            <v/>
          </cell>
          <cell r="BA219">
            <v>0</v>
          </cell>
          <cell r="BB219" t="str">
            <v>-</v>
          </cell>
          <cell r="BC219">
            <v>0</v>
          </cell>
          <cell r="BD219" t="str">
            <v>-</v>
          </cell>
          <cell r="BE219">
            <v>0</v>
          </cell>
          <cell r="BF219" t="str">
            <v/>
          </cell>
          <cell r="BG219">
            <v>0</v>
          </cell>
          <cell r="BH219" t="str">
            <v>-</v>
          </cell>
          <cell r="BI219">
            <v>0</v>
          </cell>
          <cell r="BJ219" t="str">
            <v>-</v>
          </cell>
          <cell r="BK219">
            <v>0</v>
          </cell>
          <cell r="BL219">
            <v>0</v>
          </cell>
          <cell r="BM219" t="str">
            <v>-</v>
          </cell>
          <cell r="BN219">
            <v>15</v>
          </cell>
          <cell r="BO219" t="str">
            <v/>
          </cell>
          <cell r="BP219">
            <v>0</v>
          </cell>
          <cell r="BQ219">
            <v>0</v>
          </cell>
          <cell r="BR219" t="str">
            <v>-</v>
          </cell>
          <cell r="BS219">
            <v>0</v>
          </cell>
          <cell r="BT219">
            <v>0</v>
          </cell>
          <cell r="BU219" t="str">
            <v>-</v>
          </cell>
        </row>
        <row r="220">
          <cell r="A220" t="str">
            <v>20404RET</v>
          </cell>
          <cell r="B220">
            <v>20404</v>
          </cell>
          <cell r="C220" t="str">
            <v>RET</v>
          </cell>
          <cell r="D220" t="str">
            <v>Exterior Lighting</v>
          </cell>
          <cell r="E220" t="str">
            <v>Exterior Lighting Controls</v>
          </cell>
          <cell r="F220" t="str">
            <v>C</v>
          </cell>
          <cell r="G220" t="str">
            <v>Y</v>
          </cell>
          <cell r="M220" t="str">
            <v>RET</v>
          </cell>
          <cell r="N220" t="str">
            <v>Existing exterior lighting controls</v>
          </cell>
          <cell r="O220">
            <v>2021</v>
          </cell>
          <cell r="P220">
            <v>2030</v>
          </cell>
          <cell r="Q220" t="str">
            <v>Small Office</v>
          </cell>
          <cell r="R220" t="str">
            <v/>
          </cell>
          <cell r="S220">
            <v>0</v>
          </cell>
          <cell r="T220">
            <v>0</v>
          </cell>
          <cell r="U220">
            <v>0</v>
          </cell>
          <cell r="V220">
            <v>0</v>
          </cell>
          <cell r="W220">
            <v>8.9969604863221891E-2</v>
          </cell>
          <cell r="X220" t="str">
            <v>-</v>
          </cell>
          <cell r="Y220" t="str">
            <v>3,64</v>
          </cell>
          <cell r="Z220" t="str">
            <v>3,64</v>
          </cell>
          <cell r="AA220">
            <v>0</v>
          </cell>
          <cell r="AB220">
            <v>0</v>
          </cell>
          <cell r="AC220">
            <v>0</v>
          </cell>
          <cell r="AD220">
            <v>0.17</v>
          </cell>
          <cell r="AE220">
            <v>64</v>
          </cell>
          <cell r="AF220">
            <v>64</v>
          </cell>
          <cell r="AG220">
            <v>0</v>
          </cell>
          <cell r="AH220">
            <v>0</v>
          </cell>
          <cell r="AI220">
            <v>0</v>
          </cell>
          <cell r="AJ220">
            <v>0</v>
          </cell>
          <cell r="AK220">
            <v>0</v>
          </cell>
          <cell r="AL220" t="str">
            <v>-</v>
          </cell>
          <cell r="AM220" t="str">
            <v>-</v>
          </cell>
          <cell r="AN220" t="str">
            <v/>
          </cell>
          <cell r="AO220">
            <v>0</v>
          </cell>
          <cell r="AP220" t="str">
            <v>-</v>
          </cell>
          <cell r="AQ220">
            <v>0</v>
          </cell>
          <cell r="AR220" t="str">
            <v>-</v>
          </cell>
          <cell r="AS220">
            <v>0</v>
          </cell>
          <cell r="AT220" t="str">
            <v/>
          </cell>
          <cell r="AU220">
            <v>0</v>
          </cell>
          <cell r="AV220" t="str">
            <v>-</v>
          </cell>
          <cell r="AW220">
            <v>0</v>
          </cell>
          <cell r="AX220" t="str">
            <v>-</v>
          </cell>
          <cell r="AY220">
            <v>0</v>
          </cell>
          <cell r="AZ220" t="str">
            <v/>
          </cell>
          <cell r="BA220">
            <v>0</v>
          </cell>
          <cell r="BB220" t="str">
            <v>-</v>
          </cell>
          <cell r="BC220">
            <v>0</v>
          </cell>
          <cell r="BD220" t="str">
            <v>-</v>
          </cell>
          <cell r="BE220">
            <v>0</v>
          </cell>
          <cell r="BF220" t="str">
            <v/>
          </cell>
          <cell r="BG220">
            <v>0</v>
          </cell>
          <cell r="BH220" t="str">
            <v>-</v>
          </cell>
          <cell r="BI220">
            <v>0</v>
          </cell>
          <cell r="BJ220" t="str">
            <v>-</v>
          </cell>
          <cell r="BK220">
            <v>0</v>
          </cell>
          <cell r="BL220">
            <v>0</v>
          </cell>
          <cell r="BM220" t="str">
            <v>-</v>
          </cell>
          <cell r="BN220">
            <v>8</v>
          </cell>
          <cell r="BO220" t="str">
            <v/>
          </cell>
          <cell r="BP220">
            <v>0</v>
          </cell>
          <cell r="BQ220">
            <v>0</v>
          </cell>
          <cell r="BR220" t="str">
            <v>-</v>
          </cell>
          <cell r="BS220">
            <v>0</v>
          </cell>
          <cell r="BT220">
            <v>0</v>
          </cell>
          <cell r="BU220" t="str">
            <v>-</v>
          </cell>
        </row>
        <row r="221">
          <cell r="A221" t="str">
            <v>20501RET</v>
          </cell>
          <cell r="B221">
            <v>20501</v>
          </cell>
          <cell r="C221" t="str">
            <v>RET</v>
          </cell>
          <cell r="D221" t="str">
            <v>Interior Lighting</v>
          </cell>
          <cell r="E221" t="str">
            <v>Replace Screw-in lamps with LEDs</v>
          </cell>
          <cell r="F221" t="str">
            <v>C</v>
          </cell>
          <cell r="G221" t="str">
            <v>N</v>
          </cell>
          <cell r="M221" t="str">
            <v>RET</v>
          </cell>
          <cell r="N221" t="str">
            <v>Incandescent or halogen incandescent screw-in lamp</v>
          </cell>
          <cell r="O221">
            <v>2021</v>
          </cell>
          <cell r="P221">
            <v>2030</v>
          </cell>
          <cell r="Q221" t="str">
            <v>Small Office</v>
          </cell>
          <cell r="R221" t="str">
            <v/>
          </cell>
          <cell r="S221">
            <v>0</v>
          </cell>
          <cell r="T221">
            <v>0</v>
          </cell>
          <cell r="U221">
            <v>0</v>
          </cell>
          <cell r="V221">
            <v>0</v>
          </cell>
          <cell r="W221">
            <v>0.71707024418886667</v>
          </cell>
          <cell r="X221" t="str">
            <v>-</v>
          </cell>
          <cell r="Y221" t="str">
            <v>7,8</v>
          </cell>
          <cell r="Z221" t="str">
            <v>7,8</v>
          </cell>
          <cell r="AA221">
            <v>0</v>
          </cell>
          <cell r="AB221">
            <v>0</v>
          </cell>
          <cell r="AC221">
            <v>0</v>
          </cell>
          <cell r="AD221">
            <v>1.2415829984577057E-2</v>
          </cell>
          <cell r="AE221">
            <v>8</v>
          </cell>
          <cell r="AF221">
            <v>8</v>
          </cell>
          <cell r="AG221">
            <v>1</v>
          </cell>
          <cell r="AH221">
            <v>0.66666666666666663</v>
          </cell>
          <cell r="AI221">
            <v>0</v>
          </cell>
          <cell r="AJ221">
            <v>1.6450974729564601E-3</v>
          </cell>
          <cell r="AK221">
            <v>1</v>
          </cell>
          <cell r="AL221" t="str">
            <v>-</v>
          </cell>
          <cell r="AM221" t="str">
            <v>-</v>
          </cell>
          <cell r="AN221" t="str">
            <v/>
          </cell>
          <cell r="AO221">
            <v>0</v>
          </cell>
          <cell r="AP221" t="str">
            <v>-</v>
          </cell>
          <cell r="AQ221">
            <v>0</v>
          </cell>
          <cell r="AR221" t="str">
            <v>-</v>
          </cell>
          <cell r="AS221">
            <v>0</v>
          </cell>
          <cell r="AT221" t="str">
            <v/>
          </cell>
          <cell r="AU221">
            <v>0</v>
          </cell>
          <cell r="AV221" t="str">
            <v>-</v>
          </cell>
          <cell r="AW221">
            <v>0</v>
          </cell>
          <cell r="AX221" t="str">
            <v>-</v>
          </cell>
          <cell r="AY221">
            <v>0</v>
          </cell>
          <cell r="AZ221" t="str">
            <v/>
          </cell>
          <cell r="BA221">
            <v>0</v>
          </cell>
          <cell r="BB221" t="str">
            <v>-</v>
          </cell>
          <cell r="BC221">
            <v>0</v>
          </cell>
          <cell r="BD221" t="str">
            <v>-</v>
          </cell>
          <cell r="BE221">
            <v>0</v>
          </cell>
          <cell r="BF221" t="str">
            <v/>
          </cell>
          <cell r="BG221">
            <v>0</v>
          </cell>
          <cell r="BH221" t="str">
            <v>-</v>
          </cell>
          <cell r="BI221">
            <v>0</v>
          </cell>
          <cell r="BJ221" t="str">
            <v>-</v>
          </cell>
          <cell r="BK221">
            <v>0</v>
          </cell>
          <cell r="BL221">
            <v>1.3363817403368217E-2</v>
          </cell>
          <cell r="BM221" t="str">
            <v>-</v>
          </cell>
          <cell r="BN221">
            <v>1</v>
          </cell>
          <cell r="BO221" t="str">
            <v/>
          </cell>
          <cell r="BP221">
            <v>0</v>
          </cell>
          <cell r="BQ221">
            <v>0</v>
          </cell>
          <cell r="BR221" t="str">
            <v>-</v>
          </cell>
          <cell r="BS221">
            <v>0</v>
          </cell>
          <cell r="BT221">
            <v>0</v>
          </cell>
          <cell r="BU221" t="str">
            <v>-</v>
          </cell>
        </row>
        <row r="222">
          <cell r="A222" t="str">
            <v>20501MD</v>
          </cell>
          <cell r="B222">
            <v>20501</v>
          </cell>
          <cell r="C222" t="str">
            <v>MD</v>
          </cell>
          <cell r="D222" t="str">
            <v>Interior Lighting</v>
          </cell>
          <cell r="E222" t="str">
            <v>Replace Screw-in lamps with LEDs</v>
          </cell>
          <cell r="F222" t="str">
            <v>C</v>
          </cell>
          <cell r="G222" t="str">
            <v>N</v>
          </cell>
          <cell r="M222" t="str">
            <v>NC, REPL</v>
          </cell>
          <cell r="N222" t="str">
            <v>Incandescent or halogen incandescent screw-in lamp</v>
          </cell>
          <cell r="O222">
            <v>2021</v>
          </cell>
          <cell r="P222">
            <v>2030</v>
          </cell>
          <cell r="Q222" t="str">
            <v>Small Office</v>
          </cell>
          <cell r="R222" t="str">
            <v/>
          </cell>
          <cell r="S222">
            <v>0</v>
          </cell>
          <cell r="T222">
            <v>0</v>
          </cell>
          <cell r="U222">
            <v>0</v>
          </cell>
          <cell r="V222">
            <v>0</v>
          </cell>
          <cell r="W222">
            <v>0.71707024418886667</v>
          </cell>
          <cell r="X222" t="str">
            <v>-</v>
          </cell>
          <cell r="Y222" t="str">
            <v>7,8</v>
          </cell>
          <cell r="Z222" t="str">
            <v>7,8</v>
          </cell>
          <cell r="AA222">
            <v>0</v>
          </cell>
          <cell r="AB222">
            <v>0</v>
          </cell>
          <cell r="AC222">
            <v>0</v>
          </cell>
          <cell r="AD222">
            <v>7.7210942716588564E-3</v>
          </cell>
          <cell r="AE222">
            <v>8</v>
          </cell>
          <cell r="AF222">
            <v>8</v>
          </cell>
          <cell r="AG222">
            <v>0</v>
          </cell>
          <cell r="AH222">
            <v>0</v>
          </cell>
          <cell r="AI222">
            <v>0</v>
          </cell>
          <cell r="AJ222">
            <v>0</v>
          </cell>
          <cell r="AK222">
            <v>0</v>
          </cell>
          <cell r="AL222" t="str">
            <v>-</v>
          </cell>
          <cell r="AM222" t="str">
            <v>-</v>
          </cell>
          <cell r="AN222" t="str">
            <v/>
          </cell>
          <cell r="AO222">
            <v>0</v>
          </cell>
          <cell r="AP222" t="str">
            <v>-</v>
          </cell>
          <cell r="AQ222">
            <v>0</v>
          </cell>
          <cell r="AR222" t="str">
            <v>-</v>
          </cell>
          <cell r="AS222">
            <v>0</v>
          </cell>
          <cell r="AT222" t="str">
            <v/>
          </cell>
          <cell r="AU222">
            <v>0</v>
          </cell>
          <cell r="AV222" t="str">
            <v>-</v>
          </cell>
          <cell r="AW222">
            <v>0</v>
          </cell>
          <cell r="AX222" t="str">
            <v>-</v>
          </cell>
          <cell r="AY222">
            <v>0</v>
          </cell>
          <cell r="AZ222" t="str">
            <v/>
          </cell>
          <cell r="BA222">
            <v>0</v>
          </cell>
          <cell r="BB222" t="str">
            <v>-</v>
          </cell>
          <cell r="BC222">
            <v>0</v>
          </cell>
          <cell r="BD222" t="str">
            <v>-</v>
          </cell>
          <cell r="BE222">
            <v>0</v>
          </cell>
          <cell r="BF222" t="str">
            <v/>
          </cell>
          <cell r="BG222">
            <v>0</v>
          </cell>
          <cell r="BH222" t="str">
            <v>-</v>
          </cell>
          <cell r="BI222">
            <v>0</v>
          </cell>
          <cell r="BJ222" t="str">
            <v>-</v>
          </cell>
          <cell r="BK222">
            <v>0</v>
          </cell>
          <cell r="BL222">
            <v>1.3363817403368217E-2</v>
          </cell>
          <cell r="BM222" t="str">
            <v>-</v>
          </cell>
          <cell r="BN222">
            <v>1</v>
          </cell>
          <cell r="BO222" t="str">
            <v/>
          </cell>
          <cell r="BP222">
            <v>0</v>
          </cell>
          <cell r="BQ222">
            <v>0</v>
          </cell>
          <cell r="BR222" t="str">
            <v>-</v>
          </cell>
          <cell r="BS222">
            <v>0</v>
          </cell>
          <cell r="BT222">
            <v>0</v>
          </cell>
          <cell r="BU222" t="str">
            <v>-</v>
          </cell>
        </row>
        <row r="223">
          <cell r="A223" t="str">
            <v>20502RET</v>
          </cell>
          <cell r="B223">
            <v>20502</v>
          </cell>
          <cell r="C223" t="str">
            <v>RET</v>
          </cell>
          <cell r="D223" t="str">
            <v>Interior Lighting</v>
          </cell>
          <cell r="E223" t="str">
            <v>Replace Screw-in lamps with LEDs</v>
          </cell>
          <cell r="F223" t="str">
            <v>C</v>
          </cell>
          <cell r="G223" t="str">
            <v>N</v>
          </cell>
          <cell r="M223" t="str">
            <v>RET</v>
          </cell>
          <cell r="N223" t="str">
            <v>Incandescent or halogen incandescent screw-in lamp</v>
          </cell>
          <cell r="O223">
            <v>2021</v>
          </cell>
          <cell r="P223">
            <v>2030</v>
          </cell>
          <cell r="Q223" t="str">
            <v>Small Office</v>
          </cell>
          <cell r="R223" t="str">
            <v/>
          </cell>
          <cell r="S223">
            <v>0</v>
          </cell>
          <cell r="T223">
            <v>0</v>
          </cell>
          <cell r="U223">
            <v>0</v>
          </cell>
          <cell r="V223">
            <v>0</v>
          </cell>
          <cell r="W223">
            <v>0.61042787795141984</v>
          </cell>
          <cell r="X223" t="str">
            <v>-</v>
          </cell>
          <cell r="Y223" t="str">
            <v>7,8</v>
          </cell>
          <cell r="Z223" t="str">
            <v>7,8</v>
          </cell>
          <cell r="AA223">
            <v>0</v>
          </cell>
          <cell r="AB223">
            <v>0</v>
          </cell>
          <cell r="AC223">
            <v>0</v>
          </cell>
          <cell r="AD223">
            <v>1.4588241581145783E-2</v>
          </cell>
          <cell r="AE223">
            <v>8</v>
          </cell>
          <cell r="AF223">
            <v>8</v>
          </cell>
          <cell r="AG223">
            <v>1</v>
          </cell>
          <cell r="AH223">
            <v>0.66666666666666652</v>
          </cell>
          <cell r="AI223">
            <v>0</v>
          </cell>
          <cell r="AJ223">
            <v>1.9329420095018162E-3</v>
          </cell>
          <cell r="AK223">
            <v>1</v>
          </cell>
          <cell r="AL223" t="str">
            <v>-</v>
          </cell>
          <cell r="AM223" t="str">
            <v>-</v>
          </cell>
          <cell r="AN223" t="str">
            <v/>
          </cell>
          <cell r="AO223">
            <v>0</v>
          </cell>
          <cell r="AP223" t="str">
            <v>-</v>
          </cell>
          <cell r="AQ223">
            <v>0</v>
          </cell>
          <cell r="AR223" t="str">
            <v>-</v>
          </cell>
          <cell r="AS223">
            <v>0</v>
          </cell>
          <cell r="AT223" t="str">
            <v/>
          </cell>
          <cell r="AU223">
            <v>0</v>
          </cell>
          <cell r="AV223" t="str">
            <v>-</v>
          </cell>
          <cell r="AW223">
            <v>0</v>
          </cell>
          <cell r="AX223" t="str">
            <v>-</v>
          </cell>
          <cell r="AY223">
            <v>0</v>
          </cell>
          <cell r="AZ223" t="str">
            <v/>
          </cell>
          <cell r="BA223">
            <v>0</v>
          </cell>
          <cell r="BB223" t="str">
            <v>-</v>
          </cell>
          <cell r="BC223">
            <v>0</v>
          </cell>
          <cell r="BD223" t="str">
            <v>-</v>
          </cell>
          <cell r="BE223">
            <v>0</v>
          </cell>
          <cell r="BF223" t="str">
            <v/>
          </cell>
          <cell r="BG223">
            <v>0</v>
          </cell>
          <cell r="BH223" t="str">
            <v>-</v>
          </cell>
          <cell r="BI223">
            <v>0</v>
          </cell>
          <cell r="BJ223" t="str">
            <v>-</v>
          </cell>
          <cell r="BK223">
            <v>0</v>
          </cell>
          <cell r="BL223">
            <v>1.5702099414121207E-2</v>
          </cell>
          <cell r="BM223" t="str">
            <v>-</v>
          </cell>
          <cell r="BN223">
            <v>1</v>
          </cell>
          <cell r="BO223" t="str">
            <v/>
          </cell>
          <cell r="BP223">
            <v>0</v>
          </cell>
          <cell r="BQ223">
            <v>0</v>
          </cell>
          <cell r="BR223" t="str">
            <v>-</v>
          </cell>
          <cell r="BS223">
            <v>0</v>
          </cell>
          <cell r="BT223">
            <v>0</v>
          </cell>
          <cell r="BU223" t="str">
            <v>-</v>
          </cell>
        </row>
        <row r="224">
          <cell r="A224" t="str">
            <v>20502MD</v>
          </cell>
          <cell r="B224">
            <v>20502</v>
          </cell>
          <cell r="C224" t="str">
            <v>MD</v>
          </cell>
          <cell r="D224" t="str">
            <v>Interior Lighting</v>
          </cell>
          <cell r="E224" t="str">
            <v>Replace Screw-in lamps with LEDs</v>
          </cell>
          <cell r="F224" t="str">
            <v>C</v>
          </cell>
          <cell r="G224" t="str">
            <v>N</v>
          </cell>
          <cell r="M224" t="str">
            <v>NC, REPL</v>
          </cell>
          <cell r="N224" t="str">
            <v>Incandescent or halogen incandescent screw-in lamp</v>
          </cell>
          <cell r="O224">
            <v>2021</v>
          </cell>
          <cell r="P224">
            <v>2030</v>
          </cell>
          <cell r="Q224" t="str">
            <v>Small Office</v>
          </cell>
          <cell r="R224" t="str">
            <v/>
          </cell>
          <cell r="S224">
            <v>0</v>
          </cell>
          <cell r="T224">
            <v>0</v>
          </cell>
          <cell r="U224">
            <v>0</v>
          </cell>
          <cell r="V224">
            <v>0</v>
          </cell>
          <cell r="W224">
            <v>0.61042787795141984</v>
          </cell>
          <cell r="X224" t="str">
            <v>-</v>
          </cell>
          <cell r="Y224" t="str">
            <v>7,8</v>
          </cell>
          <cell r="Z224" t="str">
            <v>7,8</v>
          </cell>
          <cell r="AA224">
            <v>0</v>
          </cell>
          <cell r="AB224">
            <v>0</v>
          </cell>
          <cell r="AC224">
            <v>0</v>
          </cell>
          <cell r="AD224">
            <v>9.0720627332750332E-3</v>
          </cell>
          <cell r="AE224">
            <v>8</v>
          </cell>
          <cell r="AF224">
            <v>8</v>
          </cell>
          <cell r="AG224">
            <v>0</v>
          </cell>
          <cell r="AH224">
            <v>0</v>
          </cell>
          <cell r="AI224">
            <v>0</v>
          </cell>
          <cell r="AJ224">
            <v>0</v>
          </cell>
          <cell r="AK224">
            <v>0</v>
          </cell>
          <cell r="AL224" t="str">
            <v>-</v>
          </cell>
          <cell r="AM224" t="str">
            <v>-</v>
          </cell>
          <cell r="AN224" t="str">
            <v/>
          </cell>
          <cell r="AO224">
            <v>0</v>
          </cell>
          <cell r="AP224" t="str">
            <v>-</v>
          </cell>
          <cell r="AQ224">
            <v>0</v>
          </cell>
          <cell r="AR224" t="str">
            <v>-</v>
          </cell>
          <cell r="AS224">
            <v>0</v>
          </cell>
          <cell r="AT224" t="str">
            <v/>
          </cell>
          <cell r="AU224">
            <v>0</v>
          </cell>
          <cell r="AV224" t="str">
            <v>-</v>
          </cell>
          <cell r="AW224">
            <v>0</v>
          </cell>
          <cell r="AX224" t="str">
            <v>-</v>
          </cell>
          <cell r="AY224">
            <v>0</v>
          </cell>
          <cell r="AZ224" t="str">
            <v/>
          </cell>
          <cell r="BA224">
            <v>0</v>
          </cell>
          <cell r="BB224" t="str">
            <v>-</v>
          </cell>
          <cell r="BC224">
            <v>0</v>
          </cell>
          <cell r="BD224" t="str">
            <v>-</v>
          </cell>
          <cell r="BE224">
            <v>0</v>
          </cell>
          <cell r="BF224" t="str">
            <v/>
          </cell>
          <cell r="BG224">
            <v>0</v>
          </cell>
          <cell r="BH224" t="str">
            <v>-</v>
          </cell>
          <cell r="BI224">
            <v>0</v>
          </cell>
          <cell r="BJ224" t="str">
            <v>-</v>
          </cell>
          <cell r="BK224">
            <v>0</v>
          </cell>
          <cell r="BL224">
            <v>1.5702099414121207E-2</v>
          </cell>
          <cell r="BM224" t="str">
            <v>-</v>
          </cell>
          <cell r="BN224">
            <v>1</v>
          </cell>
          <cell r="BO224" t="str">
            <v/>
          </cell>
          <cell r="BP224">
            <v>0</v>
          </cell>
          <cell r="BQ224">
            <v>0</v>
          </cell>
          <cell r="BR224" t="str">
            <v>-</v>
          </cell>
          <cell r="BS224">
            <v>0</v>
          </cell>
          <cell r="BT224">
            <v>0</v>
          </cell>
          <cell r="BU224" t="str">
            <v>-</v>
          </cell>
        </row>
        <row r="225">
          <cell r="A225" t="str">
            <v>20503RET</v>
          </cell>
          <cell r="B225">
            <v>20503</v>
          </cell>
          <cell r="C225" t="str">
            <v>RET</v>
          </cell>
          <cell r="D225" t="str">
            <v>Interior Lighting</v>
          </cell>
          <cell r="E225" t="str">
            <v>Replace Screw-in lamps with LEDs with Gas Secondary Fuel</v>
          </cell>
          <cell r="F225" t="str">
            <v>C</v>
          </cell>
          <cell r="G225" t="str">
            <v>N</v>
          </cell>
          <cell r="M225" t="str">
            <v>RET</v>
          </cell>
          <cell r="N225" t="str">
            <v>Incandescent or halogen incandescent screw-in lamp</v>
          </cell>
          <cell r="O225">
            <v>2021</v>
          </cell>
          <cell r="P225">
            <v>2030</v>
          </cell>
          <cell r="Q225" t="str">
            <v>Small Office</v>
          </cell>
          <cell r="R225" t="str">
            <v/>
          </cell>
          <cell r="S225">
            <v>0</v>
          </cell>
          <cell r="T225">
            <v>0</v>
          </cell>
          <cell r="U225">
            <v>0</v>
          </cell>
          <cell r="V225">
            <v>0</v>
          </cell>
          <cell r="W225">
            <v>0.73448103019609368</v>
          </cell>
          <cell r="X225" t="str">
            <v>-</v>
          </cell>
          <cell r="Y225" t="str">
            <v>7,8</v>
          </cell>
          <cell r="Z225" t="str">
            <v>7,8</v>
          </cell>
          <cell r="AA225">
            <v>0</v>
          </cell>
          <cell r="AB225">
            <v>0</v>
          </cell>
          <cell r="AC225">
            <v>0</v>
          </cell>
          <cell r="AD225">
            <v>1.2123432408437556E-2</v>
          </cell>
          <cell r="AE225">
            <v>8</v>
          </cell>
          <cell r="AF225">
            <v>8</v>
          </cell>
          <cell r="AG225">
            <v>1</v>
          </cell>
          <cell r="AH225">
            <v>0.66666666666666663</v>
          </cell>
          <cell r="AI225">
            <v>0</v>
          </cell>
          <cell r="AJ225">
            <v>1.6063547941179762E-3</v>
          </cell>
          <cell r="AK225">
            <v>1</v>
          </cell>
          <cell r="AL225" t="str">
            <v>-</v>
          </cell>
          <cell r="AM225" t="str">
            <v>-</v>
          </cell>
          <cell r="AN225" t="str">
            <v/>
          </cell>
          <cell r="AO225">
            <v>0</v>
          </cell>
          <cell r="AP225" t="str">
            <v>-</v>
          </cell>
          <cell r="AQ225">
            <v>0</v>
          </cell>
          <cell r="AR225" t="str">
            <v>-</v>
          </cell>
          <cell r="AS225">
            <v>0</v>
          </cell>
          <cell r="AT225" t="str">
            <v/>
          </cell>
          <cell r="AU225">
            <v>0</v>
          </cell>
          <cell r="AV225" t="str">
            <v>-</v>
          </cell>
          <cell r="AW225">
            <v>0</v>
          </cell>
          <cell r="AX225" t="str">
            <v>-</v>
          </cell>
          <cell r="AY225">
            <v>0</v>
          </cell>
          <cell r="AZ225" t="str">
            <v/>
          </cell>
          <cell r="BA225">
            <v>0</v>
          </cell>
          <cell r="BB225" t="str">
            <v>-</v>
          </cell>
          <cell r="BC225">
            <v>0</v>
          </cell>
          <cell r="BD225" t="str">
            <v>-</v>
          </cell>
          <cell r="BE225">
            <v>0</v>
          </cell>
          <cell r="BF225" t="str">
            <v/>
          </cell>
          <cell r="BG225">
            <v>0</v>
          </cell>
          <cell r="BH225" t="str">
            <v>-</v>
          </cell>
          <cell r="BI225">
            <v>0</v>
          </cell>
          <cell r="BJ225" t="str">
            <v>-</v>
          </cell>
          <cell r="BK225">
            <v>0</v>
          </cell>
          <cell r="BL225">
            <v>1.3049094358548039E-2</v>
          </cell>
          <cell r="BM225" t="str">
            <v>-</v>
          </cell>
          <cell r="BN225">
            <v>1</v>
          </cell>
          <cell r="BO225" t="str">
            <v>G</v>
          </cell>
          <cell r="BP225">
            <v>0</v>
          </cell>
          <cell r="BQ225">
            <v>0</v>
          </cell>
          <cell r="BR225" t="str">
            <v>-</v>
          </cell>
          <cell r="BS225">
            <v>0</v>
          </cell>
          <cell r="BT225">
            <v>0</v>
          </cell>
          <cell r="BU225" t="str">
            <v>-</v>
          </cell>
        </row>
        <row r="226">
          <cell r="A226" t="str">
            <v>20503MD</v>
          </cell>
          <cell r="B226">
            <v>20503</v>
          </cell>
          <cell r="C226" t="str">
            <v>MD</v>
          </cell>
          <cell r="D226" t="str">
            <v>Interior Lighting</v>
          </cell>
          <cell r="E226" t="str">
            <v>Replace Screw-in lamps with LEDs with Gas Secondary Fuel</v>
          </cell>
          <cell r="F226" t="str">
            <v>C</v>
          </cell>
          <cell r="G226" t="str">
            <v>N</v>
          </cell>
          <cell r="M226" t="str">
            <v>NC, REPL</v>
          </cell>
          <cell r="N226" t="str">
            <v>Incandescent or halogen incandescent screw-in lamp</v>
          </cell>
          <cell r="O226">
            <v>2021</v>
          </cell>
          <cell r="P226">
            <v>2030</v>
          </cell>
          <cell r="Q226" t="str">
            <v>Small Office</v>
          </cell>
          <cell r="R226" t="str">
            <v/>
          </cell>
          <cell r="S226">
            <v>0</v>
          </cell>
          <cell r="T226">
            <v>0</v>
          </cell>
          <cell r="U226">
            <v>0</v>
          </cell>
          <cell r="V226">
            <v>0</v>
          </cell>
          <cell r="W226">
            <v>0.73448103019609368</v>
          </cell>
          <cell r="X226" t="str">
            <v>-</v>
          </cell>
          <cell r="Y226" t="str">
            <v>7,8</v>
          </cell>
          <cell r="Z226" t="str">
            <v>7,8</v>
          </cell>
          <cell r="AA226">
            <v>0</v>
          </cell>
          <cell r="AB226">
            <v>0</v>
          </cell>
          <cell r="AC226">
            <v>0</v>
          </cell>
          <cell r="AD226">
            <v>7.5392595289971052E-3</v>
          </cell>
          <cell r="AE226">
            <v>8</v>
          </cell>
          <cell r="AF226">
            <v>8</v>
          </cell>
          <cell r="AG226">
            <v>0</v>
          </cell>
          <cell r="AH226">
            <v>0</v>
          </cell>
          <cell r="AI226">
            <v>0</v>
          </cell>
          <cell r="AJ226">
            <v>0</v>
          </cell>
          <cell r="AK226">
            <v>0</v>
          </cell>
          <cell r="AL226" t="str">
            <v>-</v>
          </cell>
          <cell r="AM226" t="str">
            <v>-</v>
          </cell>
          <cell r="AN226" t="str">
            <v/>
          </cell>
          <cell r="AO226">
            <v>0</v>
          </cell>
          <cell r="AP226" t="str">
            <v>-</v>
          </cell>
          <cell r="AQ226">
            <v>0</v>
          </cell>
          <cell r="AR226" t="str">
            <v>-</v>
          </cell>
          <cell r="AS226">
            <v>0</v>
          </cell>
          <cell r="AT226" t="str">
            <v/>
          </cell>
          <cell r="AU226">
            <v>0</v>
          </cell>
          <cell r="AV226" t="str">
            <v>-</v>
          </cell>
          <cell r="AW226">
            <v>0</v>
          </cell>
          <cell r="AX226" t="str">
            <v>-</v>
          </cell>
          <cell r="AY226">
            <v>0</v>
          </cell>
          <cell r="AZ226" t="str">
            <v/>
          </cell>
          <cell r="BA226">
            <v>0</v>
          </cell>
          <cell r="BB226" t="str">
            <v>-</v>
          </cell>
          <cell r="BC226">
            <v>0</v>
          </cell>
          <cell r="BD226" t="str">
            <v>-</v>
          </cell>
          <cell r="BE226">
            <v>0</v>
          </cell>
          <cell r="BF226" t="str">
            <v/>
          </cell>
          <cell r="BG226">
            <v>0</v>
          </cell>
          <cell r="BH226" t="str">
            <v>-</v>
          </cell>
          <cell r="BI226">
            <v>0</v>
          </cell>
          <cell r="BJ226" t="str">
            <v>-</v>
          </cell>
          <cell r="BK226">
            <v>0</v>
          </cell>
          <cell r="BL226">
            <v>1.3049094358548039E-2</v>
          </cell>
          <cell r="BM226" t="str">
            <v>-</v>
          </cell>
          <cell r="BN226">
            <v>1</v>
          </cell>
          <cell r="BO226" t="str">
            <v>G</v>
          </cell>
          <cell r="BP226">
            <v>0</v>
          </cell>
          <cell r="BQ226">
            <v>0</v>
          </cell>
          <cell r="BR226" t="str">
            <v>-</v>
          </cell>
          <cell r="BS226">
            <v>0</v>
          </cell>
          <cell r="BT226">
            <v>0</v>
          </cell>
          <cell r="BU226" t="str">
            <v>-</v>
          </cell>
        </row>
        <row r="227">
          <cell r="A227" t="str">
            <v>20504RET</v>
          </cell>
          <cell r="B227">
            <v>20504</v>
          </cell>
          <cell r="C227" t="str">
            <v>RET</v>
          </cell>
          <cell r="D227" t="str">
            <v>Interior Lighting</v>
          </cell>
          <cell r="E227" t="str">
            <v>Replace Pin-base CFLs w/ LEDs</v>
          </cell>
          <cell r="F227" t="str">
            <v>C</v>
          </cell>
          <cell r="G227" t="str">
            <v>N</v>
          </cell>
          <cell r="M227" t="str">
            <v>RET</v>
          </cell>
          <cell r="N227" t="str">
            <v>CFL pin-base lamps</v>
          </cell>
          <cell r="O227">
            <v>2021</v>
          </cell>
          <cell r="P227">
            <v>2030</v>
          </cell>
          <cell r="Q227" t="str">
            <v>Small Office</v>
          </cell>
          <cell r="R227" t="str">
            <v/>
          </cell>
          <cell r="S227">
            <v>0</v>
          </cell>
          <cell r="T227">
            <v>0</v>
          </cell>
          <cell r="U227">
            <v>0</v>
          </cell>
          <cell r="V227">
            <v>0</v>
          </cell>
          <cell r="W227">
            <v>0.42166666666666675</v>
          </cell>
          <cell r="X227" t="str">
            <v>-</v>
          </cell>
          <cell r="Y227" t="str">
            <v>7,8</v>
          </cell>
          <cell r="Z227" t="str">
            <v>7,8</v>
          </cell>
          <cell r="AA227">
            <v>0</v>
          </cell>
          <cell r="AB227">
            <v>0</v>
          </cell>
          <cell r="AC227">
            <v>0</v>
          </cell>
          <cell r="AD227">
            <v>0.60293428016346207</v>
          </cell>
          <cell r="AE227">
            <v>8</v>
          </cell>
          <cell r="AF227">
            <v>8</v>
          </cell>
          <cell r="AG227">
            <v>0</v>
          </cell>
          <cell r="AH227">
            <v>0</v>
          </cell>
          <cell r="AI227">
            <v>0</v>
          </cell>
          <cell r="AJ227">
            <v>0</v>
          </cell>
          <cell r="AK227">
            <v>0</v>
          </cell>
          <cell r="AL227" t="str">
            <v>-</v>
          </cell>
          <cell r="AM227" t="str">
            <v>-</v>
          </cell>
          <cell r="AN227" t="str">
            <v/>
          </cell>
          <cell r="AO227">
            <v>0</v>
          </cell>
          <cell r="AP227" t="str">
            <v>-</v>
          </cell>
          <cell r="AQ227">
            <v>0</v>
          </cell>
          <cell r="AR227" t="str">
            <v>-</v>
          </cell>
          <cell r="AS227">
            <v>0</v>
          </cell>
          <cell r="AT227" t="str">
            <v/>
          </cell>
          <cell r="AU227">
            <v>0</v>
          </cell>
          <cell r="AV227" t="str">
            <v>-</v>
          </cell>
          <cell r="AW227">
            <v>0</v>
          </cell>
          <cell r="AX227" t="str">
            <v>-</v>
          </cell>
          <cell r="AY227">
            <v>0</v>
          </cell>
          <cell r="AZ227" t="str">
            <v/>
          </cell>
          <cell r="BA227">
            <v>0</v>
          </cell>
          <cell r="BB227" t="str">
            <v>-</v>
          </cell>
          <cell r="BC227">
            <v>0</v>
          </cell>
          <cell r="BD227" t="str">
            <v>-</v>
          </cell>
          <cell r="BE227">
            <v>0</v>
          </cell>
          <cell r="BF227" t="str">
            <v/>
          </cell>
          <cell r="BG227">
            <v>0</v>
          </cell>
          <cell r="BH227" t="str">
            <v>-</v>
          </cell>
          <cell r="BI227">
            <v>0</v>
          </cell>
          <cell r="BJ227" t="str">
            <v>-</v>
          </cell>
          <cell r="BK227">
            <v>0</v>
          </cell>
          <cell r="BL227">
            <v>0</v>
          </cell>
          <cell r="BM227" t="str">
            <v>-</v>
          </cell>
          <cell r="BN227">
            <v>15</v>
          </cell>
          <cell r="BO227" t="str">
            <v/>
          </cell>
          <cell r="BP227">
            <v>0</v>
          </cell>
          <cell r="BQ227">
            <v>0</v>
          </cell>
          <cell r="BR227" t="str">
            <v>-</v>
          </cell>
          <cell r="BS227">
            <v>0</v>
          </cell>
          <cell r="BT227">
            <v>0</v>
          </cell>
          <cell r="BU227" t="str">
            <v>-</v>
          </cell>
        </row>
        <row r="228">
          <cell r="A228" t="str">
            <v>20504MD</v>
          </cell>
          <cell r="B228">
            <v>20504</v>
          </cell>
          <cell r="C228" t="str">
            <v>MD</v>
          </cell>
          <cell r="D228" t="str">
            <v>Interior Lighting</v>
          </cell>
          <cell r="E228" t="str">
            <v>Replace Pin-base CFLs w/ LEDs</v>
          </cell>
          <cell r="F228" t="str">
            <v>C</v>
          </cell>
          <cell r="G228" t="str">
            <v>N</v>
          </cell>
          <cell r="M228" t="str">
            <v>REPL</v>
          </cell>
          <cell r="N228" t="str">
            <v>CFL pin-base lamps</v>
          </cell>
          <cell r="O228">
            <v>2021</v>
          </cell>
          <cell r="P228">
            <v>2030</v>
          </cell>
          <cell r="Q228" t="str">
            <v>Small Office</v>
          </cell>
          <cell r="R228" t="str">
            <v/>
          </cell>
          <cell r="S228">
            <v>0</v>
          </cell>
          <cell r="T228">
            <v>0</v>
          </cell>
          <cell r="U228">
            <v>0</v>
          </cell>
          <cell r="V228">
            <v>0</v>
          </cell>
          <cell r="W228">
            <v>0.42166666666666675</v>
          </cell>
          <cell r="X228" t="str">
            <v>-</v>
          </cell>
          <cell r="Y228" t="str">
            <v>7,8</v>
          </cell>
          <cell r="Z228" t="str">
            <v>7,8</v>
          </cell>
          <cell r="AA228">
            <v>0</v>
          </cell>
          <cell r="AB228">
            <v>0</v>
          </cell>
          <cell r="AC228">
            <v>0</v>
          </cell>
          <cell r="AD228">
            <v>0.60293428016346207</v>
          </cell>
          <cell r="AE228">
            <v>8</v>
          </cell>
          <cell r="AF228">
            <v>8</v>
          </cell>
          <cell r="AG228">
            <v>0</v>
          </cell>
          <cell r="AH228">
            <v>0</v>
          </cell>
          <cell r="AI228">
            <v>0</v>
          </cell>
          <cell r="AJ228">
            <v>0</v>
          </cell>
          <cell r="AK228">
            <v>0</v>
          </cell>
          <cell r="AL228" t="str">
            <v>-</v>
          </cell>
          <cell r="AM228" t="str">
            <v>-</v>
          </cell>
          <cell r="AN228" t="str">
            <v/>
          </cell>
          <cell r="AO228">
            <v>0</v>
          </cell>
          <cell r="AP228" t="str">
            <v>-</v>
          </cell>
          <cell r="AQ228">
            <v>0</v>
          </cell>
          <cell r="AR228" t="str">
            <v>-</v>
          </cell>
          <cell r="AS228">
            <v>0</v>
          </cell>
          <cell r="AT228" t="str">
            <v/>
          </cell>
          <cell r="AU228">
            <v>0</v>
          </cell>
          <cell r="AV228" t="str">
            <v>-</v>
          </cell>
          <cell r="AW228">
            <v>0</v>
          </cell>
          <cell r="AX228" t="str">
            <v>-</v>
          </cell>
          <cell r="AY228">
            <v>0</v>
          </cell>
          <cell r="AZ228" t="str">
            <v/>
          </cell>
          <cell r="BA228">
            <v>0</v>
          </cell>
          <cell r="BB228" t="str">
            <v>-</v>
          </cell>
          <cell r="BC228">
            <v>0</v>
          </cell>
          <cell r="BD228" t="str">
            <v>-</v>
          </cell>
          <cell r="BE228">
            <v>0</v>
          </cell>
          <cell r="BF228" t="str">
            <v/>
          </cell>
          <cell r="BG228">
            <v>0</v>
          </cell>
          <cell r="BH228" t="str">
            <v>-</v>
          </cell>
          <cell r="BI228">
            <v>0</v>
          </cell>
          <cell r="BJ228" t="str">
            <v>-</v>
          </cell>
          <cell r="BK228">
            <v>0</v>
          </cell>
          <cell r="BL228">
            <v>0</v>
          </cell>
          <cell r="BM228" t="str">
            <v>-</v>
          </cell>
          <cell r="BN228">
            <v>15</v>
          </cell>
          <cell r="BO228" t="str">
            <v/>
          </cell>
          <cell r="BP228">
            <v>0</v>
          </cell>
          <cell r="BQ228">
            <v>0</v>
          </cell>
          <cell r="BR228" t="str">
            <v>-</v>
          </cell>
          <cell r="BS228">
            <v>0</v>
          </cell>
          <cell r="BT228">
            <v>0</v>
          </cell>
          <cell r="BU228" t="str">
            <v>-</v>
          </cell>
        </row>
        <row r="229">
          <cell r="A229" t="str">
            <v>20505RET</v>
          </cell>
          <cell r="B229">
            <v>20505</v>
          </cell>
          <cell r="C229" t="str">
            <v>RET</v>
          </cell>
          <cell r="D229" t="str">
            <v>Interior Lighting</v>
          </cell>
          <cell r="E229" t="str">
            <v>Replace Pin-base CFLs w/ LEDs</v>
          </cell>
          <cell r="F229" t="str">
            <v>C</v>
          </cell>
          <cell r="G229" t="str">
            <v>N</v>
          </cell>
          <cell r="M229" t="str">
            <v>RET</v>
          </cell>
          <cell r="N229" t="str">
            <v>CFL pin-base lamps</v>
          </cell>
          <cell r="O229">
            <v>2021</v>
          </cell>
          <cell r="P229">
            <v>2030</v>
          </cell>
          <cell r="Q229" t="str">
            <v>Small Office</v>
          </cell>
          <cell r="R229" t="str">
            <v/>
          </cell>
          <cell r="S229">
            <v>0</v>
          </cell>
          <cell r="T229">
            <v>0</v>
          </cell>
          <cell r="U229">
            <v>0</v>
          </cell>
          <cell r="V229">
            <v>0</v>
          </cell>
          <cell r="W229">
            <v>0.34308333333333335</v>
          </cell>
          <cell r="X229" t="str">
            <v>-</v>
          </cell>
          <cell r="Y229" t="str">
            <v>7,8</v>
          </cell>
          <cell r="Z229" t="str">
            <v>7,8</v>
          </cell>
          <cell r="AA229">
            <v>0</v>
          </cell>
          <cell r="AB229">
            <v>0</v>
          </cell>
          <cell r="AC229">
            <v>0</v>
          </cell>
          <cell r="AD229">
            <v>0.7410365454522998</v>
          </cell>
          <cell r="AE229">
            <v>8</v>
          </cell>
          <cell r="AF229">
            <v>8</v>
          </cell>
          <cell r="AG229">
            <v>0</v>
          </cell>
          <cell r="AH229">
            <v>0</v>
          </cell>
          <cell r="AI229">
            <v>0</v>
          </cell>
          <cell r="AJ229">
            <v>0</v>
          </cell>
          <cell r="AK229">
            <v>0</v>
          </cell>
          <cell r="AL229" t="str">
            <v>-</v>
          </cell>
          <cell r="AM229" t="str">
            <v>-</v>
          </cell>
          <cell r="AN229" t="str">
            <v/>
          </cell>
          <cell r="AO229">
            <v>0</v>
          </cell>
          <cell r="AP229" t="str">
            <v>-</v>
          </cell>
          <cell r="AQ229">
            <v>0</v>
          </cell>
          <cell r="AR229" t="str">
            <v>-</v>
          </cell>
          <cell r="AS229">
            <v>0</v>
          </cell>
          <cell r="AT229" t="str">
            <v/>
          </cell>
          <cell r="AU229">
            <v>0</v>
          </cell>
          <cell r="AV229" t="str">
            <v>-</v>
          </cell>
          <cell r="AW229">
            <v>0</v>
          </cell>
          <cell r="AX229" t="str">
            <v>-</v>
          </cell>
          <cell r="AY229">
            <v>0</v>
          </cell>
          <cell r="AZ229" t="str">
            <v/>
          </cell>
          <cell r="BA229">
            <v>0</v>
          </cell>
          <cell r="BB229" t="str">
            <v>-</v>
          </cell>
          <cell r="BC229">
            <v>0</v>
          </cell>
          <cell r="BD229" t="str">
            <v>-</v>
          </cell>
          <cell r="BE229">
            <v>0</v>
          </cell>
          <cell r="BF229" t="str">
            <v/>
          </cell>
          <cell r="BG229">
            <v>0</v>
          </cell>
          <cell r="BH229" t="str">
            <v>-</v>
          </cell>
          <cell r="BI229">
            <v>0</v>
          </cell>
          <cell r="BJ229" t="str">
            <v>-</v>
          </cell>
          <cell r="BK229">
            <v>0</v>
          </cell>
          <cell r="BL229">
            <v>0</v>
          </cell>
          <cell r="BM229" t="str">
            <v>-</v>
          </cell>
          <cell r="BN229">
            <v>15</v>
          </cell>
          <cell r="BO229" t="str">
            <v/>
          </cell>
          <cell r="BP229">
            <v>0</v>
          </cell>
          <cell r="BQ229">
            <v>0</v>
          </cell>
          <cell r="BR229" t="str">
            <v>-</v>
          </cell>
          <cell r="BS229">
            <v>0</v>
          </cell>
          <cell r="BT229">
            <v>0</v>
          </cell>
          <cell r="BU229" t="str">
            <v>-</v>
          </cell>
        </row>
        <row r="230">
          <cell r="A230" t="str">
            <v>20505MD</v>
          </cell>
          <cell r="B230">
            <v>20505</v>
          </cell>
          <cell r="C230" t="str">
            <v>MD</v>
          </cell>
          <cell r="D230" t="str">
            <v>Interior Lighting</v>
          </cell>
          <cell r="E230" t="str">
            <v>Replace Pin-base CFLs w/ LEDs</v>
          </cell>
          <cell r="F230" t="str">
            <v>C</v>
          </cell>
          <cell r="G230" t="str">
            <v>N</v>
          </cell>
          <cell r="M230" t="str">
            <v>REPL</v>
          </cell>
          <cell r="N230" t="str">
            <v>CFL pin-base lamps</v>
          </cell>
          <cell r="O230">
            <v>2021</v>
          </cell>
          <cell r="P230">
            <v>2030</v>
          </cell>
          <cell r="Q230" t="str">
            <v>Small Office</v>
          </cell>
          <cell r="R230" t="str">
            <v/>
          </cell>
          <cell r="S230">
            <v>0</v>
          </cell>
          <cell r="T230">
            <v>0</v>
          </cell>
          <cell r="U230">
            <v>0</v>
          </cell>
          <cell r="V230">
            <v>0</v>
          </cell>
          <cell r="W230">
            <v>0.34308333333333335</v>
          </cell>
          <cell r="X230" t="str">
            <v>-</v>
          </cell>
          <cell r="Y230" t="str">
            <v>7,8</v>
          </cell>
          <cell r="Z230" t="str">
            <v>7,8</v>
          </cell>
          <cell r="AA230">
            <v>0</v>
          </cell>
          <cell r="AB230">
            <v>0</v>
          </cell>
          <cell r="AC230">
            <v>0</v>
          </cell>
          <cell r="AD230">
            <v>0.7410365454522998</v>
          </cell>
          <cell r="AE230">
            <v>8</v>
          </cell>
          <cell r="AF230">
            <v>8</v>
          </cell>
          <cell r="AG230">
            <v>0</v>
          </cell>
          <cell r="AH230">
            <v>0</v>
          </cell>
          <cell r="AI230">
            <v>0</v>
          </cell>
          <cell r="AJ230">
            <v>0</v>
          </cell>
          <cell r="AK230">
            <v>0</v>
          </cell>
          <cell r="AL230" t="str">
            <v>-</v>
          </cell>
          <cell r="AM230" t="str">
            <v>-</v>
          </cell>
          <cell r="AN230" t="str">
            <v/>
          </cell>
          <cell r="AO230">
            <v>0</v>
          </cell>
          <cell r="AP230" t="str">
            <v>-</v>
          </cell>
          <cell r="AQ230">
            <v>0</v>
          </cell>
          <cell r="AR230" t="str">
            <v>-</v>
          </cell>
          <cell r="AS230">
            <v>0</v>
          </cell>
          <cell r="AT230" t="str">
            <v/>
          </cell>
          <cell r="AU230">
            <v>0</v>
          </cell>
          <cell r="AV230" t="str">
            <v>-</v>
          </cell>
          <cell r="AW230">
            <v>0</v>
          </cell>
          <cell r="AX230" t="str">
            <v>-</v>
          </cell>
          <cell r="AY230">
            <v>0</v>
          </cell>
          <cell r="AZ230" t="str">
            <v/>
          </cell>
          <cell r="BA230">
            <v>0</v>
          </cell>
          <cell r="BB230" t="str">
            <v>-</v>
          </cell>
          <cell r="BC230">
            <v>0</v>
          </cell>
          <cell r="BD230" t="str">
            <v>-</v>
          </cell>
          <cell r="BE230">
            <v>0</v>
          </cell>
          <cell r="BF230" t="str">
            <v/>
          </cell>
          <cell r="BG230">
            <v>0</v>
          </cell>
          <cell r="BH230" t="str">
            <v>-</v>
          </cell>
          <cell r="BI230">
            <v>0</v>
          </cell>
          <cell r="BJ230" t="str">
            <v>-</v>
          </cell>
          <cell r="BK230">
            <v>0</v>
          </cell>
          <cell r="BL230">
            <v>0</v>
          </cell>
          <cell r="BM230" t="str">
            <v>-</v>
          </cell>
          <cell r="BN230">
            <v>15</v>
          </cell>
          <cell r="BO230" t="str">
            <v/>
          </cell>
          <cell r="BP230">
            <v>0</v>
          </cell>
          <cell r="BQ230">
            <v>0</v>
          </cell>
          <cell r="BR230" t="str">
            <v>-</v>
          </cell>
          <cell r="BS230">
            <v>0</v>
          </cell>
          <cell r="BT230">
            <v>0</v>
          </cell>
          <cell r="BU230" t="str">
            <v>-</v>
          </cell>
        </row>
        <row r="231">
          <cell r="A231" t="str">
            <v>20506RET</v>
          </cell>
          <cell r="B231">
            <v>20506</v>
          </cell>
          <cell r="C231" t="str">
            <v>RET</v>
          </cell>
          <cell r="D231" t="str">
            <v>Interior Lighting</v>
          </cell>
          <cell r="E231" t="str">
            <v>Replace Pin-base CFLs w/ LEDs with Gas Secondary Fuel</v>
          </cell>
          <cell r="F231" t="str">
            <v>C</v>
          </cell>
          <cell r="G231" t="str">
            <v>N</v>
          </cell>
          <cell r="M231" t="str">
            <v>RET</v>
          </cell>
          <cell r="N231" t="str">
            <v>CFL pin-base lamps</v>
          </cell>
          <cell r="O231">
            <v>2021</v>
          </cell>
          <cell r="P231">
            <v>2030</v>
          </cell>
          <cell r="Q231" t="str">
            <v>Small Office</v>
          </cell>
          <cell r="R231" t="str">
            <v/>
          </cell>
          <cell r="S231">
            <v>0</v>
          </cell>
          <cell r="T231">
            <v>0</v>
          </cell>
          <cell r="U231">
            <v>0</v>
          </cell>
          <cell r="V231">
            <v>0</v>
          </cell>
          <cell r="W231">
            <v>0.42166666666666675</v>
          </cell>
          <cell r="X231" t="str">
            <v>-</v>
          </cell>
          <cell r="Y231" t="str">
            <v>7,8</v>
          </cell>
          <cell r="Z231" t="str">
            <v>7,8</v>
          </cell>
          <cell r="AA231">
            <v>0</v>
          </cell>
          <cell r="AB231">
            <v>0</v>
          </cell>
          <cell r="AC231">
            <v>0</v>
          </cell>
          <cell r="AD231">
            <v>0.60293428016346207</v>
          </cell>
          <cell r="AE231">
            <v>8</v>
          </cell>
          <cell r="AF231">
            <v>8</v>
          </cell>
          <cell r="AG231">
            <v>0</v>
          </cell>
          <cell r="AH231">
            <v>0</v>
          </cell>
          <cell r="AI231">
            <v>0</v>
          </cell>
          <cell r="AJ231">
            <v>0</v>
          </cell>
          <cell r="AK231">
            <v>0</v>
          </cell>
          <cell r="AL231" t="str">
            <v>-</v>
          </cell>
          <cell r="AM231" t="str">
            <v>-</v>
          </cell>
          <cell r="AN231" t="str">
            <v/>
          </cell>
          <cell r="AO231">
            <v>0</v>
          </cell>
          <cell r="AP231" t="str">
            <v>-</v>
          </cell>
          <cell r="AQ231">
            <v>0</v>
          </cell>
          <cell r="AR231" t="str">
            <v>-</v>
          </cell>
          <cell r="AS231">
            <v>0</v>
          </cell>
          <cell r="AT231" t="str">
            <v/>
          </cell>
          <cell r="AU231">
            <v>0</v>
          </cell>
          <cell r="AV231" t="str">
            <v>-</v>
          </cell>
          <cell r="AW231">
            <v>0</v>
          </cell>
          <cell r="AX231" t="str">
            <v>-</v>
          </cell>
          <cell r="AY231">
            <v>0</v>
          </cell>
          <cell r="AZ231" t="str">
            <v/>
          </cell>
          <cell r="BA231">
            <v>0</v>
          </cell>
          <cell r="BB231" t="str">
            <v>-</v>
          </cell>
          <cell r="BC231">
            <v>0</v>
          </cell>
          <cell r="BD231" t="str">
            <v>-</v>
          </cell>
          <cell r="BE231">
            <v>0</v>
          </cell>
          <cell r="BF231" t="str">
            <v/>
          </cell>
          <cell r="BG231">
            <v>0</v>
          </cell>
          <cell r="BH231" t="str">
            <v>-</v>
          </cell>
          <cell r="BI231">
            <v>0</v>
          </cell>
          <cell r="BJ231" t="str">
            <v>-</v>
          </cell>
          <cell r="BK231">
            <v>0</v>
          </cell>
          <cell r="BL231">
            <v>0</v>
          </cell>
          <cell r="BM231" t="str">
            <v>-</v>
          </cell>
          <cell r="BN231">
            <v>15</v>
          </cell>
          <cell r="BO231" t="str">
            <v>G</v>
          </cell>
          <cell r="BP231">
            <v>0</v>
          </cell>
          <cell r="BQ231">
            <v>-5.9318181818181804E-5</v>
          </cell>
          <cell r="BR231" t="str">
            <v>-</v>
          </cell>
          <cell r="BS231">
            <v>0</v>
          </cell>
          <cell r="BT231">
            <v>0</v>
          </cell>
          <cell r="BU231" t="str">
            <v>-</v>
          </cell>
        </row>
        <row r="232">
          <cell r="A232" t="str">
            <v>20506MD</v>
          </cell>
          <cell r="B232">
            <v>20506</v>
          </cell>
          <cell r="C232" t="str">
            <v>MD</v>
          </cell>
          <cell r="D232" t="str">
            <v>Interior Lighting</v>
          </cell>
          <cell r="E232" t="str">
            <v>Replace Pin-base CFLs w/ LEDs with Gas Secondary Fuel</v>
          </cell>
          <cell r="F232" t="str">
            <v>C</v>
          </cell>
          <cell r="G232" t="str">
            <v>N</v>
          </cell>
          <cell r="M232" t="str">
            <v>REPL</v>
          </cell>
          <cell r="N232" t="str">
            <v>CFL pin-base lamps</v>
          </cell>
          <cell r="O232">
            <v>2021</v>
          </cell>
          <cell r="P232">
            <v>2030</v>
          </cell>
          <cell r="Q232" t="str">
            <v>Small Office</v>
          </cell>
          <cell r="R232" t="str">
            <v/>
          </cell>
          <cell r="S232">
            <v>0</v>
          </cell>
          <cell r="T232">
            <v>0</v>
          </cell>
          <cell r="U232">
            <v>0</v>
          </cell>
          <cell r="V232">
            <v>0</v>
          </cell>
          <cell r="W232">
            <v>0.42166666666666675</v>
          </cell>
          <cell r="X232" t="str">
            <v>-</v>
          </cell>
          <cell r="Y232" t="str">
            <v>7,8</v>
          </cell>
          <cell r="Z232" t="str">
            <v>7,8</v>
          </cell>
          <cell r="AA232">
            <v>0</v>
          </cell>
          <cell r="AB232">
            <v>0</v>
          </cell>
          <cell r="AC232">
            <v>0</v>
          </cell>
          <cell r="AD232">
            <v>0.60293428016346207</v>
          </cell>
          <cell r="AE232">
            <v>8</v>
          </cell>
          <cell r="AF232">
            <v>8</v>
          </cell>
          <cell r="AG232">
            <v>0</v>
          </cell>
          <cell r="AH232">
            <v>0</v>
          </cell>
          <cell r="AI232">
            <v>0</v>
          </cell>
          <cell r="AJ232">
            <v>0</v>
          </cell>
          <cell r="AK232">
            <v>0</v>
          </cell>
          <cell r="AL232" t="str">
            <v>-</v>
          </cell>
          <cell r="AM232" t="str">
            <v>-</v>
          </cell>
          <cell r="AN232" t="str">
            <v/>
          </cell>
          <cell r="AO232">
            <v>0</v>
          </cell>
          <cell r="AP232" t="str">
            <v>-</v>
          </cell>
          <cell r="AQ232">
            <v>0</v>
          </cell>
          <cell r="AR232" t="str">
            <v>-</v>
          </cell>
          <cell r="AS232">
            <v>0</v>
          </cell>
          <cell r="AT232" t="str">
            <v/>
          </cell>
          <cell r="AU232">
            <v>0</v>
          </cell>
          <cell r="AV232" t="str">
            <v>-</v>
          </cell>
          <cell r="AW232">
            <v>0</v>
          </cell>
          <cell r="AX232" t="str">
            <v>-</v>
          </cell>
          <cell r="AY232">
            <v>0</v>
          </cell>
          <cell r="AZ232" t="str">
            <v/>
          </cell>
          <cell r="BA232">
            <v>0</v>
          </cell>
          <cell r="BB232" t="str">
            <v>-</v>
          </cell>
          <cell r="BC232">
            <v>0</v>
          </cell>
          <cell r="BD232" t="str">
            <v>-</v>
          </cell>
          <cell r="BE232">
            <v>0</v>
          </cell>
          <cell r="BF232" t="str">
            <v/>
          </cell>
          <cell r="BG232">
            <v>0</v>
          </cell>
          <cell r="BH232" t="str">
            <v>-</v>
          </cell>
          <cell r="BI232">
            <v>0</v>
          </cell>
          <cell r="BJ232" t="str">
            <v>-</v>
          </cell>
          <cell r="BK232">
            <v>0</v>
          </cell>
          <cell r="BL232">
            <v>0</v>
          </cell>
          <cell r="BM232" t="str">
            <v>-</v>
          </cell>
          <cell r="BN232">
            <v>15</v>
          </cell>
          <cell r="BO232" t="str">
            <v>G</v>
          </cell>
          <cell r="BP232">
            <v>0</v>
          </cell>
          <cell r="BQ232">
            <v>-5.9318181818181804E-5</v>
          </cell>
          <cell r="BR232" t="str">
            <v>-</v>
          </cell>
          <cell r="BS232">
            <v>0</v>
          </cell>
          <cell r="BT232">
            <v>0</v>
          </cell>
          <cell r="BU232" t="str">
            <v>-</v>
          </cell>
        </row>
        <row r="233">
          <cell r="A233" t="str">
            <v>20507RET</v>
          </cell>
          <cell r="B233">
            <v>20507</v>
          </cell>
          <cell r="C233" t="str">
            <v>RET</v>
          </cell>
          <cell r="D233" t="str">
            <v>Interior Lighting</v>
          </cell>
          <cell r="E233" t="str">
            <v>LED Linear Fixtures</v>
          </cell>
          <cell r="F233" t="str">
            <v>C</v>
          </cell>
          <cell r="G233" t="str">
            <v>Y</v>
          </cell>
          <cell r="M233" t="str">
            <v>RET</v>
          </cell>
          <cell r="N233" t="str">
            <v>Average of typical T8 fluorescent fixtures</v>
          </cell>
          <cell r="O233">
            <v>2021</v>
          </cell>
          <cell r="P233">
            <v>2030</v>
          </cell>
          <cell r="Q233" t="str">
            <v>Small Office</v>
          </cell>
          <cell r="R233" t="str">
            <v/>
          </cell>
          <cell r="S233">
            <v>0</v>
          </cell>
          <cell r="T233">
            <v>0</v>
          </cell>
          <cell r="U233">
            <v>0</v>
          </cell>
          <cell r="V233">
            <v>0</v>
          </cell>
          <cell r="W233">
            <v>0.51253177733266941</v>
          </cell>
          <cell r="X233" t="str">
            <v>-</v>
          </cell>
          <cell r="Y233" t="str">
            <v>3,6,7,23,8</v>
          </cell>
          <cell r="Z233" t="str">
            <v>3,6,7,23,8</v>
          </cell>
          <cell r="AA233">
            <v>0</v>
          </cell>
          <cell r="AB233">
            <v>0</v>
          </cell>
          <cell r="AC233">
            <v>0</v>
          </cell>
          <cell r="AD233">
            <v>2.2523211197925868</v>
          </cell>
          <cell r="AE233">
            <v>4</v>
          </cell>
          <cell r="AF233">
            <v>4</v>
          </cell>
          <cell r="AG233">
            <v>15</v>
          </cell>
          <cell r="AH233">
            <v>10</v>
          </cell>
          <cell r="AI233">
            <v>0</v>
          </cell>
          <cell r="AJ233">
            <v>0.30214615057795785</v>
          </cell>
          <cell r="AK233">
            <v>1</v>
          </cell>
          <cell r="AL233" t="str">
            <v>-</v>
          </cell>
          <cell r="AM233" t="str">
            <v>-</v>
          </cell>
          <cell r="AN233" t="str">
            <v/>
          </cell>
          <cell r="AO233">
            <v>0</v>
          </cell>
          <cell r="AP233" t="str">
            <v>-</v>
          </cell>
          <cell r="AQ233">
            <v>0</v>
          </cell>
          <cell r="AR233" t="str">
            <v>-</v>
          </cell>
          <cell r="AS233">
            <v>0</v>
          </cell>
          <cell r="AT233" t="str">
            <v/>
          </cell>
          <cell r="AU233">
            <v>0</v>
          </cell>
          <cell r="AV233" t="str">
            <v>-</v>
          </cell>
          <cell r="AW233">
            <v>0</v>
          </cell>
          <cell r="AX233" t="str">
            <v>-</v>
          </cell>
          <cell r="AY233">
            <v>0</v>
          </cell>
          <cell r="AZ233" t="str">
            <v/>
          </cell>
          <cell r="BA233">
            <v>0</v>
          </cell>
          <cell r="BB233" t="str">
            <v>-</v>
          </cell>
          <cell r="BC233">
            <v>0</v>
          </cell>
          <cell r="BD233" t="str">
            <v>-</v>
          </cell>
          <cell r="BE233">
            <v>0</v>
          </cell>
          <cell r="BF233" t="str">
            <v/>
          </cell>
          <cell r="BG233">
            <v>0</v>
          </cell>
          <cell r="BH233" t="str">
            <v>-</v>
          </cell>
          <cell r="BI233">
            <v>0</v>
          </cell>
          <cell r="BJ233" t="str">
            <v>-</v>
          </cell>
          <cell r="BK233">
            <v>0</v>
          </cell>
          <cell r="BL233">
            <v>5.1994404090275247E-2</v>
          </cell>
          <cell r="BM233" t="str">
            <v>-</v>
          </cell>
          <cell r="BN233">
            <v>15</v>
          </cell>
          <cell r="BO233" t="str">
            <v/>
          </cell>
          <cell r="BP233">
            <v>0</v>
          </cell>
          <cell r="BQ233">
            <v>0</v>
          </cell>
          <cell r="BR233" t="str">
            <v>-</v>
          </cell>
          <cell r="BS233">
            <v>0</v>
          </cell>
          <cell r="BT233">
            <v>0</v>
          </cell>
          <cell r="BU233" t="str">
            <v>-</v>
          </cell>
        </row>
        <row r="234">
          <cell r="A234" t="str">
            <v>20507MD</v>
          </cell>
          <cell r="B234">
            <v>20507</v>
          </cell>
          <cell r="C234" t="str">
            <v>MD</v>
          </cell>
          <cell r="D234" t="str">
            <v>Interior Lighting</v>
          </cell>
          <cell r="E234" t="str">
            <v>LED Linear Fixtures</v>
          </cell>
          <cell r="F234" t="str">
            <v>C</v>
          </cell>
          <cell r="G234" t="str">
            <v>Y</v>
          </cell>
          <cell r="M234" t="str">
            <v>NC, REPL</v>
          </cell>
          <cell r="N234" t="str">
            <v>Average of typical T8 fluorescent fixtures</v>
          </cell>
          <cell r="O234">
            <v>2021</v>
          </cell>
          <cell r="P234">
            <v>2030</v>
          </cell>
          <cell r="Q234" t="str">
            <v>Small Office</v>
          </cell>
          <cell r="R234" t="str">
            <v/>
          </cell>
          <cell r="S234">
            <v>0</v>
          </cell>
          <cell r="T234">
            <v>0</v>
          </cell>
          <cell r="U234">
            <v>0</v>
          </cell>
          <cell r="V234">
            <v>0</v>
          </cell>
          <cell r="W234">
            <v>0.51253177733266941</v>
          </cell>
          <cell r="X234" t="str">
            <v>-</v>
          </cell>
          <cell r="Y234" t="str">
            <v>3,6,7,23,8</v>
          </cell>
          <cell r="Z234" t="str">
            <v>3,6,7,23,8</v>
          </cell>
          <cell r="AA234">
            <v>0</v>
          </cell>
          <cell r="AB234">
            <v>0</v>
          </cell>
          <cell r="AC234">
            <v>0</v>
          </cell>
          <cell r="AD234">
            <v>0.84015662689055171</v>
          </cell>
          <cell r="AE234">
            <v>4</v>
          </cell>
          <cell r="AF234">
            <v>4</v>
          </cell>
          <cell r="AG234">
            <v>0</v>
          </cell>
          <cell r="AH234">
            <v>0</v>
          </cell>
          <cell r="AI234">
            <v>0</v>
          </cell>
          <cell r="AJ234">
            <v>0</v>
          </cell>
          <cell r="AK234">
            <v>0</v>
          </cell>
          <cell r="AL234" t="str">
            <v>-</v>
          </cell>
          <cell r="AM234" t="str">
            <v>-</v>
          </cell>
          <cell r="AN234" t="str">
            <v/>
          </cell>
          <cell r="AO234">
            <v>0</v>
          </cell>
          <cell r="AP234" t="str">
            <v>-</v>
          </cell>
          <cell r="AQ234">
            <v>0</v>
          </cell>
          <cell r="AR234" t="str">
            <v>-</v>
          </cell>
          <cell r="AS234">
            <v>0</v>
          </cell>
          <cell r="AT234" t="str">
            <v/>
          </cell>
          <cell r="AU234">
            <v>0</v>
          </cell>
          <cell r="AV234" t="str">
            <v>-</v>
          </cell>
          <cell r="AW234">
            <v>0</v>
          </cell>
          <cell r="AX234" t="str">
            <v>-</v>
          </cell>
          <cell r="AY234">
            <v>0</v>
          </cell>
          <cell r="AZ234" t="str">
            <v/>
          </cell>
          <cell r="BA234">
            <v>0</v>
          </cell>
          <cell r="BB234" t="str">
            <v>-</v>
          </cell>
          <cell r="BC234">
            <v>0</v>
          </cell>
          <cell r="BD234" t="str">
            <v>-</v>
          </cell>
          <cell r="BE234">
            <v>0</v>
          </cell>
          <cell r="BF234" t="str">
            <v/>
          </cell>
          <cell r="BG234">
            <v>0</v>
          </cell>
          <cell r="BH234" t="str">
            <v>-</v>
          </cell>
          <cell r="BI234">
            <v>0</v>
          </cell>
          <cell r="BJ234" t="str">
            <v>-</v>
          </cell>
          <cell r="BK234">
            <v>0</v>
          </cell>
          <cell r="BL234">
            <v>5.1994404090275247E-2</v>
          </cell>
          <cell r="BM234" t="str">
            <v>-</v>
          </cell>
          <cell r="BN234">
            <v>15</v>
          </cell>
          <cell r="BO234" t="str">
            <v/>
          </cell>
          <cell r="BP234">
            <v>0</v>
          </cell>
          <cell r="BQ234">
            <v>0</v>
          </cell>
          <cell r="BR234" t="str">
            <v>-</v>
          </cell>
          <cell r="BS234">
            <v>0</v>
          </cell>
          <cell r="BT234">
            <v>0</v>
          </cell>
          <cell r="BU234" t="str">
            <v>-</v>
          </cell>
        </row>
        <row r="235">
          <cell r="A235" t="str">
            <v>20508RET</v>
          </cell>
          <cell r="B235">
            <v>20508</v>
          </cell>
          <cell r="C235" t="str">
            <v>RET</v>
          </cell>
          <cell r="D235" t="str">
            <v>Interior Lighting</v>
          </cell>
          <cell r="E235" t="str">
            <v>LED Linear Fixtures</v>
          </cell>
          <cell r="F235" t="str">
            <v>C</v>
          </cell>
          <cell r="G235" t="str">
            <v>Y</v>
          </cell>
          <cell r="M235" t="str">
            <v>RET</v>
          </cell>
          <cell r="N235" t="str">
            <v>Average of typical T8 fluorescent fixtures</v>
          </cell>
          <cell r="O235">
            <v>2021</v>
          </cell>
          <cell r="P235">
            <v>2030</v>
          </cell>
          <cell r="Q235" t="str">
            <v>Small Office</v>
          </cell>
          <cell r="R235" t="str">
            <v/>
          </cell>
          <cell r="S235">
            <v>0</v>
          </cell>
          <cell r="T235">
            <v>0</v>
          </cell>
          <cell r="U235">
            <v>0</v>
          </cell>
          <cell r="V235">
            <v>0</v>
          </cell>
          <cell r="W235">
            <v>0.4363082804722363</v>
          </cell>
          <cell r="X235" t="str">
            <v>-</v>
          </cell>
          <cell r="Y235" t="str">
            <v>3,6,7,23,8</v>
          </cell>
          <cell r="Z235" t="str">
            <v>3,6,7,23,8</v>
          </cell>
          <cell r="AA235">
            <v>0</v>
          </cell>
          <cell r="AB235">
            <v>0</v>
          </cell>
          <cell r="AC235">
            <v>0</v>
          </cell>
          <cell r="AD235">
            <v>2.6464122539263593</v>
          </cell>
          <cell r="AE235">
            <v>4</v>
          </cell>
          <cell r="AF235">
            <v>4</v>
          </cell>
          <cell r="AG235">
            <v>14.999999999999998</v>
          </cell>
          <cell r="AH235">
            <v>10</v>
          </cell>
          <cell r="AI235">
            <v>0</v>
          </cell>
          <cell r="AJ235">
            <v>0.3550129989634076</v>
          </cell>
          <cell r="AK235">
            <v>1</v>
          </cell>
          <cell r="AL235" t="str">
            <v>-</v>
          </cell>
          <cell r="AM235" t="str">
            <v>-</v>
          </cell>
          <cell r="AN235" t="str">
            <v/>
          </cell>
          <cell r="AO235">
            <v>0</v>
          </cell>
          <cell r="AP235" t="str">
            <v>-</v>
          </cell>
          <cell r="AQ235">
            <v>0</v>
          </cell>
          <cell r="AR235" t="str">
            <v>-</v>
          </cell>
          <cell r="AS235">
            <v>0</v>
          </cell>
          <cell r="AT235" t="str">
            <v/>
          </cell>
          <cell r="AU235">
            <v>0</v>
          </cell>
          <cell r="AV235" t="str">
            <v>-</v>
          </cell>
          <cell r="AW235">
            <v>0</v>
          </cell>
          <cell r="AX235" t="str">
            <v>-</v>
          </cell>
          <cell r="AY235">
            <v>0</v>
          </cell>
          <cell r="AZ235" t="str">
            <v/>
          </cell>
          <cell r="BA235">
            <v>0</v>
          </cell>
          <cell r="BB235" t="str">
            <v>-</v>
          </cell>
          <cell r="BC235">
            <v>0</v>
          </cell>
          <cell r="BD235" t="str">
            <v>-</v>
          </cell>
          <cell r="BE235">
            <v>0</v>
          </cell>
          <cell r="BF235" t="str">
            <v/>
          </cell>
          <cell r="BG235">
            <v>0</v>
          </cell>
          <cell r="BH235" t="str">
            <v>-</v>
          </cell>
          <cell r="BI235">
            <v>0</v>
          </cell>
          <cell r="BJ235" t="str">
            <v>-</v>
          </cell>
          <cell r="BK235">
            <v>0</v>
          </cell>
          <cell r="BL235">
            <v>6.1091922866120668E-2</v>
          </cell>
          <cell r="BM235" t="str">
            <v>-</v>
          </cell>
          <cell r="BN235">
            <v>15</v>
          </cell>
          <cell r="BO235" t="str">
            <v/>
          </cell>
          <cell r="BP235">
            <v>0</v>
          </cell>
          <cell r="BQ235">
            <v>0</v>
          </cell>
          <cell r="BR235" t="str">
            <v>-</v>
          </cell>
          <cell r="BS235">
            <v>0</v>
          </cell>
          <cell r="BT235">
            <v>0</v>
          </cell>
          <cell r="BU235" t="str">
            <v>-</v>
          </cell>
        </row>
        <row r="236">
          <cell r="A236" t="str">
            <v>20508MD</v>
          </cell>
          <cell r="B236">
            <v>20508</v>
          </cell>
          <cell r="C236" t="str">
            <v>MD</v>
          </cell>
          <cell r="D236" t="str">
            <v>Interior Lighting</v>
          </cell>
          <cell r="E236" t="str">
            <v>LED Linear Fixtures</v>
          </cell>
          <cell r="F236" t="str">
            <v>C</v>
          </cell>
          <cell r="G236" t="str">
            <v>Y</v>
          </cell>
          <cell r="M236" t="str">
            <v>NC, REPL</v>
          </cell>
          <cell r="N236" t="str">
            <v>Average of typical T8 fluorescent fixtures</v>
          </cell>
          <cell r="O236">
            <v>2021</v>
          </cell>
          <cell r="P236">
            <v>2030</v>
          </cell>
          <cell r="Q236" t="str">
            <v>Small Office</v>
          </cell>
          <cell r="R236" t="str">
            <v/>
          </cell>
          <cell r="S236">
            <v>0</v>
          </cell>
          <cell r="T236">
            <v>0</v>
          </cell>
          <cell r="U236">
            <v>0</v>
          </cell>
          <cell r="V236">
            <v>0</v>
          </cell>
          <cell r="W236">
            <v>0.4363082804722363</v>
          </cell>
          <cell r="X236" t="str">
            <v>-</v>
          </cell>
          <cell r="Y236" t="str">
            <v>3,6,7,23,8</v>
          </cell>
          <cell r="Z236" t="str">
            <v>3,6,7,23,8</v>
          </cell>
          <cell r="AA236">
            <v>0</v>
          </cell>
          <cell r="AB236">
            <v>0</v>
          </cell>
          <cell r="AC236">
            <v>0</v>
          </cell>
          <cell r="AD236">
            <v>0.98715976735384081</v>
          </cell>
          <cell r="AE236">
            <v>4</v>
          </cell>
          <cell r="AF236">
            <v>4</v>
          </cell>
          <cell r="AG236">
            <v>0</v>
          </cell>
          <cell r="AH236">
            <v>0</v>
          </cell>
          <cell r="AI236">
            <v>0</v>
          </cell>
          <cell r="AJ236">
            <v>0</v>
          </cell>
          <cell r="AK236">
            <v>0</v>
          </cell>
          <cell r="AL236" t="str">
            <v>-</v>
          </cell>
          <cell r="AM236" t="str">
            <v>-</v>
          </cell>
          <cell r="AN236" t="str">
            <v/>
          </cell>
          <cell r="AO236">
            <v>0</v>
          </cell>
          <cell r="AP236" t="str">
            <v>-</v>
          </cell>
          <cell r="AQ236">
            <v>0</v>
          </cell>
          <cell r="AR236" t="str">
            <v>-</v>
          </cell>
          <cell r="AS236">
            <v>0</v>
          </cell>
          <cell r="AT236" t="str">
            <v/>
          </cell>
          <cell r="AU236">
            <v>0</v>
          </cell>
          <cell r="AV236" t="str">
            <v>-</v>
          </cell>
          <cell r="AW236">
            <v>0</v>
          </cell>
          <cell r="AX236" t="str">
            <v>-</v>
          </cell>
          <cell r="AY236">
            <v>0</v>
          </cell>
          <cell r="AZ236" t="str">
            <v/>
          </cell>
          <cell r="BA236">
            <v>0</v>
          </cell>
          <cell r="BB236" t="str">
            <v>-</v>
          </cell>
          <cell r="BC236">
            <v>0</v>
          </cell>
          <cell r="BD236" t="str">
            <v>-</v>
          </cell>
          <cell r="BE236">
            <v>0</v>
          </cell>
          <cell r="BF236" t="str">
            <v/>
          </cell>
          <cell r="BG236">
            <v>0</v>
          </cell>
          <cell r="BH236" t="str">
            <v>-</v>
          </cell>
          <cell r="BI236">
            <v>0</v>
          </cell>
          <cell r="BJ236" t="str">
            <v>-</v>
          </cell>
          <cell r="BK236">
            <v>0</v>
          </cell>
          <cell r="BL236">
            <v>6.1091922866120668E-2</v>
          </cell>
          <cell r="BM236" t="str">
            <v>-</v>
          </cell>
          <cell r="BN236">
            <v>15</v>
          </cell>
          <cell r="BO236" t="str">
            <v/>
          </cell>
          <cell r="BP236">
            <v>0</v>
          </cell>
          <cell r="BQ236">
            <v>0</v>
          </cell>
          <cell r="BR236" t="str">
            <v>-</v>
          </cell>
          <cell r="BS236">
            <v>0</v>
          </cell>
          <cell r="BT236">
            <v>0</v>
          </cell>
          <cell r="BU236" t="str">
            <v>-</v>
          </cell>
        </row>
        <row r="237">
          <cell r="A237" t="str">
            <v>20509RET</v>
          </cell>
          <cell r="B237">
            <v>20509</v>
          </cell>
          <cell r="C237" t="str">
            <v>RET</v>
          </cell>
          <cell r="D237" t="str">
            <v>Interior Lighting</v>
          </cell>
          <cell r="E237" t="str">
            <v>LED Linear Fixtures with Gas Secondary Fuel</v>
          </cell>
          <cell r="F237" t="str">
            <v>C</v>
          </cell>
          <cell r="G237" t="str">
            <v>Y</v>
          </cell>
          <cell r="M237" t="str">
            <v>RET</v>
          </cell>
          <cell r="N237" t="str">
            <v>Average of typical T8 fluorescent fixtures</v>
          </cell>
          <cell r="O237">
            <v>2021</v>
          </cell>
          <cell r="P237">
            <v>2030</v>
          </cell>
          <cell r="Q237" t="str">
            <v>Small Office</v>
          </cell>
          <cell r="R237" t="str">
            <v/>
          </cell>
          <cell r="S237">
            <v>0</v>
          </cell>
          <cell r="T237">
            <v>0</v>
          </cell>
          <cell r="U237">
            <v>0</v>
          </cell>
          <cell r="V237">
            <v>0</v>
          </cell>
          <cell r="W237">
            <v>0.52497627795078805</v>
          </cell>
          <cell r="X237" t="str">
            <v>-</v>
          </cell>
          <cell r="Y237" t="str">
            <v>3,6,7,23,8</v>
          </cell>
          <cell r="Z237" t="str">
            <v>3,6,7,23,8</v>
          </cell>
          <cell r="AA237">
            <v>0</v>
          </cell>
          <cell r="AB237">
            <v>0</v>
          </cell>
          <cell r="AC237">
            <v>0</v>
          </cell>
          <cell r="AD237">
            <v>2.1992780902944995</v>
          </cell>
          <cell r="AE237">
            <v>4</v>
          </cell>
          <cell r="AF237">
            <v>4</v>
          </cell>
          <cell r="AG237">
            <v>15</v>
          </cell>
          <cell r="AH237">
            <v>10</v>
          </cell>
          <cell r="AI237">
            <v>0</v>
          </cell>
          <cell r="AJ237">
            <v>0.29503049240781376</v>
          </cell>
          <cell r="AK237">
            <v>1</v>
          </cell>
          <cell r="AL237" t="str">
            <v>-</v>
          </cell>
          <cell r="AM237" t="str">
            <v>-</v>
          </cell>
          <cell r="AN237" t="str">
            <v/>
          </cell>
          <cell r="AO237">
            <v>0</v>
          </cell>
          <cell r="AP237" t="str">
            <v>-</v>
          </cell>
          <cell r="AQ237">
            <v>0</v>
          </cell>
          <cell r="AR237" t="str">
            <v>-</v>
          </cell>
          <cell r="AS237">
            <v>0</v>
          </cell>
          <cell r="AT237" t="str">
            <v/>
          </cell>
          <cell r="AU237">
            <v>0</v>
          </cell>
          <cell r="AV237" t="str">
            <v>-</v>
          </cell>
          <cell r="AW237">
            <v>0</v>
          </cell>
          <cell r="AX237" t="str">
            <v>-</v>
          </cell>
          <cell r="AY237">
            <v>0</v>
          </cell>
          <cell r="AZ237" t="str">
            <v/>
          </cell>
          <cell r="BA237">
            <v>0</v>
          </cell>
          <cell r="BB237" t="str">
            <v>-</v>
          </cell>
          <cell r="BC237">
            <v>0</v>
          </cell>
          <cell r="BD237" t="str">
            <v>-</v>
          </cell>
          <cell r="BE237">
            <v>0</v>
          </cell>
          <cell r="BF237" t="str">
            <v/>
          </cell>
          <cell r="BG237">
            <v>0</v>
          </cell>
          <cell r="BH237" t="str">
            <v>-</v>
          </cell>
          <cell r="BI237">
            <v>0</v>
          </cell>
          <cell r="BJ237" t="str">
            <v>-</v>
          </cell>
          <cell r="BK237">
            <v>0</v>
          </cell>
          <cell r="BL237">
            <v>5.0769915856488261E-2</v>
          </cell>
          <cell r="BM237" t="str">
            <v>-</v>
          </cell>
          <cell r="BN237">
            <v>15</v>
          </cell>
          <cell r="BO237" t="str">
            <v>G</v>
          </cell>
          <cell r="BP237">
            <v>0</v>
          </cell>
          <cell r="BQ237">
            <v>-6.3713337379232621E-4</v>
          </cell>
          <cell r="BR237" t="str">
            <v>-</v>
          </cell>
          <cell r="BS237">
            <v>0</v>
          </cell>
          <cell r="BT237">
            <v>0</v>
          </cell>
          <cell r="BU237" t="str">
            <v>-</v>
          </cell>
        </row>
        <row r="238">
          <cell r="A238" t="str">
            <v>20509MD</v>
          </cell>
          <cell r="B238">
            <v>20509</v>
          </cell>
          <cell r="C238" t="str">
            <v>MD</v>
          </cell>
          <cell r="D238" t="str">
            <v>Interior Lighting</v>
          </cell>
          <cell r="E238" t="str">
            <v>LED Linear Fixtures with Gas Secondary Fuel</v>
          </cell>
          <cell r="F238" t="str">
            <v>C</v>
          </cell>
          <cell r="G238" t="str">
            <v>Y</v>
          </cell>
          <cell r="M238" t="str">
            <v>NC, REPL</v>
          </cell>
          <cell r="N238" t="str">
            <v>Average of typical T8 fluorescent fixtures</v>
          </cell>
          <cell r="O238">
            <v>2021</v>
          </cell>
          <cell r="P238">
            <v>2030</v>
          </cell>
          <cell r="Q238" t="str">
            <v>Small Office</v>
          </cell>
          <cell r="R238" t="str">
            <v/>
          </cell>
          <cell r="S238">
            <v>0</v>
          </cell>
          <cell r="T238">
            <v>0</v>
          </cell>
          <cell r="U238">
            <v>0</v>
          </cell>
          <cell r="V238">
            <v>0</v>
          </cell>
          <cell r="W238">
            <v>0.52497627795078805</v>
          </cell>
          <cell r="X238" t="str">
            <v>-</v>
          </cell>
          <cell r="Y238" t="str">
            <v>3,6,7,23,8</v>
          </cell>
          <cell r="Z238" t="str">
            <v>3,6,7,23,8</v>
          </cell>
          <cell r="AA238">
            <v>0</v>
          </cell>
          <cell r="AB238">
            <v>0</v>
          </cell>
          <cell r="AC238">
            <v>0</v>
          </cell>
          <cell r="AD238">
            <v>0.82037061487319196</v>
          </cell>
          <cell r="AE238">
            <v>4</v>
          </cell>
          <cell r="AF238">
            <v>4</v>
          </cell>
          <cell r="AG238">
            <v>0</v>
          </cell>
          <cell r="AH238">
            <v>0</v>
          </cell>
          <cell r="AI238">
            <v>0</v>
          </cell>
          <cell r="AJ238">
            <v>0</v>
          </cell>
          <cell r="AK238">
            <v>0</v>
          </cell>
          <cell r="AL238" t="str">
            <v>-</v>
          </cell>
          <cell r="AM238" t="str">
            <v>-</v>
          </cell>
          <cell r="AN238" t="str">
            <v/>
          </cell>
          <cell r="AO238">
            <v>0</v>
          </cell>
          <cell r="AP238" t="str">
            <v>-</v>
          </cell>
          <cell r="AQ238">
            <v>0</v>
          </cell>
          <cell r="AR238" t="str">
            <v>-</v>
          </cell>
          <cell r="AS238">
            <v>0</v>
          </cell>
          <cell r="AT238" t="str">
            <v/>
          </cell>
          <cell r="AU238">
            <v>0</v>
          </cell>
          <cell r="AV238" t="str">
            <v>-</v>
          </cell>
          <cell r="AW238">
            <v>0</v>
          </cell>
          <cell r="AX238" t="str">
            <v>-</v>
          </cell>
          <cell r="AY238">
            <v>0</v>
          </cell>
          <cell r="AZ238" t="str">
            <v/>
          </cell>
          <cell r="BA238">
            <v>0</v>
          </cell>
          <cell r="BB238" t="str">
            <v>-</v>
          </cell>
          <cell r="BC238">
            <v>0</v>
          </cell>
          <cell r="BD238" t="str">
            <v>-</v>
          </cell>
          <cell r="BE238">
            <v>0</v>
          </cell>
          <cell r="BF238" t="str">
            <v/>
          </cell>
          <cell r="BG238">
            <v>0</v>
          </cell>
          <cell r="BH238" t="str">
            <v>-</v>
          </cell>
          <cell r="BI238">
            <v>0</v>
          </cell>
          <cell r="BJ238" t="str">
            <v>-</v>
          </cell>
          <cell r="BK238">
            <v>0</v>
          </cell>
          <cell r="BL238">
            <v>5.0769915856488261E-2</v>
          </cell>
          <cell r="BM238" t="str">
            <v>-</v>
          </cell>
          <cell r="BN238">
            <v>15</v>
          </cell>
          <cell r="BO238" t="str">
            <v>G</v>
          </cell>
          <cell r="BP238">
            <v>0</v>
          </cell>
          <cell r="BQ238">
            <v>-6.3713337379232621E-4</v>
          </cell>
          <cell r="BR238" t="str">
            <v>-</v>
          </cell>
          <cell r="BS238">
            <v>0</v>
          </cell>
          <cell r="BT238">
            <v>0</v>
          </cell>
          <cell r="BU238" t="str">
            <v>-</v>
          </cell>
        </row>
        <row r="239">
          <cell r="A239" t="str">
            <v>20510RET</v>
          </cell>
          <cell r="B239">
            <v>20510</v>
          </cell>
          <cell r="C239" t="str">
            <v>RET</v>
          </cell>
          <cell r="D239" t="str">
            <v>Interior Lighting</v>
          </cell>
          <cell r="E239" t="str">
            <v>LED Tube Replacement Lamps</v>
          </cell>
          <cell r="F239" t="str">
            <v>C</v>
          </cell>
          <cell r="G239" t="str">
            <v>Y</v>
          </cell>
          <cell r="M239" t="str">
            <v>RET</v>
          </cell>
          <cell r="N239" t="str">
            <v>Average of typical T8 fluorescent fixtures</v>
          </cell>
          <cell r="O239">
            <v>2021</v>
          </cell>
          <cell r="P239">
            <v>2030</v>
          </cell>
          <cell r="Q239" t="str">
            <v>Small Office</v>
          </cell>
          <cell r="R239" t="str">
            <v/>
          </cell>
          <cell r="S239">
            <v>0</v>
          </cell>
          <cell r="T239">
            <v>0</v>
          </cell>
          <cell r="U239">
            <v>0</v>
          </cell>
          <cell r="V239">
            <v>0</v>
          </cell>
          <cell r="W239">
            <v>0.569046280682031</v>
          </cell>
          <cell r="X239" t="str">
            <v>-</v>
          </cell>
          <cell r="Y239" t="str">
            <v>3,6,7,23,8</v>
          </cell>
          <cell r="Z239" t="str">
            <v>3,6,7,23,8</v>
          </cell>
          <cell r="AA239">
            <v>0</v>
          </cell>
          <cell r="AB239">
            <v>0</v>
          </cell>
          <cell r="AC239">
            <v>0</v>
          </cell>
          <cell r="AD239">
            <v>0.6606928765892941</v>
          </cell>
          <cell r="AE239">
            <v>4</v>
          </cell>
          <cell r="AF239">
            <v>4</v>
          </cell>
          <cell r="AG239">
            <v>12.333333333333334</v>
          </cell>
          <cell r="AH239">
            <v>8.2222222222222214</v>
          </cell>
          <cell r="AI239">
            <v>0</v>
          </cell>
          <cell r="AJ239">
            <v>0.18788903724164543</v>
          </cell>
          <cell r="AK239">
            <v>1</v>
          </cell>
          <cell r="AL239" t="str">
            <v>-</v>
          </cell>
          <cell r="AM239" t="str">
            <v>-</v>
          </cell>
          <cell r="AN239" t="str">
            <v/>
          </cell>
          <cell r="AO239">
            <v>0</v>
          </cell>
          <cell r="AP239" t="str">
            <v>-</v>
          </cell>
          <cell r="AQ239">
            <v>0</v>
          </cell>
          <cell r="AR239" t="str">
            <v>-</v>
          </cell>
          <cell r="AS239">
            <v>0</v>
          </cell>
          <cell r="AT239" t="str">
            <v/>
          </cell>
          <cell r="AU239">
            <v>0</v>
          </cell>
          <cell r="AV239" t="str">
            <v>-</v>
          </cell>
          <cell r="AW239">
            <v>0</v>
          </cell>
          <cell r="AX239" t="str">
            <v>-</v>
          </cell>
          <cell r="AY239">
            <v>0</v>
          </cell>
          <cell r="AZ239" t="str">
            <v/>
          </cell>
          <cell r="BA239">
            <v>0</v>
          </cell>
          <cell r="BB239" t="str">
            <v>-</v>
          </cell>
          <cell r="BC239">
            <v>0</v>
          </cell>
          <cell r="BD239" t="str">
            <v>-</v>
          </cell>
          <cell r="BE239">
            <v>0</v>
          </cell>
          <cell r="BF239" t="str">
            <v/>
          </cell>
          <cell r="BG239">
            <v>0</v>
          </cell>
          <cell r="BH239" t="str">
            <v>-</v>
          </cell>
          <cell r="BI239">
            <v>0</v>
          </cell>
          <cell r="BJ239" t="str">
            <v>-</v>
          </cell>
          <cell r="BK239">
            <v>0</v>
          </cell>
          <cell r="BL239">
            <v>1.0995265927963665E-2</v>
          </cell>
          <cell r="BM239" t="str">
            <v>-</v>
          </cell>
          <cell r="BN239">
            <v>12.333333333333334</v>
          </cell>
          <cell r="BO239" t="str">
            <v/>
          </cell>
          <cell r="BP239">
            <v>0</v>
          </cell>
          <cell r="BQ239">
            <v>0</v>
          </cell>
          <cell r="BR239" t="str">
            <v>-</v>
          </cell>
          <cell r="BS239">
            <v>0</v>
          </cell>
          <cell r="BT239">
            <v>0</v>
          </cell>
          <cell r="BU239" t="str">
            <v>-</v>
          </cell>
        </row>
        <row r="240">
          <cell r="A240" t="str">
            <v>20510MD</v>
          </cell>
          <cell r="B240">
            <v>20510</v>
          </cell>
          <cell r="C240" t="str">
            <v>MD</v>
          </cell>
          <cell r="D240" t="str">
            <v>Interior Lighting</v>
          </cell>
          <cell r="E240" t="str">
            <v>LED Tube Replacement Lamps</v>
          </cell>
          <cell r="F240" t="str">
            <v>C</v>
          </cell>
          <cell r="G240" t="str">
            <v>Y</v>
          </cell>
          <cell r="M240" t="str">
            <v>REPL</v>
          </cell>
          <cell r="N240" t="str">
            <v>Average of typical T8 fluorescent fixtures</v>
          </cell>
          <cell r="O240">
            <v>2021</v>
          </cell>
          <cell r="P240">
            <v>2030</v>
          </cell>
          <cell r="Q240" t="str">
            <v>Small Office</v>
          </cell>
          <cell r="R240" t="str">
            <v/>
          </cell>
          <cell r="S240">
            <v>0</v>
          </cell>
          <cell r="T240">
            <v>0</v>
          </cell>
          <cell r="U240">
            <v>0</v>
          </cell>
          <cell r="V240">
            <v>0</v>
          </cell>
          <cell r="W240">
            <v>0.569046280682031</v>
          </cell>
          <cell r="X240" t="str">
            <v>-</v>
          </cell>
          <cell r="Y240" t="str">
            <v>3,6,7,23,48</v>
          </cell>
          <cell r="Z240" t="str">
            <v>3,6,7,23,48</v>
          </cell>
          <cell r="AA240">
            <v>0</v>
          </cell>
          <cell r="AB240">
            <v>0</v>
          </cell>
          <cell r="AC240">
            <v>0</v>
          </cell>
          <cell r="AD240">
            <v>0.18256383992944916</v>
          </cell>
          <cell r="AE240">
            <v>4</v>
          </cell>
          <cell r="AF240">
            <v>4</v>
          </cell>
          <cell r="AG240">
            <v>0</v>
          </cell>
          <cell r="AH240">
            <v>0</v>
          </cell>
          <cell r="AI240">
            <v>0</v>
          </cell>
          <cell r="AJ240">
            <v>0</v>
          </cell>
          <cell r="AK240">
            <v>0</v>
          </cell>
          <cell r="AL240" t="str">
            <v>-</v>
          </cell>
          <cell r="AM240" t="str">
            <v>-</v>
          </cell>
          <cell r="AN240" t="str">
            <v/>
          </cell>
          <cell r="AO240">
            <v>0</v>
          </cell>
          <cell r="AP240" t="str">
            <v>-</v>
          </cell>
          <cell r="AQ240">
            <v>0</v>
          </cell>
          <cell r="AR240" t="str">
            <v>-</v>
          </cell>
          <cell r="AS240">
            <v>0</v>
          </cell>
          <cell r="AT240" t="str">
            <v/>
          </cell>
          <cell r="AU240">
            <v>0</v>
          </cell>
          <cell r="AV240" t="str">
            <v>-</v>
          </cell>
          <cell r="AW240">
            <v>0</v>
          </cell>
          <cell r="AX240" t="str">
            <v>-</v>
          </cell>
          <cell r="AY240">
            <v>0</v>
          </cell>
          <cell r="AZ240" t="str">
            <v/>
          </cell>
          <cell r="BA240">
            <v>0</v>
          </cell>
          <cell r="BB240" t="str">
            <v>-</v>
          </cell>
          <cell r="BC240">
            <v>0</v>
          </cell>
          <cell r="BD240" t="str">
            <v>-</v>
          </cell>
          <cell r="BE240">
            <v>0</v>
          </cell>
          <cell r="BF240" t="str">
            <v/>
          </cell>
          <cell r="BG240">
            <v>0</v>
          </cell>
          <cell r="BH240" t="str">
            <v>-</v>
          </cell>
          <cell r="BI240">
            <v>0</v>
          </cell>
          <cell r="BJ240" t="str">
            <v>-</v>
          </cell>
          <cell r="BK240">
            <v>0</v>
          </cell>
          <cell r="BL240">
            <v>1.0995265927963665E-2</v>
          </cell>
          <cell r="BM240" t="str">
            <v>-</v>
          </cell>
          <cell r="BN240">
            <v>12.333333333333334</v>
          </cell>
          <cell r="BO240" t="str">
            <v/>
          </cell>
          <cell r="BP240">
            <v>0</v>
          </cell>
          <cell r="BQ240">
            <v>0</v>
          </cell>
          <cell r="BR240" t="str">
            <v>-</v>
          </cell>
          <cell r="BS240">
            <v>0</v>
          </cell>
          <cell r="BT240">
            <v>0</v>
          </cell>
          <cell r="BU240" t="str">
            <v>-</v>
          </cell>
        </row>
        <row r="241">
          <cell r="A241" t="str">
            <v>20511RET</v>
          </cell>
          <cell r="B241">
            <v>20511</v>
          </cell>
          <cell r="C241" t="str">
            <v>RET</v>
          </cell>
          <cell r="D241" t="str">
            <v>Interior Lighting</v>
          </cell>
          <cell r="E241" t="str">
            <v>LED Tube Replacement Lamps</v>
          </cell>
          <cell r="F241" t="str">
            <v>C</v>
          </cell>
          <cell r="G241" t="str">
            <v>Y</v>
          </cell>
          <cell r="M241" t="str">
            <v>RET</v>
          </cell>
          <cell r="N241" t="str">
            <v>Average of typical T8 fluorescent fixtures</v>
          </cell>
          <cell r="O241">
            <v>2021</v>
          </cell>
          <cell r="P241">
            <v>2030</v>
          </cell>
          <cell r="Q241" t="str">
            <v>Small Office</v>
          </cell>
          <cell r="R241" t="str">
            <v/>
          </cell>
          <cell r="S241">
            <v>0</v>
          </cell>
          <cell r="T241">
            <v>0</v>
          </cell>
          <cell r="U241">
            <v>0</v>
          </cell>
          <cell r="V241">
            <v>0</v>
          </cell>
          <cell r="W241">
            <v>0.48441797214135945</v>
          </cell>
          <cell r="X241" t="str">
            <v>-</v>
          </cell>
          <cell r="Y241" t="str">
            <v>3,6,7,23,9</v>
          </cell>
          <cell r="Z241" t="str">
            <v>3,6,7,23,9</v>
          </cell>
          <cell r="AA241">
            <v>0</v>
          </cell>
          <cell r="AB241">
            <v>0</v>
          </cell>
          <cell r="AC241">
            <v>0</v>
          </cell>
          <cell r="AD241">
            <v>0.77629504484190859</v>
          </cell>
          <cell r="AE241">
            <v>4</v>
          </cell>
          <cell r="AF241">
            <v>4</v>
          </cell>
          <cell r="AG241">
            <v>12.333333333333332</v>
          </cell>
          <cell r="AH241">
            <v>8.2222222222222214</v>
          </cell>
          <cell r="AI241">
            <v>0</v>
          </cell>
          <cell r="AJ241">
            <v>0.22076419128925362</v>
          </cell>
          <cell r="AK241">
            <v>1</v>
          </cell>
          <cell r="AL241" t="str">
            <v>-</v>
          </cell>
          <cell r="AM241" t="str">
            <v>-</v>
          </cell>
          <cell r="AN241" t="str">
            <v/>
          </cell>
          <cell r="AO241">
            <v>0</v>
          </cell>
          <cell r="AP241" t="str">
            <v>-</v>
          </cell>
          <cell r="AQ241">
            <v>0</v>
          </cell>
          <cell r="AR241" t="str">
            <v>-</v>
          </cell>
          <cell r="AS241">
            <v>0</v>
          </cell>
          <cell r="AT241" t="str">
            <v/>
          </cell>
          <cell r="AU241">
            <v>0</v>
          </cell>
          <cell r="AV241" t="str">
            <v>-</v>
          </cell>
          <cell r="AW241">
            <v>0</v>
          </cell>
          <cell r="AX241" t="str">
            <v>-</v>
          </cell>
          <cell r="AY241">
            <v>0</v>
          </cell>
          <cell r="AZ241" t="str">
            <v/>
          </cell>
          <cell r="BA241">
            <v>0</v>
          </cell>
          <cell r="BB241" t="str">
            <v>-</v>
          </cell>
          <cell r="BC241">
            <v>0</v>
          </cell>
          <cell r="BD241" t="str">
            <v>-</v>
          </cell>
          <cell r="BE241">
            <v>0</v>
          </cell>
          <cell r="BF241" t="str">
            <v/>
          </cell>
          <cell r="BG241">
            <v>0</v>
          </cell>
          <cell r="BH241" t="str">
            <v>-</v>
          </cell>
          <cell r="BI241">
            <v>0</v>
          </cell>
          <cell r="BJ241" t="str">
            <v>-</v>
          </cell>
          <cell r="BK241">
            <v>0</v>
          </cell>
          <cell r="BL241">
            <v>1.2919119849847E-2</v>
          </cell>
          <cell r="BM241" t="str">
            <v>-</v>
          </cell>
          <cell r="BN241">
            <v>12.333333333333334</v>
          </cell>
          <cell r="BO241" t="str">
            <v/>
          </cell>
          <cell r="BP241">
            <v>0</v>
          </cell>
          <cell r="BQ241">
            <v>0</v>
          </cell>
          <cell r="BR241" t="str">
            <v>-</v>
          </cell>
          <cell r="BS241">
            <v>0</v>
          </cell>
          <cell r="BT241">
            <v>0</v>
          </cell>
          <cell r="BU241" t="str">
            <v>-</v>
          </cell>
        </row>
        <row r="242">
          <cell r="A242" t="str">
            <v>20511MD</v>
          </cell>
          <cell r="B242">
            <v>20511</v>
          </cell>
          <cell r="C242" t="str">
            <v>MD</v>
          </cell>
          <cell r="D242" t="str">
            <v>Interior Lighting</v>
          </cell>
          <cell r="E242" t="str">
            <v>LED Tube Replacement Lamps</v>
          </cell>
          <cell r="F242" t="str">
            <v>C</v>
          </cell>
          <cell r="G242" t="str">
            <v>Y</v>
          </cell>
          <cell r="M242" t="str">
            <v>REPL</v>
          </cell>
          <cell r="N242" t="str">
            <v>Average of typical T8 fluorescent fixtures</v>
          </cell>
          <cell r="O242">
            <v>2021</v>
          </cell>
          <cell r="P242">
            <v>2030</v>
          </cell>
          <cell r="Q242" t="str">
            <v>Small Office</v>
          </cell>
          <cell r="R242" t="str">
            <v/>
          </cell>
          <cell r="S242">
            <v>0</v>
          </cell>
          <cell r="T242">
            <v>0</v>
          </cell>
          <cell r="U242">
            <v>0</v>
          </cell>
          <cell r="V242">
            <v>0</v>
          </cell>
          <cell r="W242">
            <v>0.48441797214135945</v>
          </cell>
          <cell r="X242" t="str">
            <v>-</v>
          </cell>
          <cell r="Y242" t="str">
            <v>3,6,7,23,10</v>
          </cell>
          <cell r="Z242" t="str">
            <v>3,6,7,23,10</v>
          </cell>
          <cell r="AA242">
            <v>0</v>
          </cell>
          <cell r="AB242">
            <v>0</v>
          </cell>
          <cell r="AC242">
            <v>0</v>
          </cell>
          <cell r="AD242">
            <v>0.21450723827410378</v>
          </cell>
          <cell r="AE242">
            <v>4</v>
          </cell>
          <cell r="AF242">
            <v>4</v>
          </cell>
          <cell r="AG242">
            <v>0</v>
          </cell>
          <cell r="AH242">
            <v>0</v>
          </cell>
          <cell r="AI242">
            <v>0</v>
          </cell>
          <cell r="AJ242">
            <v>0</v>
          </cell>
          <cell r="AK242">
            <v>0</v>
          </cell>
          <cell r="AL242" t="str">
            <v>-</v>
          </cell>
          <cell r="AM242" t="str">
            <v>-</v>
          </cell>
          <cell r="AN242" t="str">
            <v/>
          </cell>
          <cell r="AO242">
            <v>0</v>
          </cell>
          <cell r="AP242" t="str">
            <v>-</v>
          </cell>
          <cell r="AQ242">
            <v>0</v>
          </cell>
          <cell r="AR242" t="str">
            <v>-</v>
          </cell>
          <cell r="AS242">
            <v>0</v>
          </cell>
          <cell r="AT242" t="str">
            <v/>
          </cell>
          <cell r="AU242">
            <v>0</v>
          </cell>
          <cell r="AV242" t="str">
            <v>-</v>
          </cell>
          <cell r="AW242">
            <v>0</v>
          </cell>
          <cell r="AX242" t="str">
            <v>-</v>
          </cell>
          <cell r="AY242">
            <v>0</v>
          </cell>
          <cell r="AZ242" t="str">
            <v/>
          </cell>
          <cell r="BA242">
            <v>0</v>
          </cell>
          <cell r="BB242" t="str">
            <v>-</v>
          </cell>
          <cell r="BC242">
            <v>0</v>
          </cell>
          <cell r="BD242" t="str">
            <v>-</v>
          </cell>
          <cell r="BE242">
            <v>0</v>
          </cell>
          <cell r="BF242" t="str">
            <v/>
          </cell>
          <cell r="BG242">
            <v>0</v>
          </cell>
          <cell r="BH242" t="str">
            <v>-</v>
          </cell>
          <cell r="BI242">
            <v>0</v>
          </cell>
          <cell r="BJ242" t="str">
            <v>-</v>
          </cell>
          <cell r="BK242">
            <v>0</v>
          </cell>
          <cell r="BL242">
            <v>1.2919119849847E-2</v>
          </cell>
          <cell r="BM242" t="str">
            <v>-</v>
          </cell>
          <cell r="BN242">
            <v>12.333333333333334</v>
          </cell>
          <cell r="BO242" t="str">
            <v/>
          </cell>
          <cell r="BP242">
            <v>0</v>
          </cell>
          <cell r="BQ242">
            <v>0</v>
          </cell>
          <cell r="BR242" t="str">
            <v>-</v>
          </cell>
          <cell r="BS242">
            <v>0</v>
          </cell>
          <cell r="BT242">
            <v>0</v>
          </cell>
          <cell r="BU242" t="str">
            <v>-</v>
          </cell>
        </row>
        <row r="243">
          <cell r="A243" t="str">
            <v>20512RET</v>
          </cell>
          <cell r="B243">
            <v>20512</v>
          </cell>
          <cell r="C243" t="str">
            <v>RET</v>
          </cell>
          <cell r="D243" t="str">
            <v>Interior Lighting</v>
          </cell>
          <cell r="E243" t="str">
            <v>LED Tube Replacement Lamps with Gas Secondary Fuel</v>
          </cell>
          <cell r="F243" t="str">
            <v>C</v>
          </cell>
          <cell r="G243" t="str">
            <v>Y</v>
          </cell>
          <cell r="M243" t="str">
            <v>RET</v>
          </cell>
          <cell r="N243" t="str">
            <v>Average of typical T8 fluorescent fixtures</v>
          </cell>
          <cell r="O243">
            <v>2021</v>
          </cell>
          <cell r="P243">
            <v>2030</v>
          </cell>
          <cell r="Q243" t="str">
            <v>Small Office</v>
          </cell>
          <cell r="R243" t="str">
            <v/>
          </cell>
          <cell r="S243">
            <v>0</v>
          </cell>
          <cell r="T243">
            <v>0</v>
          </cell>
          <cell r="U243">
            <v>0</v>
          </cell>
          <cell r="V243">
            <v>0</v>
          </cell>
          <cell r="W243">
            <v>0.58286297869935078</v>
          </cell>
          <cell r="X243" t="str">
            <v>-</v>
          </cell>
          <cell r="Y243" t="str">
            <v>3,6,7,23,47</v>
          </cell>
          <cell r="Z243" t="str">
            <v>3,6,7,23,47</v>
          </cell>
          <cell r="AA243">
            <v>0</v>
          </cell>
          <cell r="AB243">
            <v>0</v>
          </cell>
          <cell r="AC243">
            <v>0</v>
          </cell>
          <cell r="AD243">
            <v>0.64513330498374555</v>
          </cell>
          <cell r="AE243">
            <v>4</v>
          </cell>
          <cell r="AF243">
            <v>4</v>
          </cell>
          <cell r="AG243">
            <v>12.333333333333332</v>
          </cell>
          <cell r="AH243">
            <v>8.2222222222222214</v>
          </cell>
          <cell r="AI243">
            <v>0</v>
          </cell>
          <cell r="AJ243">
            <v>0.18346417807871504</v>
          </cell>
          <cell r="AK243">
            <v>1</v>
          </cell>
          <cell r="AL243" t="str">
            <v>-</v>
          </cell>
          <cell r="AM243" t="str">
            <v>-</v>
          </cell>
          <cell r="AN243" t="str">
            <v/>
          </cell>
          <cell r="AO243">
            <v>0</v>
          </cell>
          <cell r="AP243" t="str">
            <v>-</v>
          </cell>
          <cell r="AQ243">
            <v>0</v>
          </cell>
          <cell r="AR243" t="str">
            <v>-</v>
          </cell>
          <cell r="AS243">
            <v>0</v>
          </cell>
          <cell r="AT243" t="str">
            <v/>
          </cell>
          <cell r="AU243">
            <v>0</v>
          </cell>
          <cell r="AV243" t="str">
            <v>-</v>
          </cell>
          <cell r="AW243">
            <v>0</v>
          </cell>
          <cell r="AX243" t="str">
            <v>-</v>
          </cell>
          <cell r="AY243">
            <v>0</v>
          </cell>
          <cell r="AZ243" t="str">
            <v/>
          </cell>
          <cell r="BA243">
            <v>0</v>
          </cell>
          <cell r="BB243" t="str">
            <v>-</v>
          </cell>
          <cell r="BC243">
            <v>0</v>
          </cell>
          <cell r="BD243" t="str">
            <v>-</v>
          </cell>
          <cell r="BE243">
            <v>0</v>
          </cell>
          <cell r="BF243" t="str">
            <v/>
          </cell>
          <cell r="BG243">
            <v>0</v>
          </cell>
          <cell r="BH243" t="str">
            <v>-</v>
          </cell>
          <cell r="BI243">
            <v>0</v>
          </cell>
          <cell r="BJ243" t="str">
            <v>-</v>
          </cell>
          <cell r="BK243">
            <v>0</v>
          </cell>
          <cell r="BL243">
            <v>1.0736323182264066E-2</v>
          </cell>
          <cell r="BM243" t="str">
            <v>-</v>
          </cell>
          <cell r="BN243">
            <v>12.333333333333334</v>
          </cell>
          <cell r="BO243" t="str">
            <v>G</v>
          </cell>
          <cell r="BP243">
            <v>0</v>
          </cell>
          <cell r="BQ243">
            <v>-6.3713337379232621E-4</v>
          </cell>
          <cell r="BR243" t="str">
            <v>-</v>
          </cell>
          <cell r="BS243">
            <v>0</v>
          </cell>
          <cell r="BT243">
            <v>0</v>
          </cell>
          <cell r="BU243" t="str">
            <v>-</v>
          </cell>
        </row>
        <row r="244">
          <cell r="A244" t="str">
            <v>20512MD</v>
          </cell>
          <cell r="B244">
            <v>20512</v>
          </cell>
          <cell r="C244" t="str">
            <v>MD</v>
          </cell>
          <cell r="D244" t="str">
            <v>Interior Lighting</v>
          </cell>
          <cell r="E244" t="str">
            <v>LED Tube Replacement Lamps with Gas Secondary Fuel</v>
          </cell>
          <cell r="F244" t="str">
            <v>C</v>
          </cell>
          <cell r="G244" t="str">
            <v>Y</v>
          </cell>
          <cell r="M244" t="str">
            <v>REPL</v>
          </cell>
          <cell r="N244" t="str">
            <v>Average of typical T8 fluorescent fixtures</v>
          </cell>
          <cell r="O244">
            <v>2021</v>
          </cell>
          <cell r="P244">
            <v>2030</v>
          </cell>
          <cell r="Q244" t="str">
            <v>Small Office</v>
          </cell>
          <cell r="R244" t="str">
            <v/>
          </cell>
          <cell r="S244">
            <v>0</v>
          </cell>
          <cell r="T244">
            <v>0</v>
          </cell>
          <cell r="U244">
            <v>0</v>
          </cell>
          <cell r="V244">
            <v>0</v>
          </cell>
          <cell r="W244">
            <v>0.58286297869935078</v>
          </cell>
          <cell r="X244" t="str">
            <v>-</v>
          </cell>
          <cell r="Y244" t="str">
            <v>3,6,7,23,49</v>
          </cell>
          <cell r="Z244" t="str">
            <v>3,6,7,23,49</v>
          </cell>
          <cell r="AA244">
            <v>0</v>
          </cell>
          <cell r="AB244">
            <v>0</v>
          </cell>
          <cell r="AC244">
            <v>0</v>
          </cell>
          <cell r="AD244">
            <v>0.17826439121338256</v>
          </cell>
          <cell r="AE244">
            <v>4</v>
          </cell>
          <cell r="AF244">
            <v>4</v>
          </cell>
          <cell r="AG244">
            <v>0</v>
          </cell>
          <cell r="AH244">
            <v>0</v>
          </cell>
          <cell r="AI244">
            <v>0</v>
          </cell>
          <cell r="AJ244">
            <v>0</v>
          </cell>
          <cell r="AK244">
            <v>0</v>
          </cell>
          <cell r="AL244" t="str">
            <v>-</v>
          </cell>
          <cell r="AM244" t="str">
            <v>-</v>
          </cell>
          <cell r="AN244" t="str">
            <v/>
          </cell>
          <cell r="AO244">
            <v>0</v>
          </cell>
          <cell r="AP244" t="str">
            <v>-</v>
          </cell>
          <cell r="AQ244">
            <v>0</v>
          </cell>
          <cell r="AR244" t="str">
            <v>-</v>
          </cell>
          <cell r="AS244">
            <v>0</v>
          </cell>
          <cell r="AT244" t="str">
            <v/>
          </cell>
          <cell r="AU244">
            <v>0</v>
          </cell>
          <cell r="AV244" t="str">
            <v>-</v>
          </cell>
          <cell r="AW244">
            <v>0</v>
          </cell>
          <cell r="AX244" t="str">
            <v>-</v>
          </cell>
          <cell r="AY244">
            <v>0</v>
          </cell>
          <cell r="AZ244" t="str">
            <v/>
          </cell>
          <cell r="BA244">
            <v>0</v>
          </cell>
          <cell r="BB244" t="str">
            <v>-</v>
          </cell>
          <cell r="BC244">
            <v>0</v>
          </cell>
          <cell r="BD244" t="str">
            <v>-</v>
          </cell>
          <cell r="BE244">
            <v>0</v>
          </cell>
          <cell r="BF244" t="str">
            <v/>
          </cell>
          <cell r="BG244">
            <v>0</v>
          </cell>
          <cell r="BH244" t="str">
            <v>-</v>
          </cell>
          <cell r="BI244">
            <v>0</v>
          </cell>
          <cell r="BJ244" t="str">
            <v>-</v>
          </cell>
          <cell r="BK244">
            <v>0</v>
          </cell>
          <cell r="BL244">
            <v>1.0736323182264066E-2</v>
          </cell>
          <cell r="BM244" t="str">
            <v>-</v>
          </cell>
          <cell r="BN244">
            <v>12.333333333333334</v>
          </cell>
          <cell r="BO244" t="str">
            <v>G</v>
          </cell>
          <cell r="BP244">
            <v>0</v>
          </cell>
          <cell r="BQ244">
            <v>-6.3713337379232621E-4</v>
          </cell>
          <cell r="BR244" t="str">
            <v>-</v>
          </cell>
          <cell r="BS244">
            <v>0</v>
          </cell>
          <cell r="BT244">
            <v>0</v>
          </cell>
          <cell r="BU244" t="str">
            <v>-</v>
          </cell>
        </row>
        <row r="245">
          <cell r="A245" t="str">
            <v>20513RET</v>
          </cell>
          <cell r="B245">
            <v>20513</v>
          </cell>
          <cell r="C245" t="str">
            <v>RET</v>
          </cell>
          <cell r="D245" t="str">
            <v>Interior Lighting</v>
          </cell>
          <cell r="E245" t="str">
            <v>LED High-bay and Low-bay Systems</v>
          </cell>
          <cell r="F245" t="str">
            <v>C</v>
          </cell>
          <cell r="G245" t="str">
            <v>Y</v>
          </cell>
          <cell r="M245" t="str">
            <v>RET</v>
          </cell>
          <cell r="N245" t="str">
            <v>Average of typical fluorescent high bay fixtures</v>
          </cell>
          <cell r="O245">
            <v>2021</v>
          </cell>
          <cell r="P245">
            <v>2030</v>
          </cell>
          <cell r="Q245" t="str">
            <v>Large Warehouse</v>
          </cell>
          <cell r="R245" t="str">
            <v/>
          </cell>
          <cell r="S245">
            <v>0</v>
          </cell>
          <cell r="T245">
            <v>0</v>
          </cell>
          <cell r="U245">
            <v>0</v>
          </cell>
          <cell r="V245">
            <v>0</v>
          </cell>
          <cell r="W245">
            <v>0.41834838722214751</v>
          </cell>
          <cell r="X245" t="str">
            <v>-</v>
          </cell>
          <cell r="Y245" t="str">
            <v>3,6,7,23,8</v>
          </cell>
          <cell r="Z245" t="str">
            <v>3,6,7,23,8</v>
          </cell>
          <cell r="AA245">
            <v>0</v>
          </cell>
          <cell r="AB245">
            <v>0</v>
          </cell>
          <cell r="AC245">
            <v>0</v>
          </cell>
          <cell r="AD245">
            <v>1.8148268458192787</v>
          </cell>
          <cell r="AE245">
            <v>4</v>
          </cell>
          <cell r="AF245">
            <v>4</v>
          </cell>
          <cell r="AG245">
            <v>15</v>
          </cell>
          <cell r="AH245">
            <v>10</v>
          </cell>
          <cell r="AI245">
            <v>0</v>
          </cell>
          <cell r="AJ245">
            <v>0.25287417467237128</v>
          </cell>
          <cell r="AK245">
            <v>1</v>
          </cell>
          <cell r="AL245" t="str">
            <v>-</v>
          </cell>
          <cell r="AM245" t="str">
            <v>-</v>
          </cell>
          <cell r="AN245" t="str">
            <v/>
          </cell>
          <cell r="AO245">
            <v>0</v>
          </cell>
          <cell r="AP245" t="str">
            <v>-</v>
          </cell>
          <cell r="AQ245">
            <v>0</v>
          </cell>
          <cell r="AR245" t="str">
            <v>-</v>
          </cell>
          <cell r="AS245">
            <v>0</v>
          </cell>
          <cell r="AT245" t="str">
            <v/>
          </cell>
          <cell r="AU245">
            <v>0</v>
          </cell>
          <cell r="AV245" t="str">
            <v>-</v>
          </cell>
          <cell r="AW245">
            <v>0</v>
          </cell>
          <cell r="AX245" t="str">
            <v>-</v>
          </cell>
          <cell r="AY245">
            <v>0</v>
          </cell>
          <cell r="AZ245" t="str">
            <v/>
          </cell>
          <cell r="BA245">
            <v>0</v>
          </cell>
          <cell r="BB245" t="str">
            <v>-</v>
          </cell>
          <cell r="BC245">
            <v>0</v>
          </cell>
          <cell r="BD245" t="str">
            <v>-</v>
          </cell>
          <cell r="BE245">
            <v>0</v>
          </cell>
          <cell r="BF245" t="str">
            <v/>
          </cell>
          <cell r="BG245">
            <v>0</v>
          </cell>
          <cell r="BH245" t="str">
            <v>-</v>
          </cell>
          <cell r="BI245">
            <v>0</v>
          </cell>
          <cell r="BJ245" t="str">
            <v>-</v>
          </cell>
          <cell r="BK245">
            <v>0</v>
          </cell>
          <cell r="BL245">
            <v>1.1604314001863224E-2</v>
          </cell>
          <cell r="BM245" t="str">
            <v>-</v>
          </cell>
          <cell r="BN245">
            <v>15</v>
          </cell>
          <cell r="BO245" t="str">
            <v/>
          </cell>
          <cell r="BP245">
            <v>0</v>
          </cell>
          <cell r="BQ245">
            <v>0</v>
          </cell>
          <cell r="BR245" t="str">
            <v>-</v>
          </cell>
          <cell r="BS245">
            <v>0</v>
          </cell>
          <cell r="BT245">
            <v>0</v>
          </cell>
          <cell r="BU245" t="str">
            <v>-</v>
          </cell>
        </row>
        <row r="246">
          <cell r="A246" t="str">
            <v>20513MD</v>
          </cell>
          <cell r="B246">
            <v>20513</v>
          </cell>
          <cell r="C246" t="str">
            <v>MD</v>
          </cell>
          <cell r="D246" t="str">
            <v>Interior Lighting</v>
          </cell>
          <cell r="E246" t="str">
            <v>LED High-bay and Low-bay Systems</v>
          </cell>
          <cell r="F246" t="str">
            <v>C</v>
          </cell>
          <cell r="G246" t="str">
            <v>Y</v>
          </cell>
          <cell r="M246" t="str">
            <v>NC, REPL</v>
          </cell>
          <cell r="N246" t="str">
            <v>Average of typical fluorescent high bay fixtures</v>
          </cell>
          <cell r="O246">
            <v>2021</v>
          </cell>
          <cell r="P246">
            <v>2030</v>
          </cell>
          <cell r="Q246" t="str">
            <v>Large Warehouse</v>
          </cell>
          <cell r="R246" t="str">
            <v/>
          </cell>
          <cell r="S246">
            <v>0</v>
          </cell>
          <cell r="T246">
            <v>0</v>
          </cell>
          <cell r="U246">
            <v>0</v>
          </cell>
          <cell r="V246">
            <v>0</v>
          </cell>
          <cell r="W246">
            <v>0.41834838722214751</v>
          </cell>
          <cell r="X246" t="str">
            <v>-</v>
          </cell>
          <cell r="Y246" t="str">
            <v>3,6,7,23,8</v>
          </cell>
          <cell r="Z246" t="str">
            <v>3,6,7,23,8</v>
          </cell>
          <cell r="AA246">
            <v>0</v>
          </cell>
          <cell r="AB246">
            <v>0</v>
          </cell>
          <cell r="AC246">
            <v>0</v>
          </cell>
          <cell r="AD246">
            <v>0.61172984071399261</v>
          </cell>
          <cell r="AE246">
            <v>4</v>
          </cell>
          <cell r="AF246">
            <v>4</v>
          </cell>
          <cell r="AG246">
            <v>0</v>
          </cell>
          <cell r="AH246">
            <v>0</v>
          </cell>
          <cell r="AI246">
            <v>0</v>
          </cell>
          <cell r="AJ246">
            <v>0</v>
          </cell>
          <cell r="AK246">
            <v>0</v>
          </cell>
          <cell r="AL246" t="str">
            <v>-</v>
          </cell>
          <cell r="AM246" t="str">
            <v>-</v>
          </cell>
          <cell r="AN246" t="str">
            <v/>
          </cell>
          <cell r="AO246">
            <v>0</v>
          </cell>
          <cell r="AP246" t="str">
            <v>-</v>
          </cell>
          <cell r="AQ246">
            <v>0</v>
          </cell>
          <cell r="AR246" t="str">
            <v>-</v>
          </cell>
          <cell r="AS246">
            <v>0</v>
          </cell>
          <cell r="AT246" t="str">
            <v/>
          </cell>
          <cell r="AU246">
            <v>0</v>
          </cell>
          <cell r="AV246" t="str">
            <v>-</v>
          </cell>
          <cell r="AW246">
            <v>0</v>
          </cell>
          <cell r="AX246" t="str">
            <v>-</v>
          </cell>
          <cell r="AY246">
            <v>0</v>
          </cell>
          <cell r="AZ246" t="str">
            <v/>
          </cell>
          <cell r="BA246">
            <v>0</v>
          </cell>
          <cell r="BB246" t="str">
            <v>-</v>
          </cell>
          <cell r="BC246">
            <v>0</v>
          </cell>
          <cell r="BD246" t="str">
            <v>-</v>
          </cell>
          <cell r="BE246">
            <v>0</v>
          </cell>
          <cell r="BF246" t="str">
            <v/>
          </cell>
          <cell r="BG246">
            <v>0</v>
          </cell>
          <cell r="BH246" t="str">
            <v>-</v>
          </cell>
          <cell r="BI246">
            <v>0</v>
          </cell>
          <cell r="BJ246" t="str">
            <v>-</v>
          </cell>
          <cell r="BK246">
            <v>0</v>
          </cell>
          <cell r="BL246">
            <v>1.1604314001863224E-2</v>
          </cell>
          <cell r="BM246" t="str">
            <v>-</v>
          </cell>
          <cell r="BN246">
            <v>15</v>
          </cell>
          <cell r="BO246" t="str">
            <v/>
          </cell>
          <cell r="BP246">
            <v>0</v>
          </cell>
          <cell r="BQ246">
            <v>0</v>
          </cell>
          <cell r="BR246" t="str">
            <v>-</v>
          </cell>
          <cell r="BS246">
            <v>0</v>
          </cell>
          <cell r="BT246">
            <v>0</v>
          </cell>
          <cell r="BU246" t="str">
            <v>-</v>
          </cell>
        </row>
        <row r="247">
          <cell r="A247" t="str">
            <v>20514RET</v>
          </cell>
          <cell r="B247">
            <v>20514</v>
          </cell>
          <cell r="C247" t="str">
            <v>RET</v>
          </cell>
          <cell r="D247" t="str">
            <v>Interior Lighting</v>
          </cell>
          <cell r="E247" t="str">
            <v>LED High-bay and Low-bay Systems</v>
          </cell>
          <cell r="F247" t="str">
            <v>C</v>
          </cell>
          <cell r="G247" t="str">
            <v>Y</v>
          </cell>
          <cell r="M247" t="str">
            <v>RET</v>
          </cell>
          <cell r="N247" t="str">
            <v>Average of typical fluorescent high bay fixtures</v>
          </cell>
          <cell r="O247">
            <v>2021</v>
          </cell>
          <cell r="P247">
            <v>2030</v>
          </cell>
          <cell r="Q247" t="str">
            <v>Large Warehouse</v>
          </cell>
          <cell r="R247" t="str">
            <v/>
          </cell>
          <cell r="S247">
            <v>0</v>
          </cell>
          <cell r="T247">
            <v>0</v>
          </cell>
          <cell r="U247">
            <v>0</v>
          </cell>
          <cell r="V247">
            <v>0</v>
          </cell>
          <cell r="W247">
            <v>0.3561318020458159</v>
          </cell>
          <cell r="X247" t="str">
            <v>-</v>
          </cell>
          <cell r="Y247" t="str">
            <v>3,6,7,23,8</v>
          </cell>
          <cell r="Z247" t="str">
            <v>3,6,7,23,8</v>
          </cell>
          <cell r="AA247">
            <v>0</v>
          </cell>
          <cell r="AB247">
            <v>0</v>
          </cell>
          <cell r="AC247">
            <v>0</v>
          </cell>
          <cell r="AD247">
            <v>2.1323691197163503</v>
          </cell>
          <cell r="AE247">
            <v>4</v>
          </cell>
          <cell r="AF247">
            <v>4</v>
          </cell>
          <cell r="AG247">
            <v>14.999999999999998</v>
          </cell>
          <cell r="AH247">
            <v>10</v>
          </cell>
          <cell r="AI247">
            <v>0</v>
          </cell>
          <cell r="AJ247">
            <v>0.29711985057268597</v>
          </cell>
          <cell r="AK247">
            <v>1</v>
          </cell>
          <cell r="AL247" t="str">
            <v>-</v>
          </cell>
          <cell r="AM247" t="str">
            <v>-</v>
          </cell>
          <cell r="AN247" t="str">
            <v/>
          </cell>
          <cell r="AO247">
            <v>0</v>
          </cell>
          <cell r="AP247" t="str">
            <v>-</v>
          </cell>
          <cell r="AQ247">
            <v>0</v>
          </cell>
          <cell r="AR247" t="str">
            <v>-</v>
          </cell>
          <cell r="AS247">
            <v>0</v>
          </cell>
          <cell r="AT247" t="str">
            <v/>
          </cell>
          <cell r="AU247">
            <v>0</v>
          </cell>
          <cell r="AV247" t="str">
            <v>-</v>
          </cell>
          <cell r="AW247">
            <v>0</v>
          </cell>
          <cell r="AX247" t="str">
            <v>-</v>
          </cell>
          <cell r="AY247">
            <v>0</v>
          </cell>
          <cell r="AZ247" t="str">
            <v/>
          </cell>
          <cell r="BA247">
            <v>0</v>
          </cell>
          <cell r="BB247" t="str">
            <v>-</v>
          </cell>
          <cell r="BC247">
            <v>0</v>
          </cell>
          <cell r="BD247" t="str">
            <v>-</v>
          </cell>
          <cell r="BE247">
            <v>0</v>
          </cell>
          <cell r="BF247" t="str">
            <v/>
          </cell>
          <cell r="BG247">
            <v>0</v>
          </cell>
          <cell r="BH247" t="str">
            <v>-</v>
          </cell>
          <cell r="BI247">
            <v>0</v>
          </cell>
          <cell r="BJ247" t="str">
            <v>-</v>
          </cell>
          <cell r="BK247">
            <v>0</v>
          </cell>
          <cell r="BL247">
            <v>1.3634733743369638E-2</v>
          </cell>
          <cell r="BM247" t="str">
            <v>-</v>
          </cell>
          <cell r="BN247">
            <v>15</v>
          </cell>
          <cell r="BO247" t="str">
            <v/>
          </cell>
          <cell r="BP247">
            <v>0</v>
          </cell>
          <cell r="BQ247">
            <v>0</v>
          </cell>
          <cell r="BR247" t="str">
            <v>-</v>
          </cell>
          <cell r="BS247">
            <v>0</v>
          </cell>
          <cell r="BT247">
            <v>0</v>
          </cell>
          <cell r="BU247" t="str">
            <v>-</v>
          </cell>
        </row>
        <row r="248">
          <cell r="A248" t="str">
            <v>20514MD</v>
          </cell>
          <cell r="B248">
            <v>20514</v>
          </cell>
          <cell r="C248" t="str">
            <v>MD</v>
          </cell>
          <cell r="D248" t="str">
            <v>Interior Lighting</v>
          </cell>
          <cell r="E248" t="str">
            <v>LED High-bay and Low-bay Systems</v>
          </cell>
          <cell r="F248" t="str">
            <v>C</v>
          </cell>
          <cell r="G248" t="str">
            <v>Y</v>
          </cell>
          <cell r="M248" t="str">
            <v>NC, REPL</v>
          </cell>
          <cell r="N248" t="str">
            <v>Average of typical fluorescent high bay fixtures</v>
          </cell>
          <cell r="O248">
            <v>2021</v>
          </cell>
          <cell r="P248">
            <v>2030</v>
          </cell>
          <cell r="Q248" t="str">
            <v>Large Warehouse</v>
          </cell>
          <cell r="R248" t="str">
            <v/>
          </cell>
          <cell r="S248">
            <v>0</v>
          </cell>
          <cell r="T248">
            <v>0</v>
          </cell>
          <cell r="U248">
            <v>0</v>
          </cell>
          <cell r="V248">
            <v>0</v>
          </cell>
          <cell r="W248">
            <v>0.3561318020458159</v>
          </cell>
          <cell r="X248" t="str">
            <v>-</v>
          </cell>
          <cell r="Y248" t="str">
            <v>3,6,7,23,8</v>
          </cell>
          <cell r="Z248" t="str">
            <v>3,6,7,23,8</v>
          </cell>
          <cell r="AA248">
            <v>0</v>
          </cell>
          <cell r="AB248">
            <v>0</v>
          </cell>
          <cell r="AC248">
            <v>0</v>
          </cell>
          <cell r="AD248">
            <v>0.71876489206255434</v>
          </cell>
          <cell r="AE248">
            <v>4</v>
          </cell>
          <cell r="AF248">
            <v>4</v>
          </cell>
          <cell r="AG248">
            <v>0</v>
          </cell>
          <cell r="AH248">
            <v>0</v>
          </cell>
          <cell r="AI248">
            <v>0</v>
          </cell>
          <cell r="AJ248">
            <v>0</v>
          </cell>
          <cell r="AK248">
            <v>0</v>
          </cell>
          <cell r="AL248" t="str">
            <v>-</v>
          </cell>
          <cell r="AM248" t="str">
            <v>-</v>
          </cell>
          <cell r="AN248" t="str">
            <v/>
          </cell>
          <cell r="AO248">
            <v>0</v>
          </cell>
          <cell r="AP248" t="str">
            <v>-</v>
          </cell>
          <cell r="AQ248">
            <v>0</v>
          </cell>
          <cell r="AR248" t="str">
            <v>-</v>
          </cell>
          <cell r="AS248">
            <v>0</v>
          </cell>
          <cell r="AT248" t="str">
            <v/>
          </cell>
          <cell r="AU248">
            <v>0</v>
          </cell>
          <cell r="AV248" t="str">
            <v>-</v>
          </cell>
          <cell r="AW248">
            <v>0</v>
          </cell>
          <cell r="AX248" t="str">
            <v>-</v>
          </cell>
          <cell r="AY248">
            <v>0</v>
          </cell>
          <cell r="AZ248" t="str">
            <v/>
          </cell>
          <cell r="BA248">
            <v>0</v>
          </cell>
          <cell r="BB248" t="str">
            <v>-</v>
          </cell>
          <cell r="BC248">
            <v>0</v>
          </cell>
          <cell r="BD248" t="str">
            <v>-</v>
          </cell>
          <cell r="BE248">
            <v>0</v>
          </cell>
          <cell r="BF248" t="str">
            <v/>
          </cell>
          <cell r="BG248">
            <v>0</v>
          </cell>
          <cell r="BH248" t="str">
            <v>-</v>
          </cell>
          <cell r="BI248">
            <v>0</v>
          </cell>
          <cell r="BJ248" t="str">
            <v>-</v>
          </cell>
          <cell r="BK248">
            <v>0</v>
          </cell>
          <cell r="BL248">
            <v>1.3634733743369638E-2</v>
          </cell>
          <cell r="BM248" t="str">
            <v>-</v>
          </cell>
          <cell r="BN248">
            <v>15</v>
          </cell>
          <cell r="BO248" t="str">
            <v/>
          </cell>
          <cell r="BP248">
            <v>0</v>
          </cell>
          <cell r="BQ248">
            <v>0</v>
          </cell>
          <cell r="BR248" t="str">
            <v>-</v>
          </cell>
          <cell r="BS248">
            <v>0</v>
          </cell>
          <cell r="BT248">
            <v>0</v>
          </cell>
          <cell r="BU248" t="str">
            <v>-</v>
          </cell>
        </row>
        <row r="249">
          <cell r="A249" t="str">
            <v>20515RET</v>
          </cell>
          <cell r="B249">
            <v>20515</v>
          </cell>
          <cell r="C249" t="str">
            <v>RET</v>
          </cell>
          <cell r="D249" t="str">
            <v>Interior Lighting</v>
          </cell>
          <cell r="E249" t="str">
            <v>LED High-bay and Low-bay Systems with Gas Secondary Fuel</v>
          </cell>
          <cell r="F249" t="str">
            <v>C</v>
          </cell>
          <cell r="G249" t="str">
            <v>Y</v>
          </cell>
          <cell r="M249" t="str">
            <v>RET</v>
          </cell>
          <cell r="N249" t="str">
            <v>Average of typical fluorescent high bay fixtures</v>
          </cell>
          <cell r="O249">
            <v>2021</v>
          </cell>
          <cell r="P249">
            <v>2030</v>
          </cell>
          <cell r="Q249" t="str">
            <v>Large Warehouse</v>
          </cell>
          <cell r="R249" t="str">
            <v/>
          </cell>
          <cell r="S249">
            <v>0</v>
          </cell>
          <cell r="T249">
            <v>0</v>
          </cell>
          <cell r="U249">
            <v>0</v>
          </cell>
          <cell r="V249">
            <v>0</v>
          </cell>
          <cell r="W249">
            <v>0.4285060730352474</v>
          </cell>
          <cell r="X249" t="str">
            <v>-</v>
          </cell>
          <cell r="Y249" t="str">
            <v>3,6,7,23,8</v>
          </cell>
          <cell r="Z249" t="str">
            <v>3,6,7,23,8</v>
          </cell>
          <cell r="AA249">
            <v>0</v>
          </cell>
          <cell r="AB249">
            <v>0</v>
          </cell>
          <cell r="AC249">
            <v>0</v>
          </cell>
          <cell r="AD249">
            <v>1.7720869749053223</v>
          </cell>
          <cell r="AE249">
            <v>4</v>
          </cell>
          <cell r="AF249">
            <v>4</v>
          </cell>
          <cell r="AG249">
            <v>15</v>
          </cell>
          <cell r="AH249">
            <v>10</v>
          </cell>
          <cell r="AI249">
            <v>0</v>
          </cell>
          <cell r="AJ249">
            <v>0.24691889050415006</v>
          </cell>
          <cell r="AK249">
            <v>1</v>
          </cell>
          <cell r="AL249" t="str">
            <v>-</v>
          </cell>
          <cell r="AM249" t="str">
            <v>-</v>
          </cell>
          <cell r="AN249" t="str">
            <v/>
          </cell>
          <cell r="AO249">
            <v>0</v>
          </cell>
          <cell r="AP249" t="str">
            <v>-</v>
          </cell>
          <cell r="AQ249">
            <v>0</v>
          </cell>
          <cell r="AR249" t="str">
            <v>-</v>
          </cell>
          <cell r="AS249">
            <v>0</v>
          </cell>
          <cell r="AT249" t="str">
            <v/>
          </cell>
          <cell r="AU249">
            <v>0</v>
          </cell>
          <cell r="AV249" t="str">
            <v>-</v>
          </cell>
          <cell r="AW249">
            <v>0</v>
          </cell>
          <cell r="AX249" t="str">
            <v>-</v>
          </cell>
          <cell r="AY249">
            <v>0</v>
          </cell>
          <cell r="AZ249" t="str">
            <v/>
          </cell>
          <cell r="BA249">
            <v>0</v>
          </cell>
          <cell r="BB249" t="str">
            <v>-</v>
          </cell>
          <cell r="BC249">
            <v>0</v>
          </cell>
          <cell r="BD249" t="str">
            <v>-</v>
          </cell>
          <cell r="BE249">
            <v>0</v>
          </cell>
          <cell r="BF249" t="str">
            <v/>
          </cell>
          <cell r="BG249">
            <v>0</v>
          </cell>
          <cell r="BH249" t="str">
            <v>-</v>
          </cell>
          <cell r="BI249">
            <v>0</v>
          </cell>
          <cell r="BJ249" t="str">
            <v>-</v>
          </cell>
          <cell r="BK249">
            <v>0</v>
          </cell>
          <cell r="BL249">
            <v>1.1331027939544287E-2</v>
          </cell>
          <cell r="BM249" t="str">
            <v>-</v>
          </cell>
          <cell r="BN249">
            <v>15</v>
          </cell>
          <cell r="BO249" t="str">
            <v>G</v>
          </cell>
          <cell r="BP249">
            <v>0</v>
          </cell>
          <cell r="BQ249">
            <v>-6.371333737923261E-4</v>
          </cell>
          <cell r="BR249" t="str">
            <v>-</v>
          </cell>
          <cell r="BS249">
            <v>0</v>
          </cell>
          <cell r="BT249">
            <v>0</v>
          </cell>
          <cell r="BU249" t="str">
            <v>-</v>
          </cell>
        </row>
        <row r="250">
          <cell r="A250" t="str">
            <v>20515MD</v>
          </cell>
          <cell r="B250">
            <v>20515</v>
          </cell>
          <cell r="C250" t="str">
            <v>MD</v>
          </cell>
          <cell r="D250" t="str">
            <v>Interior Lighting</v>
          </cell>
          <cell r="E250" t="str">
            <v>LED High-bay and Low-bay Systems with Gas Secondary Fuel</v>
          </cell>
          <cell r="F250" t="str">
            <v>C</v>
          </cell>
          <cell r="G250" t="str">
            <v>Y</v>
          </cell>
          <cell r="M250" t="str">
            <v>NC, REPL</v>
          </cell>
          <cell r="N250" t="str">
            <v>Average of typical fluorescent high bay fixtures</v>
          </cell>
          <cell r="O250">
            <v>2021</v>
          </cell>
          <cell r="P250">
            <v>2030</v>
          </cell>
          <cell r="Q250" t="str">
            <v>Large Warehouse</v>
          </cell>
          <cell r="R250" t="str">
            <v/>
          </cell>
          <cell r="S250">
            <v>0</v>
          </cell>
          <cell r="T250">
            <v>0</v>
          </cell>
          <cell r="U250">
            <v>0</v>
          </cell>
          <cell r="V250">
            <v>0</v>
          </cell>
          <cell r="W250">
            <v>0.4285060730352474</v>
          </cell>
          <cell r="X250" t="str">
            <v>-</v>
          </cell>
          <cell r="Y250" t="str">
            <v>3,6,7,23,8</v>
          </cell>
          <cell r="Z250" t="str">
            <v>3,6,7,23,8</v>
          </cell>
          <cell r="AA250">
            <v>0</v>
          </cell>
          <cell r="AB250">
            <v>0</v>
          </cell>
          <cell r="AC250">
            <v>0</v>
          </cell>
          <cell r="AD250">
            <v>0.59732336745371395</v>
          </cell>
          <cell r="AE250">
            <v>4</v>
          </cell>
          <cell r="AF250">
            <v>4</v>
          </cell>
          <cell r="AG250">
            <v>0</v>
          </cell>
          <cell r="AH250">
            <v>0</v>
          </cell>
          <cell r="AI250">
            <v>0</v>
          </cell>
          <cell r="AJ250">
            <v>0</v>
          </cell>
          <cell r="AK250">
            <v>0</v>
          </cell>
          <cell r="AL250" t="str">
            <v>-</v>
          </cell>
          <cell r="AM250" t="str">
            <v>-</v>
          </cell>
          <cell r="AN250" t="str">
            <v/>
          </cell>
          <cell r="AO250">
            <v>0</v>
          </cell>
          <cell r="AP250" t="str">
            <v>-</v>
          </cell>
          <cell r="AQ250">
            <v>0</v>
          </cell>
          <cell r="AR250" t="str">
            <v>-</v>
          </cell>
          <cell r="AS250">
            <v>0</v>
          </cell>
          <cell r="AT250" t="str">
            <v/>
          </cell>
          <cell r="AU250">
            <v>0</v>
          </cell>
          <cell r="AV250" t="str">
            <v>-</v>
          </cell>
          <cell r="AW250">
            <v>0</v>
          </cell>
          <cell r="AX250" t="str">
            <v>-</v>
          </cell>
          <cell r="AY250">
            <v>0</v>
          </cell>
          <cell r="AZ250" t="str">
            <v/>
          </cell>
          <cell r="BA250">
            <v>0</v>
          </cell>
          <cell r="BB250" t="str">
            <v>-</v>
          </cell>
          <cell r="BC250">
            <v>0</v>
          </cell>
          <cell r="BD250" t="str">
            <v>-</v>
          </cell>
          <cell r="BE250">
            <v>0</v>
          </cell>
          <cell r="BF250" t="str">
            <v/>
          </cell>
          <cell r="BG250">
            <v>0</v>
          </cell>
          <cell r="BH250" t="str">
            <v>-</v>
          </cell>
          <cell r="BI250">
            <v>0</v>
          </cell>
          <cell r="BJ250" t="str">
            <v>-</v>
          </cell>
          <cell r="BK250">
            <v>0</v>
          </cell>
          <cell r="BL250">
            <v>1.1331027939544287E-2</v>
          </cell>
          <cell r="BM250" t="str">
            <v>-</v>
          </cell>
          <cell r="BN250">
            <v>15</v>
          </cell>
          <cell r="BO250" t="str">
            <v>G</v>
          </cell>
          <cell r="BP250">
            <v>0</v>
          </cell>
          <cell r="BQ250">
            <v>-6.371333737923261E-4</v>
          </cell>
          <cell r="BR250" t="str">
            <v>-</v>
          </cell>
          <cell r="BS250">
            <v>0</v>
          </cell>
          <cell r="BT250">
            <v>0</v>
          </cell>
          <cell r="BU250" t="str">
            <v>-</v>
          </cell>
        </row>
        <row r="251">
          <cell r="A251" t="str">
            <v>20516RET</v>
          </cell>
          <cell r="B251">
            <v>20516</v>
          </cell>
          <cell r="C251" t="str">
            <v>RET</v>
          </cell>
          <cell r="D251" t="e">
            <v>#REF!</v>
          </cell>
          <cell r="E251" t="e">
            <v>#REF!</v>
          </cell>
          <cell r="F251" t="e">
            <v>#REF!</v>
          </cell>
          <cell r="G251" t="str">
            <v>Y</v>
          </cell>
          <cell r="M251" t="e">
            <v>#REF!</v>
          </cell>
          <cell r="N251" t="e">
            <v>#REF!</v>
          </cell>
          <cell r="O251" t="e">
            <v>#REF!</v>
          </cell>
          <cell r="P251" t="e">
            <v>#REF!</v>
          </cell>
          <cell r="Q251" t="e">
            <v>#REF!</v>
          </cell>
          <cell r="R251" t="e">
            <v>#REF!</v>
          </cell>
          <cell r="S251" t="e">
            <v>#REF!</v>
          </cell>
          <cell r="T251" t="e">
            <v>#REF!</v>
          </cell>
          <cell r="U251" t="e">
            <v>#REF!</v>
          </cell>
          <cell r="V251" t="e">
            <v>#REF!</v>
          </cell>
          <cell r="W251" t="e">
            <v>#REF!</v>
          </cell>
          <cell r="X251" t="e">
            <v>#REF!</v>
          </cell>
          <cell r="Y251" t="e">
            <v>#REF!</v>
          </cell>
          <cell r="Z251" t="e">
            <v>#REF!</v>
          </cell>
          <cell r="AA251" t="e">
            <v>#REF!</v>
          </cell>
          <cell r="AB251" t="e">
            <v>#REF!</v>
          </cell>
          <cell r="AC251" t="e">
            <v>#REF!</v>
          </cell>
          <cell r="AD251" t="e">
            <v>#REF!</v>
          </cell>
          <cell r="AE251" t="e">
            <v>#REF!</v>
          </cell>
          <cell r="AF251" t="e">
            <v>#REF!</v>
          </cell>
          <cell r="AG251" t="e">
            <v>#REF!</v>
          </cell>
          <cell r="AH251" t="e">
            <v>#REF!</v>
          </cell>
          <cell r="AI251" t="e">
            <v>#REF!</v>
          </cell>
          <cell r="AJ251" t="e">
            <v>#REF!</v>
          </cell>
          <cell r="AK251" t="e">
            <v>#REF!</v>
          </cell>
          <cell r="AL251" t="e">
            <v>#REF!</v>
          </cell>
          <cell r="AM251" t="e">
            <v>#REF!</v>
          </cell>
          <cell r="AN251" t="e">
            <v>#REF!</v>
          </cell>
          <cell r="AO251" t="e">
            <v>#REF!</v>
          </cell>
          <cell r="AP251" t="e">
            <v>#REF!</v>
          </cell>
          <cell r="AQ251" t="e">
            <v>#REF!</v>
          </cell>
          <cell r="AR251" t="e">
            <v>#REF!</v>
          </cell>
          <cell r="AS251" t="e">
            <v>#REF!</v>
          </cell>
          <cell r="AT251" t="e">
            <v>#REF!</v>
          </cell>
          <cell r="AU251" t="e">
            <v>#REF!</v>
          </cell>
          <cell r="AV251" t="e">
            <v>#REF!</v>
          </cell>
          <cell r="AW251" t="e">
            <v>#REF!</v>
          </cell>
          <cell r="AX251" t="e">
            <v>#REF!</v>
          </cell>
          <cell r="AY251" t="e">
            <v>#REF!</v>
          </cell>
          <cell r="AZ251" t="e">
            <v>#REF!</v>
          </cell>
          <cell r="BA251" t="e">
            <v>#REF!</v>
          </cell>
          <cell r="BB251" t="e">
            <v>#REF!</v>
          </cell>
          <cell r="BC251" t="e">
            <v>#REF!</v>
          </cell>
          <cell r="BD251" t="e">
            <v>#REF!</v>
          </cell>
          <cell r="BE251" t="e">
            <v>#REF!</v>
          </cell>
          <cell r="BF251" t="e">
            <v>#REF!</v>
          </cell>
          <cell r="BG251" t="e">
            <v>#REF!</v>
          </cell>
          <cell r="BH251" t="e">
            <v>#REF!</v>
          </cell>
          <cell r="BI251" t="e">
            <v>#REF!</v>
          </cell>
          <cell r="BJ251" t="e">
            <v>#REF!</v>
          </cell>
          <cell r="BK251" t="e">
            <v>#REF!</v>
          </cell>
          <cell r="BL251" t="e">
            <v>#REF!</v>
          </cell>
          <cell r="BM251" t="e">
            <v>#REF!</v>
          </cell>
          <cell r="BN251" t="e">
            <v>#REF!</v>
          </cell>
          <cell r="BO251" t="e">
            <v>#REF!</v>
          </cell>
          <cell r="BP251" t="e">
            <v>#REF!</v>
          </cell>
          <cell r="BQ251" t="e">
            <v>#REF!</v>
          </cell>
          <cell r="BR251" t="e">
            <v>#REF!</v>
          </cell>
          <cell r="BS251" t="e">
            <v>#REF!</v>
          </cell>
          <cell r="BT251" t="e">
            <v>#REF!</v>
          </cell>
          <cell r="BU251" t="e">
            <v>#REF!</v>
          </cell>
        </row>
        <row r="252">
          <cell r="A252" t="str">
            <v>20517RET</v>
          </cell>
          <cell r="B252">
            <v>20517</v>
          </cell>
          <cell r="C252" t="str">
            <v>RET</v>
          </cell>
          <cell r="D252" t="e">
            <v>#REF!</v>
          </cell>
          <cell r="E252" t="e">
            <v>#REF!</v>
          </cell>
          <cell r="F252" t="e">
            <v>#REF!</v>
          </cell>
          <cell r="G252" t="str">
            <v>Y</v>
          </cell>
          <cell r="M252" t="e">
            <v>#REF!</v>
          </cell>
          <cell r="N252" t="e">
            <v>#REF!</v>
          </cell>
          <cell r="O252" t="e">
            <v>#REF!</v>
          </cell>
          <cell r="P252" t="e">
            <v>#REF!</v>
          </cell>
          <cell r="Q252" t="e">
            <v>#REF!</v>
          </cell>
          <cell r="R252" t="e">
            <v>#REF!</v>
          </cell>
          <cell r="S252" t="e">
            <v>#REF!</v>
          </cell>
          <cell r="T252" t="e">
            <v>#REF!</v>
          </cell>
          <cell r="U252" t="e">
            <v>#REF!</v>
          </cell>
          <cell r="V252" t="e">
            <v>#REF!</v>
          </cell>
          <cell r="W252" t="e">
            <v>#REF!</v>
          </cell>
          <cell r="X252" t="e">
            <v>#REF!</v>
          </cell>
          <cell r="Y252" t="e">
            <v>#REF!</v>
          </cell>
          <cell r="Z252" t="e">
            <v>#REF!</v>
          </cell>
          <cell r="AA252" t="e">
            <v>#REF!</v>
          </cell>
          <cell r="AB252" t="e">
            <v>#REF!</v>
          </cell>
          <cell r="AC252" t="e">
            <v>#REF!</v>
          </cell>
          <cell r="AD252" t="e">
            <v>#REF!</v>
          </cell>
          <cell r="AE252" t="e">
            <v>#REF!</v>
          </cell>
          <cell r="AF252" t="e">
            <v>#REF!</v>
          </cell>
          <cell r="AG252" t="e">
            <v>#REF!</v>
          </cell>
          <cell r="AH252" t="e">
            <v>#REF!</v>
          </cell>
          <cell r="AI252" t="e">
            <v>#REF!</v>
          </cell>
          <cell r="AJ252" t="e">
            <v>#REF!</v>
          </cell>
          <cell r="AK252" t="e">
            <v>#REF!</v>
          </cell>
          <cell r="AL252" t="e">
            <v>#REF!</v>
          </cell>
          <cell r="AM252" t="e">
            <v>#REF!</v>
          </cell>
          <cell r="AN252" t="e">
            <v>#REF!</v>
          </cell>
          <cell r="AO252" t="e">
            <v>#REF!</v>
          </cell>
          <cell r="AP252" t="e">
            <v>#REF!</v>
          </cell>
          <cell r="AQ252" t="e">
            <v>#REF!</v>
          </cell>
          <cell r="AR252" t="e">
            <v>#REF!</v>
          </cell>
          <cell r="AS252" t="e">
            <v>#REF!</v>
          </cell>
          <cell r="AT252" t="e">
            <v>#REF!</v>
          </cell>
          <cell r="AU252" t="e">
            <v>#REF!</v>
          </cell>
          <cell r="AV252" t="e">
            <v>#REF!</v>
          </cell>
          <cell r="AW252" t="e">
            <v>#REF!</v>
          </cell>
          <cell r="AX252" t="e">
            <v>#REF!</v>
          </cell>
          <cell r="AY252" t="e">
            <v>#REF!</v>
          </cell>
          <cell r="AZ252" t="e">
            <v>#REF!</v>
          </cell>
          <cell r="BA252" t="e">
            <v>#REF!</v>
          </cell>
          <cell r="BB252" t="e">
            <v>#REF!</v>
          </cell>
          <cell r="BC252" t="e">
            <v>#REF!</v>
          </cell>
          <cell r="BD252" t="e">
            <v>#REF!</v>
          </cell>
          <cell r="BE252" t="e">
            <v>#REF!</v>
          </cell>
          <cell r="BF252" t="e">
            <v>#REF!</v>
          </cell>
          <cell r="BG252" t="e">
            <v>#REF!</v>
          </cell>
          <cell r="BH252" t="e">
            <v>#REF!</v>
          </cell>
          <cell r="BI252" t="e">
            <v>#REF!</v>
          </cell>
          <cell r="BJ252" t="e">
            <v>#REF!</v>
          </cell>
          <cell r="BK252" t="e">
            <v>#REF!</v>
          </cell>
          <cell r="BL252" t="e">
            <v>#REF!</v>
          </cell>
          <cell r="BM252" t="e">
            <v>#REF!</v>
          </cell>
          <cell r="BN252" t="e">
            <v>#REF!</v>
          </cell>
          <cell r="BO252" t="e">
            <v>#REF!</v>
          </cell>
          <cell r="BP252" t="e">
            <v>#REF!</v>
          </cell>
          <cell r="BQ252" t="e">
            <v>#REF!</v>
          </cell>
          <cell r="BR252" t="e">
            <v>#REF!</v>
          </cell>
          <cell r="BS252" t="e">
            <v>#REF!</v>
          </cell>
          <cell r="BT252" t="e">
            <v>#REF!</v>
          </cell>
          <cell r="BU252" t="e">
            <v>#REF!</v>
          </cell>
        </row>
        <row r="253">
          <cell r="A253" t="str">
            <v>20518RET</v>
          </cell>
          <cell r="B253">
            <v>20518</v>
          </cell>
          <cell r="C253" t="str">
            <v>RET</v>
          </cell>
          <cell r="D253" t="e">
            <v>#REF!</v>
          </cell>
          <cell r="E253" t="e">
            <v>#REF!</v>
          </cell>
          <cell r="F253" t="e">
            <v>#REF!</v>
          </cell>
          <cell r="G253" t="str">
            <v>Y</v>
          </cell>
          <cell r="M253" t="e">
            <v>#REF!</v>
          </cell>
          <cell r="N253" t="e">
            <v>#REF!</v>
          </cell>
          <cell r="O253" t="e">
            <v>#REF!</v>
          </cell>
          <cell r="P253" t="e">
            <v>#REF!</v>
          </cell>
          <cell r="Q253" t="e">
            <v>#REF!</v>
          </cell>
          <cell r="R253" t="e">
            <v>#REF!</v>
          </cell>
          <cell r="S253" t="e">
            <v>#REF!</v>
          </cell>
          <cell r="T253" t="e">
            <v>#REF!</v>
          </cell>
          <cell r="U253" t="e">
            <v>#REF!</v>
          </cell>
          <cell r="V253" t="e">
            <v>#REF!</v>
          </cell>
          <cell r="W253" t="e">
            <v>#REF!</v>
          </cell>
          <cell r="X253" t="e">
            <v>#REF!</v>
          </cell>
          <cell r="Y253" t="e">
            <v>#REF!</v>
          </cell>
          <cell r="Z253" t="e">
            <v>#REF!</v>
          </cell>
          <cell r="AA253" t="e">
            <v>#REF!</v>
          </cell>
          <cell r="AB253" t="e">
            <v>#REF!</v>
          </cell>
          <cell r="AC253" t="e">
            <v>#REF!</v>
          </cell>
          <cell r="AD253" t="e">
            <v>#REF!</v>
          </cell>
          <cell r="AE253" t="e">
            <v>#REF!</v>
          </cell>
          <cell r="AF253" t="e">
            <v>#REF!</v>
          </cell>
          <cell r="AG253" t="e">
            <v>#REF!</v>
          </cell>
          <cell r="AH253" t="e">
            <v>#REF!</v>
          </cell>
          <cell r="AI253" t="e">
            <v>#REF!</v>
          </cell>
          <cell r="AJ253" t="e">
            <v>#REF!</v>
          </cell>
          <cell r="AK253" t="e">
            <v>#REF!</v>
          </cell>
          <cell r="AL253" t="e">
            <v>#REF!</v>
          </cell>
          <cell r="AM253" t="e">
            <v>#REF!</v>
          </cell>
          <cell r="AN253" t="e">
            <v>#REF!</v>
          </cell>
          <cell r="AO253" t="e">
            <v>#REF!</v>
          </cell>
          <cell r="AP253" t="e">
            <v>#REF!</v>
          </cell>
          <cell r="AQ253" t="e">
            <v>#REF!</v>
          </cell>
          <cell r="AR253" t="e">
            <v>#REF!</v>
          </cell>
          <cell r="AS253" t="e">
            <v>#REF!</v>
          </cell>
          <cell r="AT253" t="e">
            <v>#REF!</v>
          </cell>
          <cell r="AU253" t="e">
            <v>#REF!</v>
          </cell>
          <cell r="AV253" t="e">
            <v>#REF!</v>
          </cell>
          <cell r="AW253" t="e">
            <v>#REF!</v>
          </cell>
          <cell r="AX253" t="e">
            <v>#REF!</v>
          </cell>
          <cell r="AY253" t="e">
            <v>#REF!</v>
          </cell>
          <cell r="AZ253" t="e">
            <v>#REF!</v>
          </cell>
          <cell r="BA253" t="e">
            <v>#REF!</v>
          </cell>
          <cell r="BB253" t="e">
            <v>#REF!</v>
          </cell>
          <cell r="BC253" t="e">
            <v>#REF!</v>
          </cell>
          <cell r="BD253" t="e">
            <v>#REF!</v>
          </cell>
          <cell r="BE253" t="e">
            <v>#REF!</v>
          </cell>
          <cell r="BF253" t="e">
            <v>#REF!</v>
          </cell>
          <cell r="BG253" t="e">
            <v>#REF!</v>
          </cell>
          <cell r="BH253" t="e">
            <v>#REF!</v>
          </cell>
          <cell r="BI253" t="e">
            <v>#REF!</v>
          </cell>
          <cell r="BJ253" t="e">
            <v>#REF!</v>
          </cell>
          <cell r="BK253" t="e">
            <v>#REF!</v>
          </cell>
          <cell r="BL253" t="e">
            <v>#REF!</v>
          </cell>
          <cell r="BM253" t="e">
            <v>#REF!</v>
          </cell>
          <cell r="BN253" t="e">
            <v>#REF!</v>
          </cell>
          <cell r="BO253" t="e">
            <v>#REF!</v>
          </cell>
          <cell r="BP253" t="e">
            <v>#REF!</v>
          </cell>
          <cell r="BQ253" t="e">
            <v>#REF!</v>
          </cell>
          <cell r="BR253" t="e">
            <v>#REF!</v>
          </cell>
          <cell r="BS253" t="e">
            <v>#REF!</v>
          </cell>
          <cell r="BT253" t="e">
            <v>#REF!</v>
          </cell>
          <cell r="BU253" t="e">
            <v>#REF!</v>
          </cell>
        </row>
        <row r="254">
          <cell r="A254" t="str">
            <v>20519RET</v>
          </cell>
          <cell r="B254">
            <v>20519</v>
          </cell>
          <cell r="C254" t="str">
            <v>RET</v>
          </cell>
          <cell r="D254" t="e">
            <v>#REF!</v>
          </cell>
          <cell r="E254" t="e">
            <v>#REF!</v>
          </cell>
          <cell r="F254" t="e">
            <v>#REF!</v>
          </cell>
          <cell r="G254" t="str">
            <v>Y</v>
          </cell>
          <cell r="M254" t="e">
            <v>#REF!</v>
          </cell>
          <cell r="N254" t="e">
            <v>#REF!</v>
          </cell>
          <cell r="O254" t="e">
            <v>#REF!</v>
          </cell>
          <cell r="P254" t="e">
            <v>#REF!</v>
          </cell>
          <cell r="Q254" t="e">
            <v>#REF!</v>
          </cell>
          <cell r="R254" t="e">
            <v>#REF!</v>
          </cell>
          <cell r="S254" t="e">
            <v>#REF!</v>
          </cell>
          <cell r="T254" t="e">
            <v>#REF!</v>
          </cell>
          <cell r="U254" t="e">
            <v>#REF!</v>
          </cell>
          <cell r="V254" t="e">
            <v>#REF!</v>
          </cell>
          <cell r="W254" t="e">
            <v>#REF!</v>
          </cell>
          <cell r="X254" t="e">
            <v>#REF!</v>
          </cell>
          <cell r="Y254" t="e">
            <v>#REF!</v>
          </cell>
          <cell r="Z254" t="e">
            <v>#REF!</v>
          </cell>
          <cell r="AA254" t="e">
            <v>#REF!</v>
          </cell>
          <cell r="AB254" t="e">
            <v>#REF!</v>
          </cell>
          <cell r="AC254" t="e">
            <v>#REF!</v>
          </cell>
          <cell r="AD254" t="e">
            <v>#REF!</v>
          </cell>
          <cell r="AE254" t="e">
            <v>#REF!</v>
          </cell>
          <cell r="AF254" t="e">
            <v>#REF!</v>
          </cell>
          <cell r="AG254" t="e">
            <v>#REF!</v>
          </cell>
          <cell r="AH254" t="e">
            <v>#REF!</v>
          </cell>
          <cell r="AI254" t="e">
            <v>#REF!</v>
          </cell>
          <cell r="AJ254" t="e">
            <v>#REF!</v>
          </cell>
          <cell r="AK254" t="e">
            <v>#REF!</v>
          </cell>
          <cell r="AL254" t="e">
            <v>#REF!</v>
          </cell>
          <cell r="AM254" t="e">
            <v>#REF!</v>
          </cell>
          <cell r="AN254" t="e">
            <v>#REF!</v>
          </cell>
          <cell r="AO254" t="e">
            <v>#REF!</v>
          </cell>
          <cell r="AP254" t="e">
            <v>#REF!</v>
          </cell>
          <cell r="AQ254" t="e">
            <v>#REF!</v>
          </cell>
          <cell r="AR254" t="e">
            <v>#REF!</v>
          </cell>
          <cell r="AS254" t="e">
            <v>#REF!</v>
          </cell>
          <cell r="AT254" t="e">
            <v>#REF!</v>
          </cell>
          <cell r="AU254" t="e">
            <v>#REF!</v>
          </cell>
          <cell r="AV254" t="e">
            <v>#REF!</v>
          </cell>
          <cell r="AW254" t="e">
            <v>#REF!</v>
          </cell>
          <cell r="AX254" t="e">
            <v>#REF!</v>
          </cell>
          <cell r="AY254" t="e">
            <v>#REF!</v>
          </cell>
          <cell r="AZ254" t="e">
            <v>#REF!</v>
          </cell>
          <cell r="BA254" t="e">
            <v>#REF!</v>
          </cell>
          <cell r="BB254" t="e">
            <v>#REF!</v>
          </cell>
          <cell r="BC254" t="e">
            <v>#REF!</v>
          </cell>
          <cell r="BD254" t="e">
            <v>#REF!</v>
          </cell>
          <cell r="BE254" t="e">
            <v>#REF!</v>
          </cell>
          <cell r="BF254" t="e">
            <v>#REF!</v>
          </cell>
          <cell r="BG254" t="e">
            <v>#REF!</v>
          </cell>
          <cell r="BH254" t="e">
            <v>#REF!</v>
          </cell>
          <cell r="BI254" t="e">
            <v>#REF!</v>
          </cell>
          <cell r="BJ254" t="e">
            <v>#REF!</v>
          </cell>
          <cell r="BK254" t="e">
            <v>#REF!</v>
          </cell>
          <cell r="BL254" t="e">
            <v>#REF!</v>
          </cell>
          <cell r="BM254" t="e">
            <v>#REF!</v>
          </cell>
          <cell r="BN254" t="e">
            <v>#REF!</v>
          </cell>
          <cell r="BO254" t="e">
            <v>#REF!</v>
          </cell>
          <cell r="BP254" t="e">
            <v>#REF!</v>
          </cell>
          <cell r="BQ254" t="e">
            <v>#REF!</v>
          </cell>
          <cell r="BR254" t="e">
            <v>#REF!</v>
          </cell>
          <cell r="BS254" t="e">
            <v>#REF!</v>
          </cell>
          <cell r="BT254" t="e">
            <v>#REF!</v>
          </cell>
          <cell r="BU254" t="e">
            <v>#REF!</v>
          </cell>
        </row>
        <row r="255">
          <cell r="A255" t="str">
            <v>20520RET</v>
          </cell>
          <cell r="B255">
            <v>20520</v>
          </cell>
          <cell r="C255" t="str">
            <v>RET</v>
          </cell>
          <cell r="D255" t="e">
            <v>#REF!</v>
          </cell>
          <cell r="E255" t="e">
            <v>#REF!</v>
          </cell>
          <cell r="F255" t="e">
            <v>#REF!</v>
          </cell>
          <cell r="G255" t="str">
            <v>Y</v>
          </cell>
          <cell r="M255" t="e">
            <v>#REF!</v>
          </cell>
          <cell r="N255" t="e">
            <v>#REF!</v>
          </cell>
          <cell r="O255" t="e">
            <v>#REF!</v>
          </cell>
          <cell r="P255" t="e">
            <v>#REF!</v>
          </cell>
          <cell r="Q255" t="e">
            <v>#REF!</v>
          </cell>
          <cell r="R255" t="e">
            <v>#REF!</v>
          </cell>
          <cell r="S255" t="e">
            <v>#REF!</v>
          </cell>
          <cell r="T255" t="e">
            <v>#REF!</v>
          </cell>
          <cell r="U255" t="e">
            <v>#REF!</v>
          </cell>
          <cell r="V255" t="e">
            <v>#REF!</v>
          </cell>
          <cell r="W255" t="e">
            <v>#REF!</v>
          </cell>
          <cell r="X255" t="e">
            <v>#REF!</v>
          </cell>
          <cell r="Y255" t="e">
            <v>#REF!</v>
          </cell>
          <cell r="Z255" t="e">
            <v>#REF!</v>
          </cell>
          <cell r="AA255" t="e">
            <v>#REF!</v>
          </cell>
          <cell r="AB255" t="e">
            <v>#REF!</v>
          </cell>
          <cell r="AC255" t="e">
            <v>#REF!</v>
          </cell>
          <cell r="AD255" t="e">
            <v>#REF!</v>
          </cell>
          <cell r="AE255" t="e">
            <v>#REF!</v>
          </cell>
          <cell r="AF255" t="e">
            <v>#REF!</v>
          </cell>
          <cell r="AG255" t="e">
            <v>#REF!</v>
          </cell>
          <cell r="AH255" t="e">
            <v>#REF!</v>
          </cell>
          <cell r="AI255" t="e">
            <v>#REF!</v>
          </cell>
          <cell r="AJ255" t="e">
            <v>#REF!</v>
          </cell>
          <cell r="AK255" t="e">
            <v>#REF!</v>
          </cell>
          <cell r="AL255" t="e">
            <v>#REF!</v>
          </cell>
          <cell r="AM255" t="e">
            <v>#REF!</v>
          </cell>
          <cell r="AN255" t="e">
            <v>#REF!</v>
          </cell>
          <cell r="AO255" t="e">
            <v>#REF!</v>
          </cell>
          <cell r="AP255" t="e">
            <v>#REF!</v>
          </cell>
          <cell r="AQ255" t="e">
            <v>#REF!</v>
          </cell>
          <cell r="AR255" t="e">
            <v>#REF!</v>
          </cell>
          <cell r="AS255" t="e">
            <v>#REF!</v>
          </cell>
          <cell r="AT255" t="e">
            <v>#REF!</v>
          </cell>
          <cell r="AU255" t="e">
            <v>#REF!</v>
          </cell>
          <cell r="AV255" t="e">
            <v>#REF!</v>
          </cell>
          <cell r="AW255" t="e">
            <v>#REF!</v>
          </cell>
          <cell r="AX255" t="e">
            <v>#REF!</v>
          </cell>
          <cell r="AY255" t="e">
            <v>#REF!</v>
          </cell>
          <cell r="AZ255" t="e">
            <v>#REF!</v>
          </cell>
          <cell r="BA255" t="e">
            <v>#REF!</v>
          </cell>
          <cell r="BB255" t="e">
            <v>#REF!</v>
          </cell>
          <cell r="BC255" t="e">
            <v>#REF!</v>
          </cell>
          <cell r="BD255" t="e">
            <v>#REF!</v>
          </cell>
          <cell r="BE255" t="e">
            <v>#REF!</v>
          </cell>
          <cell r="BF255" t="e">
            <v>#REF!</v>
          </cell>
          <cell r="BG255" t="e">
            <v>#REF!</v>
          </cell>
          <cell r="BH255" t="e">
            <v>#REF!</v>
          </cell>
          <cell r="BI255" t="e">
            <v>#REF!</v>
          </cell>
          <cell r="BJ255" t="e">
            <v>#REF!</v>
          </cell>
          <cell r="BK255" t="e">
            <v>#REF!</v>
          </cell>
          <cell r="BL255" t="e">
            <v>#REF!</v>
          </cell>
          <cell r="BM255" t="e">
            <v>#REF!</v>
          </cell>
          <cell r="BN255" t="e">
            <v>#REF!</v>
          </cell>
          <cell r="BO255" t="e">
            <v>#REF!</v>
          </cell>
          <cell r="BP255" t="e">
            <v>#REF!</v>
          </cell>
          <cell r="BQ255" t="e">
            <v>#REF!</v>
          </cell>
          <cell r="BR255" t="e">
            <v>#REF!</v>
          </cell>
          <cell r="BS255" t="e">
            <v>#REF!</v>
          </cell>
          <cell r="BT255" t="e">
            <v>#REF!</v>
          </cell>
          <cell r="BU255" t="e">
            <v>#REF!</v>
          </cell>
        </row>
        <row r="256">
          <cell r="A256" t="str">
            <v>20521RET</v>
          </cell>
          <cell r="B256">
            <v>20521</v>
          </cell>
          <cell r="C256" t="str">
            <v>RET</v>
          </cell>
          <cell r="D256" t="e">
            <v>#REF!</v>
          </cell>
          <cell r="E256" t="e">
            <v>#REF!</v>
          </cell>
          <cell r="F256" t="e">
            <v>#REF!</v>
          </cell>
          <cell r="G256" t="str">
            <v>Y</v>
          </cell>
          <cell r="M256" t="e">
            <v>#REF!</v>
          </cell>
          <cell r="N256" t="e">
            <v>#REF!</v>
          </cell>
          <cell r="O256" t="e">
            <v>#REF!</v>
          </cell>
          <cell r="P256" t="e">
            <v>#REF!</v>
          </cell>
          <cell r="Q256" t="e">
            <v>#REF!</v>
          </cell>
          <cell r="R256" t="e">
            <v>#REF!</v>
          </cell>
          <cell r="S256" t="e">
            <v>#REF!</v>
          </cell>
          <cell r="T256" t="e">
            <v>#REF!</v>
          </cell>
          <cell r="U256" t="e">
            <v>#REF!</v>
          </cell>
          <cell r="V256" t="e">
            <v>#REF!</v>
          </cell>
          <cell r="W256" t="e">
            <v>#REF!</v>
          </cell>
          <cell r="X256" t="e">
            <v>#REF!</v>
          </cell>
          <cell r="Y256" t="e">
            <v>#REF!</v>
          </cell>
          <cell r="Z256" t="e">
            <v>#REF!</v>
          </cell>
          <cell r="AA256" t="e">
            <v>#REF!</v>
          </cell>
          <cell r="AB256" t="e">
            <v>#REF!</v>
          </cell>
          <cell r="AC256" t="e">
            <v>#REF!</v>
          </cell>
          <cell r="AD256" t="e">
            <v>#REF!</v>
          </cell>
          <cell r="AE256" t="e">
            <v>#REF!</v>
          </cell>
          <cell r="AF256" t="e">
            <v>#REF!</v>
          </cell>
          <cell r="AG256" t="e">
            <v>#REF!</v>
          </cell>
          <cell r="AH256" t="e">
            <v>#REF!</v>
          </cell>
          <cell r="AI256" t="e">
            <v>#REF!</v>
          </cell>
          <cell r="AJ256" t="e">
            <v>#REF!</v>
          </cell>
          <cell r="AK256" t="e">
            <v>#REF!</v>
          </cell>
          <cell r="AL256" t="e">
            <v>#REF!</v>
          </cell>
          <cell r="AM256" t="e">
            <v>#REF!</v>
          </cell>
          <cell r="AN256" t="e">
            <v>#REF!</v>
          </cell>
          <cell r="AO256" t="e">
            <v>#REF!</v>
          </cell>
          <cell r="AP256" t="e">
            <v>#REF!</v>
          </cell>
          <cell r="AQ256" t="e">
            <v>#REF!</v>
          </cell>
          <cell r="AR256" t="e">
            <v>#REF!</v>
          </cell>
          <cell r="AS256" t="e">
            <v>#REF!</v>
          </cell>
          <cell r="AT256" t="e">
            <v>#REF!</v>
          </cell>
          <cell r="AU256" t="e">
            <v>#REF!</v>
          </cell>
          <cell r="AV256" t="e">
            <v>#REF!</v>
          </cell>
          <cell r="AW256" t="e">
            <v>#REF!</v>
          </cell>
          <cell r="AX256" t="e">
            <v>#REF!</v>
          </cell>
          <cell r="AY256" t="e">
            <v>#REF!</v>
          </cell>
          <cell r="AZ256" t="e">
            <v>#REF!</v>
          </cell>
          <cell r="BA256" t="e">
            <v>#REF!</v>
          </cell>
          <cell r="BB256" t="e">
            <v>#REF!</v>
          </cell>
          <cell r="BC256" t="e">
            <v>#REF!</v>
          </cell>
          <cell r="BD256" t="e">
            <v>#REF!</v>
          </cell>
          <cell r="BE256" t="e">
            <v>#REF!</v>
          </cell>
          <cell r="BF256" t="e">
            <v>#REF!</v>
          </cell>
          <cell r="BG256" t="e">
            <v>#REF!</v>
          </cell>
          <cell r="BH256" t="e">
            <v>#REF!</v>
          </cell>
          <cell r="BI256" t="e">
            <v>#REF!</v>
          </cell>
          <cell r="BJ256" t="e">
            <v>#REF!</v>
          </cell>
          <cell r="BK256" t="e">
            <v>#REF!</v>
          </cell>
          <cell r="BL256" t="e">
            <v>#REF!</v>
          </cell>
          <cell r="BM256" t="e">
            <v>#REF!</v>
          </cell>
          <cell r="BN256" t="e">
            <v>#REF!</v>
          </cell>
          <cell r="BO256" t="e">
            <v>#REF!</v>
          </cell>
          <cell r="BP256" t="e">
            <v>#REF!</v>
          </cell>
          <cell r="BQ256" t="e">
            <v>#REF!</v>
          </cell>
          <cell r="BR256" t="e">
            <v>#REF!</v>
          </cell>
          <cell r="BS256" t="e">
            <v>#REF!</v>
          </cell>
          <cell r="BT256" t="e">
            <v>#REF!</v>
          </cell>
          <cell r="BU256" t="e">
            <v>#REF!</v>
          </cell>
        </row>
        <row r="257">
          <cell r="A257" t="str">
            <v>20522RET</v>
          </cell>
          <cell r="B257">
            <v>20522</v>
          </cell>
          <cell r="C257" t="str">
            <v>RET</v>
          </cell>
          <cell r="D257" t="str">
            <v>Interior Lighting</v>
          </cell>
          <cell r="E257" t="str">
            <v>Refrigerator/Freezer Case LEDs</v>
          </cell>
          <cell r="F257" t="str">
            <v>C</v>
          </cell>
          <cell r="G257" t="str">
            <v>Y</v>
          </cell>
          <cell r="M257" t="str">
            <v>RET</v>
          </cell>
          <cell r="N257" t="str">
            <v>Vertical and horizontal fluorescent refrigerated case lighting</v>
          </cell>
          <cell r="O257">
            <v>2021</v>
          </cell>
          <cell r="P257">
            <v>2030</v>
          </cell>
          <cell r="Q257" t="str">
            <v>Large Grocery</v>
          </cell>
          <cell r="R257" t="str">
            <v/>
          </cell>
          <cell r="S257">
            <v>0</v>
          </cell>
          <cell r="T257">
            <v>0</v>
          </cell>
          <cell r="U257">
            <v>0</v>
          </cell>
          <cell r="V257">
            <v>0</v>
          </cell>
          <cell r="W257">
            <v>0.83804889515749903</v>
          </cell>
          <cell r="X257" t="str">
            <v>-</v>
          </cell>
          <cell r="Y257" t="str">
            <v>3,8</v>
          </cell>
          <cell r="Z257" t="str">
            <v>3,8</v>
          </cell>
          <cell r="AA257">
            <v>0</v>
          </cell>
          <cell r="AB257">
            <v>0</v>
          </cell>
          <cell r="AC257">
            <v>0</v>
          </cell>
          <cell r="AD257">
            <v>0.55890599568102339</v>
          </cell>
          <cell r="AE257">
            <v>4</v>
          </cell>
          <cell r="AF257">
            <v>4</v>
          </cell>
          <cell r="AG257">
            <v>0</v>
          </cell>
          <cell r="AH257">
            <v>0</v>
          </cell>
          <cell r="AI257">
            <v>0</v>
          </cell>
          <cell r="AJ257">
            <v>0</v>
          </cell>
          <cell r="AK257">
            <v>0</v>
          </cell>
          <cell r="AL257" t="str">
            <v>-</v>
          </cell>
          <cell r="AM257" t="str">
            <v>-</v>
          </cell>
          <cell r="AN257" t="str">
            <v/>
          </cell>
          <cell r="AO257">
            <v>0</v>
          </cell>
          <cell r="AP257" t="str">
            <v>-</v>
          </cell>
          <cell r="AQ257">
            <v>0</v>
          </cell>
          <cell r="AR257" t="str">
            <v>-</v>
          </cell>
          <cell r="AS257">
            <v>0</v>
          </cell>
          <cell r="AT257" t="str">
            <v/>
          </cell>
          <cell r="AU257">
            <v>0</v>
          </cell>
          <cell r="AV257" t="str">
            <v>-</v>
          </cell>
          <cell r="AW257">
            <v>0</v>
          </cell>
          <cell r="AX257" t="str">
            <v>-</v>
          </cell>
          <cell r="AY257">
            <v>0</v>
          </cell>
          <cell r="AZ257" t="str">
            <v/>
          </cell>
          <cell r="BA257">
            <v>0</v>
          </cell>
          <cell r="BB257" t="str">
            <v>-</v>
          </cell>
          <cell r="BC257">
            <v>0</v>
          </cell>
          <cell r="BD257" t="str">
            <v>-</v>
          </cell>
          <cell r="BE257">
            <v>0</v>
          </cell>
          <cell r="BF257" t="str">
            <v/>
          </cell>
          <cell r="BG257">
            <v>0</v>
          </cell>
          <cell r="BH257" t="str">
            <v>-</v>
          </cell>
          <cell r="BI257">
            <v>0</v>
          </cell>
          <cell r="BJ257" t="str">
            <v>-</v>
          </cell>
          <cell r="BK257">
            <v>0</v>
          </cell>
          <cell r="BL257">
            <v>0</v>
          </cell>
          <cell r="BM257" t="str">
            <v>-</v>
          </cell>
          <cell r="BN257">
            <v>8</v>
          </cell>
          <cell r="BO257" t="str">
            <v/>
          </cell>
          <cell r="BP257">
            <v>0</v>
          </cell>
          <cell r="BQ257">
            <v>0</v>
          </cell>
          <cell r="BR257" t="str">
            <v>-</v>
          </cell>
          <cell r="BS257">
            <v>0</v>
          </cell>
          <cell r="BT257">
            <v>0</v>
          </cell>
          <cell r="BU257" t="str">
            <v>-</v>
          </cell>
        </row>
        <row r="258">
          <cell r="A258" t="str">
            <v>20522MD</v>
          </cell>
          <cell r="B258">
            <v>20522</v>
          </cell>
          <cell r="C258" t="str">
            <v>MD</v>
          </cell>
          <cell r="D258" t="e">
            <v>#N/A</v>
          </cell>
          <cell r="E258" t="e">
            <v>#N/A</v>
          </cell>
          <cell r="F258" t="e">
            <v>#N/A</v>
          </cell>
          <cell r="G258" t="str">
            <v>N</v>
          </cell>
          <cell r="M258" t="e">
            <v>#N/A</v>
          </cell>
          <cell r="N258" t="e">
            <v>#N/A</v>
          </cell>
          <cell r="O258" t="e">
            <v>#N/A</v>
          </cell>
          <cell r="P258" t="e">
            <v>#N/A</v>
          </cell>
          <cell r="Q258" t="e">
            <v>#N/A</v>
          </cell>
          <cell r="R258" t="e">
            <v>#N/A</v>
          </cell>
          <cell r="S258" t="e">
            <v>#N/A</v>
          </cell>
          <cell r="T258" t="e">
            <v>#N/A</v>
          </cell>
          <cell r="U258" t="e">
            <v>#N/A</v>
          </cell>
          <cell r="V258" t="e">
            <v>#N/A</v>
          </cell>
          <cell r="W258" t="e">
            <v>#N/A</v>
          </cell>
          <cell r="X258" t="e">
            <v>#N/A</v>
          </cell>
          <cell r="Y258" t="e">
            <v>#N/A</v>
          </cell>
          <cell r="Z258" t="e">
            <v>#N/A</v>
          </cell>
          <cell r="AA258" t="e">
            <v>#N/A</v>
          </cell>
          <cell r="AB258" t="e">
            <v>#N/A</v>
          </cell>
          <cell r="AC258" t="e">
            <v>#N/A</v>
          </cell>
          <cell r="AD258" t="e">
            <v>#N/A</v>
          </cell>
          <cell r="AE258" t="e">
            <v>#N/A</v>
          </cell>
          <cell r="AF258" t="e">
            <v>#N/A</v>
          </cell>
          <cell r="AG258" t="e">
            <v>#N/A</v>
          </cell>
          <cell r="AH258" t="e">
            <v>#N/A</v>
          </cell>
          <cell r="AI258" t="e">
            <v>#N/A</v>
          </cell>
          <cell r="AJ258" t="e">
            <v>#N/A</v>
          </cell>
          <cell r="AK258" t="e">
            <v>#N/A</v>
          </cell>
          <cell r="AL258" t="e">
            <v>#N/A</v>
          </cell>
          <cell r="AM258" t="e">
            <v>#N/A</v>
          </cell>
          <cell r="AN258" t="e">
            <v>#N/A</v>
          </cell>
          <cell r="AO258" t="e">
            <v>#N/A</v>
          </cell>
          <cell r="AP258" t="e">
            <v>#N/A</v>
          </cell>
          <cell r="AQ258" t="e">
            <v>#N/A</v>
          </cell>
          <cell r="AR258" t="e">
            <v>#N/A</v>
          </cell>
          <cell r="AS258" t="e">
            <v>#N/A</v>
          </cell>
          <cell r="AT258" t="e">
            <v>#N/A</v>
          </cell>
          <cell r="AU258" t="e">
            <v>#N/A</v>
          </cell>
          <cell r="AV258" t="e">
            <v>#N/A</v>
          </cell>
          <cell r="AW258" t="e">
            <v>#N/A</v>
          </cell>
          <cell r="AX258" t="e">
            <v>#N/A</v>
          </cell>
          <cell r="AY258" t="e">
            <v>#N/A</v>
          </cell>
          <cell r="AZ258" t="e">
            <v>#N/A</v>
          </cell>
          <cell r="BA258" t="e">
            <v>#N/A</v>
          </cell>
          <cell r="BB258" t="e">
            <v>#N/A</v>
          </cell>
          <cell r="BC258" t="e">
            <v>#N/A</v>
          </cell>
          <cell r="BD258" t="e">
            <v>#N/A</v>
          </cell>
          <cell r="BE258" t="e">
            <v>#N/A</v>
          </cell>
          <cell r="BF258" t="e">
            <v>#N/A</v>
          </cell>
          <cell r="BG258" t="e">
            <v>#N/A</v>
          </cell>
          <cell r="BH258" t="e">
            <v>#N/A</v>
          </cell>
          <cell r="BI258" t="e">
            <v>#N/A</v>
          </cell>
          <cell r="BJ258" t="e">
            <v>#N/A</v>
          </cell>
          <cell r="BK258" t="e">
            <v>#N/A</v>
          </cell>
          <cell r="BL258" t="e">
            <v>#N/A</v>
          </cell>
          <cell r="BM258" t="e">
            <v>#N/A</v>
          </cell>
          <cell r="BN258" t="e">
            <v>#N/A</v>
          </cell>
          <cell r="BO258" t="e">
            <v>#N/A</v>
          </cell>
          <cell r="BP258" t="e">
            <v>#N/A</v>
          </cell>
          <cell r="BQ258" t="e">
            <v>#N/A</v>
          </cell>
          <cell r="BR258" t="e">
            <v>#N/A</v>
          </cell>
          <cell r="BS258" t="e">
            <v>#N/A</v>
          </cell>
          <cell r="BT258" t="e">
            <v>#N/A</v>
          </cell>
          <cell r="BU258" t="e">
            <v>#N/A</v>
          </cell>
        </row>
        <row r="259">
          <cell r="A259" t="str">
            <v>20523RET</v>
          </cell>
          <cell r="B259">
            <v>20523</v>
          </cell>
          <cell r="C259" t="str">
            <v>RET</v>
          </cell>
          <cell r="D259" t="str">
            <v>Interior Lighting</v>
          </cell>
          <cell r="E259" t="str">
            <v>Interior Lighting Controls</v>
          </cell>
          <cell r="F259" t="str">
            <v>C</v>
          </cell>
          <cell r="G259" t="str">
            <v>Y</v>
          </cell>
          <cell r="M259" t="str">
            <v>RET</v>
          </cell>
          <cell r="N259" t="str">
            <v>Manual control</v>
          </cell>
          <cell r="O259">
            <v>2021</v>
          </cell>
          <cell r="P259">
            <v>2030</v>
          </cell>
          <cell r="Q259" t="str">
            <v>Small Office</v>
          </cell>
          <cell r="R259" t="str">
            <v/>
          </cell>
          <cell r="S259">
            <v>0</v>
          </cell>
          <cell r="T259">
            <v>0</v>
          </cell>
          <cell r="U259">
            <v>0</v>
          </cell>
          <cell r="V259">
            <v>0</v>
          </cell>
          <cell r="W259">
            <v>0.38</v>
          </cell>
          <cell r="X259" t="str">
            <v>-</v>
          </cell>
          <cell r="Y259" t="str">
            <v>3,6,7,23</v>
          </cell>
          <cell r="Z259" t="str">
            <v>3,6,7,23</v>
          </cell>
          <cell r="AA259">
            <v>0</v>
          </cell>
          <cell r="AB259">
            <v>0</v>
          </cell>
          <cell r="AC259">
            <v>0</v>
          </cell>
          <cell r="AD259">
            <v>1.0867807323452485</v>
          </cell>
          <cell r="AE259">
            <v>4</v>
          </cell>
          <cell r="AF259">
            <v>4</v>
          </cell>
          <cell r="AG259">
            <v>0</v>
          </cell>
          <cell r="AH259">
            <v>0</v>
          </cell>
          <cell r="AI259">
            <v>0</v>
          </cell>
          <cell r="AJ259">
            <v>0</v>
          </cell>
          <cell r="AK259">
            <v>0</v>
          </cell>
          <cell r="AL259" t="str">
            <v>-</v>
          </cell>
          <cell r="AM259" t="str">
            <v>-</v>
          </cell>
          <cell r="AN259" t="str">
            <v/>
          </cell>
          <cell r="AO259">
            <v>0</v>
          </cell>
          <cell r="AP259" t="str">
            <v>-</v>
          </cell>
          <cell r="AQ259">
            <v>0</v>
          </cell>
          <cell r="AR259" t="str">
            <v>-</v>
          </cell>
          <cell r="AS259">
            <v>0</v>
          </cell>
          <cell r="AT259" t="str">
            <v/>
          </cell>
          <cell r="AU259">
            <v>0</v>
          </cell>
          <cell r="AV259" t="str">
            <v>-</v>
          </cell>
          <cell r="AW259">
            <v>0</v>
          </cell>
          <cell r="AX259" t="str">
            <v>-</v>
          </cell>
          <cell r="AY259">
            <v>0</v>
          </cell>
          <cell r="AZ259" t="str">
            <v/>
          </cell>
          <cell r="BA259">
            <v>0</v>
          </cell>
          <cell r="BB259" t="str">
            <v>-</v>
          </cell>
          <cell r="BC259">
            <v>0</v>
          </cell>
          <cell r="BD259" t="str">
            <v>-</v>
          </cell>
          <cell r="BE259">
            <v>0</v>
          </cell>
          <cell r="BF259" t="str">
            <v/>
          </cell>
          <cell r="BG259">
            <v>0</v>
          </cell>
          <cell r="BH259" t="str">
            <v>-</v>
          </cell>
          <cell r="BI259">
            <v>0</v>
          </cell>
          <cell r="BJ259" t="str">
            <v>-</v>
          </cell>
          <cell r="BK259">
            <v>0</v>
          </cell>
          <cell r="BL259">
            <v>0</v>
          </cell>
          <cell r="BM259" t="str">
            <v>-</v>
          </cell>
          <cell r="BN259">
            <v>8</v>
          </cell>
          <cell r="BO259" t="str">
            <v/>
          </cell>
          <cell r="BP259">
            <v>0</v>
          </cell>
          <cell r="BQ259">
            <v>0</v>
          </cell>
          <cell r="BR259" t="str">
            <v>-</v>
          </cell>
          <cell r="BS259">
            <v>0</v>
          </cell>
          <cell r="BT259">
            <v>0</v>
          </cell>
          <cell r="BU259" t="str">
            <v>-</v>
          </cell>
        </row>
        <row r="260">
          <cell r="A260" t="str">
            <v>20524RET</v>
          </cell>
          <cell r="B260">
            <v>20524</v>
          </cell>
          <cell r="C260" t="str">
            <v>RET</v>
          </cell>
          <cell r="D260" t="str">
            <v>Interior Lighting</v>
          </cell>
          <cell r="E260" t="str">
            <v>Interior Lighting Controls</v>
          </cell>
          <cell r="F260" t="str">
            <v>C</v>
          </cell>
          <cell r="G260" t="str">
            <v>Y</v>
          </cell>
          <cell r="M260" t="str">
            <v>RET</v>
          </cell>
          <cell r="N260" t="str">
            <v>Manual control</v>
          </cell>
          <cell r="O260">
            <v>2021</v>
          </cell>
          <cell r="P260">
            <v>2030</v>
          </cell>
          <cell r="Q260" t="str">
            <v>Small Office</v>
          </cell>
          <cell r="R260" t="str">
            <v/>
          </cell>
          <cell r="S260">
            <v>0</v>
          </cell>
          <cell r="T260">
            <v>0</v>
          </cell>
          <cell r="U260">
            <v>0</v>
          </cell>
          <cell r="V260">
            <v>0</v>
          </cell>
          <cell r="W260">
            <v>0.3234865698324022</v>
          </cell>
          <cell r="X260" t="str">
            <v>-</v>
          </cell>
          <cell r="Y260" t="str">
            <v>3,6,7,23</v>
          </cell>
          <cell r="Z260" t="str">
            <v>3,6,7,23</v>
          </cell>
          <cell r="AA260">
            <v>0</v>
          </cell>
          <cell r="AB260">
            <v>0</v>
          </cell>
          <cell r="AC260">
            <v>0</v>
          </cell>
          <cell r="AD260">
            <v>1.2769359671388163</v>
          </cell>
          <cell r="AE260">
            <v>4</v>
          </cell>
          <cell r="AF260">
            <v>4</v>
          </cell>
          <cell r="AG260">
            <v>0</v>
          </cell>
          <cell r="AH260">
            <v>0</v>
          </cell>
          <cell r="AI260">
            <v>0</v>
          </cell>
          <cell r="AJ260">
            <v>0</v>
          </cell>
          <cell r="AK260">
            <v>0</v>
          </cell>
          <cell r="AL260" t="str">
            <v>-</v>
          </cell>
          <cell r="AM260" t="str">
            <v>-</v>
          </cell>
          <cell r="AN260" t="str">
            <v/>
          </cell>
          <cell r="AO260">
            <v>0</v>
          </cell>
          <cell r="AP260" t="str">
            <v>-</v>
          </cell>
          <cell r="AQ260">
            <v>0</v>
          </cell>
          <cell r="AR260" t="str">
            <v>-</v>
          </cell>
          <cell r="AS260">
            <v>0</v>
          </cell>
          <cell r="AT260" t="str">
            <v/>
          </cell>
          <cell r="AU260">
            <v>0</v>
          </cell>
          <cell r="AV260" t="str">
            <v>-</v>
          </cell>
          <cell r="AW260">
            <v>0</v>
          </cell>
          <cell r="AX260" t="str">
            <v>-</v>
          </cell>
          <cell r="AY260">
            <v>0</v>
          </cell>
          <cell r="AZ260" t="str">
            <v/>
          </cell>
          <cell r="BA260">
            <v>0</v>
          </cell>
          <cell r="BB260" t="str">
            <v>-</v>
          </cell>
          <cell r="BC260">
            <v>0</v>
          </cell>
          <cell r="BD260" t="str">
            <v>-</v>
          </cell>
          <cell r="BE260">
            <v>0</v>
          </cell>
          <cell r="BF260" t="str">
            <v/>
          </cell>
          <cell r="BG260">
            <v>0</v>
          </cell>
          <cell r="BH260" t="str">
            <v>-</v>
          </cell>
          <cell r="BI260">
            <v>0</v>
          </cell>
          <cell r="BJ260" t="str">
            <v>-</v>
          </cell>
          <cell r="BK260">
            <v>0</v>
          </cell>
          <cell r="BL260">
            <v>0</v>
          </cell>
          <cell r="BM260" t="str">
            <v>-</v>
          </cell>
          <cell r="BN260">
            <v>8</v>
          </cell>
          <cell r="BO260" t="str">
            <v/>
          </cell>
          <cell r="BP260">
            <v>0</v>
          </cell>
          <cell r="BQ260">
            <v>0</v>
          </cell>
          <cell r="BR260" t="str">
            <v>-</v>
          </cell>
          <cell r="BS260">
            <v>0</v>
          </cell>
          <cell r="BT260">
            <v>0</v>
          </cell>
          <cell r="BU260" t="str">
            <v>-</v>
          </cell>
        </row>
        <row r="261">
          <cell r="A261" t="str">
            <v>20525RET</v>
          </cell>
          <cell r="B261">
            <v>20525</v>
          </cell>
          <cell r="C261" t="str">
            <v>RET</v>
          </cell>
          <cell r="D261" t="str">
            <v>Interior Lighting</v>
          </cell>
          <cell r="E261" t="str">
            <v>Interior Lighting Controls with Gas Secondary Fuel</v>
          </cell>
          <cell r="F261" t="str">
            <v>C</v>
          </cell>
          <cell r="G261" t="str">
            <v>Y</v>
          </cell>
          <cell r="M261" t="str">
            <v>RET</v>
          </cell>
          <cell r="N261" t="str">
            <v>Manual control</v>
          </cell>
          <cell r="O261">
            <v>2021</v>
          </cell>
          <cell r="P261">
            <v>2030</v>
          </cell>
          <cell r="Q261" t="str">
            <v>Small Office</v>
          </cell>
          <cell r="R261" t="str">
            <v/>
          </cell>
          <cell r="S261">
            <v>0</v>
          </cell>
          <cell r="T261">
            <v>0</v>
          </cell>
          <cell r="U261">
            <v>0</v>
          </cell>
          <cell r="V261">
            <v>0</v>
          </cell>
          <cell r="W261">
            <v>0.38922656983240217</v>
          </cell>
          <cell r="X261" t="str">
            <v>-</v>
          </cell>
          <cell r="Y261" t="str">
            <v>3,6,7,23</v>
          </cell>
          <cell r="Z261" t="str">
            <v>3,6,7,23</v>
          </cell>
          <cell r="AA261">
            <v>0</v>
          </cell>
          <cell r="AB261">
            <v>0</v>
          </cell>
          <cell r="AC261">
            <v>0</v>
          </cell>
          <cell r="AD261">
            <v>1.0611866276959743</v>
          </cell>
          <cell r="AE261">
            <v>4</v>
          </cell>
          <cell r="AF261">
            <v>4</v>
          </cell>
          <cell r="AG261">
            <v>0</v>
          </cell>
          <cell r="AH261">
            <v>0</v>
          </cell>
          <cell r="AI261">
            <v>0</v>
          </cell>
          <cell r="AJ261">
            <v>0</v>
          </cell>
          <cell r="AK261">
            <v>0</v>
          </cell>
          <cell r="AL261" t="str">
            <v>-</v>
          </cell>
          <cell r="AM261" t="str">
            <v>-</v>
          </cell>
          <cell r="AN261" t="str">
            <v/>
          </cell>
          <cell r="AO261">
            <v>0</v>
          </cell>
          <cell r="AP261" t="str">
            <v>-</v>
          </cell>
          <cell r="AQ261">
            <v>0</v>
          </cell>
          <cell r="AR261" t="str">
            <v>-</v>
          </cell>
          <cell r="AS261">
            <v>0</v>
          </cell>
          <cell r="AT261" t="str">
            <v/>
          </cell>
          <cell r="AU261">
            <v>0</v>
          </cell>
          <cell r="AV261" t="str">
            <v>-</v>
          </cell>
          <cell r="AW261">
            <v>0</v>
          </cell>
          <cell r="AX261" t="str">
            <v>-</v>
          </cell>
          <cell r="AY261">
            <v>0</v>
          </cell>
          <cell r="AZ261" t="str">
            <v/>
          </cell>
          <cell r="BA261">
            <v>0</v>
          </cell>
          <cell r="BB261" t="str">
            <v>-</v>
          </cell>
          <cell r="BC261">
            <v>0</v>
          </cell>
          <cell r="BD261" t="str">
            <v>-</v>
          </cell>
          <cell r="BE261">
            <v>0</v>
          </cell>
          <cell r="BF261" t="str">
            <v/>
          </cell>
          <cell r="BG261">
            <v>0</v>
          </cell>
          <cell r="BH261" t="str">
            <v>-</v>
          </cell>
          <cell r="BI261">
            <v>0</v>
          </cell>
          <cell r="BJ261" t="str">
            <v>-</v>
          </cell>
          <cell r="BK261">
            <v>0</v>
          </cell>
          <cell r="BL261">
            <v>0</v>
          </cell>
          <cell r="BM261" t="str">
            <v>-</v>
          </cell>
          <cell r="BN261">
            <v>8</v>
          </cell>
          <cell r="BO261" t="str">
            <v>G</v>
          </cell>
          <cell r="BP261">
            <v>0</v>
          </cell>
          <cell r="BQ261">
            <v>-6.371333737923261E-4</v>
          </cell>
          <cell r="BR261" t="str">
            <v>-</v>
          </cell>
          <cell r="BS261">
            <v>0</v>
          </cell>
          <cell r="BT261">
            <v>0</v>
          </cell>
          <cell r="BU261" t="str">
            <v>-</v>
          </cell>
        </row>
        <row r="262">
          <cell r="A262" t="str">
            <v>20526RET</v>
          </cell>
          <cell r="B262">
            <v>20526</v>
          </cell>
          <cell r="C262" t="str">
            <v>RET</v>
          </cell>
          <cell r="D262" t="str">
            <v>Interior Lighting</v>
          </cell>
          <cell r="E262" t="str">
            <v>Stair Occupancy Sensor</v>
          </cell>
          <cell r="F262" t="str">
            <v>C</v>
          </cell>
          <cell r="G262" t="str">
            <v>N</v>
          </cell>
          <cell r="M262" t="str">
            <v>RET</v>
          </cell>
          <cell r="N262" t="str">
            <v>Average of typical T8 fluorescent fixtures</v>
          </cell>
          <cell r="O262">
            <v>2021</v>
          </cell>
          <cell r="P262">
            <v>2030</v>
          </cell>
          <cell r="Q262" t="str">
            <v>Small Office</v>
          </cell>
          <cell r="R262" t="str">
            <v/>
          </cell>
          <cell r="S262">
            <v>0</v>
          </cell>
          <cell r="T262">
            <v>0</v>
          </cell>
          <cell r="U262">
            <v>0</v>
          </cell>
          <cell r="V262">
            <v>0</v>
          </cell>
          <cell r="W262">
            <v>1.0430154611421063</v>
          </cell>
          <cell r="X262" t="str">
            <v>-</v>
          </cell>
          <cell r="Y262" t="str">
            <v>8,7</v>
          </cell>
          <cell r="Z262" t="str">
            <v>8,7</v>
          </cell>
          <cell r="AA262">
            <v>0</v>
          </cell>
          <cell r="AB262">
            <v>0</v>
          </cell>
          <cell r="AC262">
            <v>0</v>
          </cell>
          <cell r="AD262">
            <v>0.37465111898153758</v>
          </cell>
          <cell r="AE262">
            <v>8</v>
          </cell>
          <cell r="AF262">
            <v>8</v>
          </cell>
          <cell r="AG262">
            <v>0</v>
          </cell>
          <cell r="AH262">
            <v>0</v>
          </cell>
          <cell r="AI262">
            <v>0</v>
          </cell>
          <cell r="AJ262">
            <v>0</v>
          </cell>
          <cell r="AK262">
            <v>0</v>
          </cell>
          <cell r="AL262" t="str">
            <v>-</v>
          </cell>
          <cell r="AM262" t="str">
            <v>-</v>
          </cell>
          <cell r="AN262" t="str">
            <v/>
          </cell>
          <cell r="AO262">
            <v>0</v>
          </cell>
          <cell r="AP262" t="str">
            <v>-</v>
          </cell>
          <cell r="AQ262">
            <v>0</v>
          </cell>
          <cell r="AR262" t="str">
            <v>-</v>
          </cell>
          <cell r="AS262">
            <v>0</v>
          </cell>
          <cell r="AT262" t="str">
            <v/>
          </cell>
          <cell r="AU262">
            <v>0</v>
          </cell>
          <cell r="AV262" t="str">
            <v>-</v>
          </cell>
          <cell r="AW262">
            <v>0</v>
          </cell>
          <cell r="AX262" t="str">
            <v>-</v>
          </cell>
          <cell r="AY262">
            <v>0</v>
          </cell>
          <cell r="AZ262" t="str">
            <v/>
          </cell>
          <cell r="BA262">
            <v>0</v>
          </cell>
          <cell r="BB262" t="str">
            <v>-</v>
          </cell>
          <cell r="BC262">
            <v>0</v>
          </cell>
          <cell r="BD262" t="str">
            <v>-</v>
          </cell>
          <cell r="BE262">
            <v>0</v>
          </cell>
          <cell r="BF262" t="str">
            <v/>
          </cell>
          <cell r="BG262">
            <v>0</v>
          </cell>
          <cell r="BH262" t="str">
            <v>-</v>
          </cell>
          <cell r="BI262">
            <v>0</v>
          </cell>
          <cell r="BJ262" t="str">
            <v>-</v>
          </cell>
          <cell r="BK262">
            <v>0</v>
          </cell>
          <cell r="BL262">
            <v>0</v>
          </cell>
          <cell r="BM262" t="str">
            <v>-</v>
          </cell>
          <cell r="BN262">
            <v>15</v>
          </cell>
          <cell r="BO262" t="str">
            <v/>
          </cell>
          <cell r="BP262">
            <v>0</v>
          </cell>
          <cell r="BQ262">
            <v>0</v>
          </cell>
          <cell r="BR262" t="str">
            <v>-</v>
          </cell>
          <cell r="BS262">
            <v>0</v>
          </cell>
          <cell r="BT262">
            <v>0</v>
          </cell>
          <cell r="BU262" t="str">
            <v>-</v>
          </cell>
        </row>
        <row r="263">
          <cell r="A263" t="str">
            <v>20526MD</v>
          </cell>
          <cell r="B263">
            <v>20526</v>
          </cell>
          <cell r="C263" t="str">
            <v>MD</v>
          </cell>
          <cell r="D263" t="str">
            <v>Interior Lighting</v>
          </cell>
          <cell r="E263" t="str">
            <v>Stair Occupancy Sensor</v>
          </cell>
          <cell r="F263" t="str">
            <v>C</v>
          </cell>
          <cell r="G263" t="str">
            <v>N</v>
          </cell>
          <cell r="M263" t="str">
            <v>NC</v>
          </cell>
          <cell r="N263" t="str">
            <v>Average of typical T8 fluorescent fixtures</v>
          </cell>
          <cell r="O263">
            <v>2021</v>
          </cell>
          <cell r="P263">
            <v>2030</v>
          </cell>
          <cell r="Q263" t="str">
            <v>Small Office</v>
          </cell>
          <cell r="R263" t="str">
            <v/>
          </cell>
          <cell r="S263">
            <v>0</v>
          </cell>
          <cell r="T263">
            <v>0</v>
          </cell>
          <cell r="U263">
            <v>0</v>
          </cell>
          <cell r="V263">
            <v>0</v>
          </cell>
          <cell r="W263">
            <v>1.0430154611421063</v>
          </cell>
          <cell r="X263" t="str">
            <v>-</v>
          </cell>
          <cell r="Y263" t="str">
            <v>8,7</v>
          </cell>
          <cell r="Z263" t="str">
            <v>8,7</v>
          </cell>
          <cell r="AA263">
            <v>0</v>
          </cell>
          <cell r="AB263">
            <v>0</v>
          </cell>
          <cell r="AC263">
            <v>0</v>
          </cell>
          <cell r="AD263">
            <v>0.37465111898153758</v>
          </cell>
          <cell r="AE263">
            <v>8</v>
          </cell>
          <cell r="AF263">
            <v>8</v>
          </cell>
          <cell r="AG263">
            <v>0</v>
          </cell>
          <cell r="AH263">
            <v>0</v>
          </cell>
          <cell r="AI263">
            <v>0</v>
          </cell>
          <cell r="AJ263">
            <v>0</v>
          </cell>
          <cell r="AK263">
            <v>0</v>
          </cell>
          <cell r="AL263" t="str">
            <v>-</v>
          </cell>
          <cell r="AM263" t="str">
            <v>-</v>
          </cell>
          <cell r="AN263" t="str">
            <v/>
          </cell>
          <cell r="AO263">
            <v>0</v>
          </cell>
          <cell r="AP263" t="str">
            <v>-</v>
          </cell>
          <cell r="AQ263">
            <v>0</v>
          </cell>
          <cell r="AR263" t="str">
            <v>-</v>
          </cell>
          <cell r="AS263">
            <v>0</v>
          </cell>
          <cell r="AT263" t="str">
            <v/>
          </cell>
          <cell r="AU263">
            <v>0</v>
          </cell>
          <cell r="AV263" t="str">
            <v>-</v>
          </cell>
          <cell r="AW263">
            <v>0</v>
          </cell>
          <cell r="AX263" t="str">
            <v>-</v>
          </cell>
          <cell r="AY263">
            <v>0</v>
          </cell>
          <cell r="AZ263" t="str">
            <v/>
          </cell>
          <cell r="BA263">
            <v>0</v>
          </cell>
          <cell r="BB263" t="str">
            <v>-</v>
          </cell>
          <cell r="BC263">
            <v>0</v>
          </cell>
          <cell r="BD263" t="str">
            <v>-</v>
          </cell>
          <cell r="BE263">
            <v>0</v>
          </cell>
          <cell r="BF263" t="str">
            <v/>
          </cell>
          <cell r="BG263">
            <v>0</v>
          </cell>
          <cell r="BH263" t="str">
            <v>-</v>
          </cell>
          <cell r="BI263">
            <v>0</v>
          </cell>
          <cell r="BJ263" t="str">
            <v>-</v>
          </cell>
          <cell r="BK263">
            <v>0</v>
          </cell>
          <cell r="BL263">
            <v>0</v>
          </cell>
          <cell r="BM263" t="str">
            <v>-</v>
          </cell>
          <cell r="BN263">
            <v>15</v>
          </cell>
          <cell r="BO263" t="str">
            <v/>
          </cell>
          <cell r="BP263">
            <v>0</v>
          </cell>
          <cell r="BQ263">
            <v>0</v>
          </cell>
          <cell r="BR263" t="str">
            <v>-</v>
          </cell>
          <cell r="BS263">
            <v>0</v>
          </cell>
          <cell r="BT263">
            <v>0</v>
          </cell>
          <cell r="BU263" t="str">
            <v>-</v>
          </cell>
        </row>
        <row r="264">
          <cell r="A264" t="str">
            <v>20527RET</v>
          </cell>
          <cell r="B264">
            <v>20527</v>
          </cell>
          <cell r="C264" t="str">
            <v>RET</v>
          </cell>
          <cell r="D264" t="str">
            <v>Interior Lighting</v>
          </cell>
          <cell r="E264" t="str">
            <v>Stair Occupancy Sensor</v>
          </cell>
          <cell r="F264" t="str">
            <v>C</v>
          </cell>
          <cell r="G264" t="str">
            <v>N</v>
          </cell>
          <cell r="M264" t="str">
            <v>RET</v>
          </cell>
          <cell r="N264" t="str">
            <v>Average of typical T8 fluorescent fixtures</v>
          </cell>
          <cell r="O264">
            <v>2021</v>
          </cell>
          <cell r="P264">
            <v>2030</v>
          </cell>
          <cell r="Q264" t="str">
            <v>Small Office</v>
          </cell>
          <cell r="R264" t="str">
            <v/>
          </cell>
          <cell r="S264">
            <v>0</v>
          </cell>
          <cell r="T264">
            <v>0</v>
          </cell>
          <cell r="U264">
            <v>0</v>
          </cell>
          <cell r="V264">
            <v>0</v>
          </cell>
          <cell r="W264">
            <v>0.84863530702016832</v>
          </cell>
          <cell r="X264" t="str">
            <v>-</v>
          </cell>
          <cell r="Y264" t="str">
            <v>8,7</v>
          </cell>
          <cell r="Z264" t="str">
            <v>8,7</v>
          </cell>
          <cell r="AA264">
            <v>0</v>
          </cell>
          <cell r="AB264">
            <v>0</v>
          </cell>
          <cell r="AC264">
            <v>0</v>
          </cell>
          <cell r="AD264">
            <v>0.4604650624354093</v>
          </cell>
          <cell r="AE264">
            <v>8</v>
          </cell>
          <cell r="AF264">
            <v>8</v>
          </cell>
          <cell r="AG264">
            <v>0</v>
          </cell>
          <cell r="AH264">
            <v>0</v>
          </cell>
          <cell r="AI264">
            <v>0</v>
          </cell>
          <cell r="AJ264">
            <v>0</v>
          </cell>
          <cell r="AK264">
            <v>0</v>
          </cell>
          <cell r="AL264" t="str">
            <v>-</v>
          </cell>
          <cell r="AM264" t="str">
            <v>-</v>
          </cell>
          <cell r="AN264" t="str">
            <v/>
          </cell>
          <cell r="AO264">
            <v>0</v>
          </cell>
          <cell r="AP264" t="str">
            <v>-</v>
          </cell>
          <cell r="AQ264">
            <v>0</v>
          </cell>
          <cell r="AR264" t="str">
            <v>-</v>
          </cell>
          <cell r="AS264">
            <v>0</v>
          </cell>
          <cell r="AT264" t="str">
            <v/>
          </cell>
          <cell r="AU264">
            <v>0</v>
          </cell>
          <cell r="AV264" t="str">
            <v>-</v>
          </cell>
          <cell r="AW264">
            <v>0</v>
          </cell>
          <cell r="AX264" t="str">
            <v>-</v>
          </cell>
          <cell r="AY264">
            <v>0</v>
          </cell>
          <cell r="AZ264" t="str">
            <v/>
          </cell>
          <cell r="BA264">
            <v>0</v>
          </cell>
          <cell r="BB264" t="str">
            <v>-</v>
          </cell>
          <cell r="BC264">
            <v>0</v>
          </cell>
          <cell r="BD264" t="str">
            <v>-</v>
          </cell>
          <cell r="BE264">
            <v>0</v>
          </cell>
          <cell r="BF264" t="str">
            <v/>
          </cell>
          <cell r="BG264">
            <v>0</v>
          </cell>
          <cell r="BH264" t="str">
            <v>-</v>
          </cell>
          <cell r="BI264">
            <v>0</v>
          </cell>
          <cell r="BJ264" t="str">
            <v>-</v>
          </cell>
          <cell r="BK264">
            <v>0</v>
          </cell>
          <cell r="BL264">
            <v>0</v>
          </cell>
          <cell r="BM264" t="str">
            <v>-</v>
          </cell>
          <cell r="BN264">
            <v>15</v>
          </cell>
          <cell r="BO264" t="str">
            <v/>
          </cell>
          <cell r="BP264">
            <v>0</v>
          </cell>
          <cell r="BQ264">
            <v>0</v>
          </cell>
          <cell r="BR264" t="str">
            <v>-</v>
          </cell>
          <cell r="BS264">
            <v>0</v>
          </cell>
          <cell r="BT264">
            <v>0</v>
          </cell>
          <cell r="BU264" t="str">
            <v>-</v>
          </cell>
        </row>
        <row r="265">
          <cell r="A265" t="str">
            <v>20527MD</v>
          </cell>
          <cell r="B265">
            <v>20527</v>
          </cell>
          <cell r="C265" t="str">
            <v>MD</v>
          </cell>
          <cell r="D265" t="str">
            <v>Interior Lighting</v>
          </cell>
          <cell r="E265" t="str">
            <v>Stair Occupancy Sensor</v>
          </cell>
          <cell r="F265" t="str">
            <v>C</v>
          </cell>
          <cell r="G265" t="str">
            <v>N</v>
          </cell>
          <cell r="M265" t="str">
            <v>NC</v>
          </cell>
          <cell r="N265" t="str">
            <v>Average of typical T8 fluorescent fixtures</v>
          </cell>
          <cell r="O265">
            <v>2021</v>
          </cell>
          <cell r="P265">
            <v>2030</v>
          </cell>
          <cell r="Q265" t="str">
            <v>Small Office</v>
          </cell>
          <cell r="R265" t="str">
            <v/>
          </cell>
          <cell r="S265">
            <v>0</v>
          </cell>
          <cell r="T265">
            <v>0</v>
          </cell>
          <cell r="U265">
            <v>0</v>
          </cell>
          <cell r="V265">
            <v>0</v>
          </cell>
          <cell r="W265">
            <v>0.84863530702016832</v>
          </cell>
          <cell r="X265" t="str">
            <v>-</v>
          </cell>
          <cell r="Y265" t="str">
            <v>8,7</v>
          </cell>
          <cell r="Z265" t="str">
            <v>8,7</v>
          </cell>
          <cell r="AA265">
            <v>0</v>
          </cell>
          <cell r="AB265">
            <v>0</v>
          </cell>
          <cell r="AC265">
            <v>0</v>
          </cell>
          <cell r="AD265">
            <v>0.4604650624354093</v>
          </cell>
          <cell r="AE265">
            <v>8</v>
          </cell>
          <cell r="AF265">
            <v>8</v>
          </cell>
          <cell r="AG265">
            <v>0</v>
          </cell>
          <cell r="AH265">
            <v>0</v>
          </cell>
          <cell r="AI265">
            <v>0</v>
          </cell>
          <cell r="AJ265">
            <v>0</v>
          </cell>
          <cell r="AK265">
            <v>0</v>
          </cell>
          <cell r="AL265" t="str">
            <v>-</v>
          </cell>
          <cell r="AM265" t="str">
            <v>-</v>
          </cell>
          <cell r="AN265" t="str">
            <v/>
          </cell>
          <cell r="AO265">
            <v>0</v>
          </cell>
          <cell r="AP265" t="str">
            <v>-</v>
          </cell>
          <cell r="AQ265">
            <v>0</v>
          </cell>
          <cell r="AR265" t="str">
            <v>-</v>
          </cell>
          <cell r="AS265">
            <v>0</v>
          </cell>
          <cell r="AT265" t="str">
            <v/>
          </cell>
          <cell r="AU265">
            <v>0</v>
          </cell>
          <cell r="AV265" t="str">
            <v>-</v>
          </cell>
          <cell r="AW265">
            <v>0</v>
          </cell>
          <cell r="AX265" t="str">
            <v>-</v>
          </cell>
          <cell r="AY265">
            <v>0</v>
          </cell>
          <cell r="AZ265" t="str">
            <v/>
          </cell>
          <cell r="BA265">
            <v>0</v>
          </cell>
          <cell r="BB265" t="str">
            <v>-</v>
          </cell>
          <cell r="BC265">
            <v>0</v>
          </cell>
          <cell r="BD265" t="str">
            <v>-</v>
          </cell>
          <cell r="BE265">
            <v>0</v>
          </cell>
          <cell r="BF265" t="str">
            <v/>
          </cell>
          <cell r="BG265">
            <v>0</v>
          </cell>
          <cell r="BH265" t="str">
            <v>-</v>
          </cell>
          <cell r="BI265">
            <v>0</v>
          </cell>
          <cell r="BJ265" t="str">
            <v>-</v>
          </cell>
          <cell r="BK265">
            <v>0</v>
          </cell>
          <cell r="BL265">
            <v>0</v>
          </cell>
          <cell r="BM265" t="str">
            <v>-</v>
          </cell>
          <cell r="BN265">
            <v>15</v>
          </cell>
          <cell r="BO265" t="str">
            <v/>
          </cell>
          <cell r="BP265">
            <v>0</v>
          </cell>
          <cell r="BQ265">
            <v>0</v>
          </cell>
          <cell r="BR265" t="str">
            <v>-</v>
          </cell>
          <cell r="BS265">
            <v>0</v>
          </cell>
          <cell r="BT265">
            <v>0</v>
          </cell>
          <cell r="BU265" t="str">
            <v>-</v>
          </cell>
        </row>
        <row r="266">
          <cell r="A266" t="str">
            <v>20528RET</v>
          </cell>
          <cell r="B266">
            <v>20528</v>
          </cell>
          <cell r="C266" t="str">
            <v>RET</v>
          </cell>
          <cell r="D266" t="str">
            <v>Interior Lighting</v>
          </cell>
          <cell r="E266" t="str">
            <v>Stair Occupancy Sensor with Gas Secondary Fuel</v>
          </cell>
          <cell r="F266" t="str">
            <v>C</v>
          </cell>
          <cell r="G266" t="str">
            <v>N</v>
          </cell>
          <cell r="M266" t="str">
            <v>RET</v>
          </cell>
          <cell r="N266" t="str">
            <v>Average of typical T8 fluorescent fixtures</v>
          </cell>
          <cell r="O266">
            <v>2021</v>
          </cell>
          <cell r="P266">
            <v>2030</v>
          </cell>
          <cell r="Q266" t="str">
            <v>Small Office</v>
          </cell>
          <cell r="R266" t="str">
            <v/>
          </cell>
          <cell r="S266">
            <v>0</v>
          </cell>
          <cell r="T266">
            <v>0</v>
          </cell>
          <cell r="U266">
            <v>0</v>
          </cell>
          <cell r="V266">
            <v>0</v>
          </cell>
          <cell r="W266">
            <v>1.0430154611421063</v>
          </cell>
          <cell r="X266" t="str">
            <v>-</v>
          </cell>
          <cell r="Y266" t="str">
            <v>8,7</v>
          </cell>
          <cell r="Z266" t="str">
            <v>8,7</v>
          </cell>
          <cell r="AA266">
            <v>0</v>
          </cell>
          <cell r="AB266">
            <v>0</v>
          </cell>
          <cell r="AC266">
            <v>0</v>
          </cell>
          <cell r="AD266">
            <v>0.37465111898153758</v>
          </cell>
          <cell r="AE266">
            <v>8</v>
          </cell>
          <cell r="AF266">
            <v>8</v>
          </cell>
          <cell r="AG266">
            <v>0</v>
          </cell>
          <cell r="AH266">
            <v>0</v>
          </cell>
          <cell r="AI266">
            <v>0</v>
          </cell>
          <cell r="AJ266">
            <v>0</v>
          </cell>
          <cell r="AK266">
            <v>0</v>
          </cell>
          <cell r="AL266" t="str">
            <v>-</v>
          </cell>
          <cell r="AM266" t="str">
            <v>-</v>
          </cell>
          <cell r="AN266" t="str">
            <v/>
          </cell>
          <cell r="AO266">
            <v>0</v>
          </cell>
          <cell r="AP266" t="str">
            <v>-</v>
          </cell>
          <cell r="AQ266">
            <v>0</v>
          </cell>
          <cell r="AR266" t="str">
            <v>-</v>
          </cell>
          <cell r="AS266">
            <v>0</v>
          </cell>
          <cell r="AT266" t="str">
            <v/>
          </cell>
          <cell r="AU266">
            <v>0</v>
          </cell>
          <cell r="AV266" t="str">
            <v>-</v>
          </cell>
          <cell r="AW266">
            <v>0</v>
          </cell>
          <cell r="AX266" t="str">
            <v>-</v>
          </cell>
          <cell r="AY266">
            <v>0</v>
          </cell>
          <cell r="AZ266" t="str">
            <v/>
          </cell>
          <cell r="BA266">
            <v>0</v>
          </cell>
          <cell r="BB266" t="str">
            <v>-</v>
          </cell>
          <cell r="BC266">
            <v>0</v>
          </cell>
          <cell r="BD266" t="str">
            <v>-</v>
          </cell>
          <cell r="BE266">
            <v>0</v>
          </cell>
          <cell r="BF266" t="str">
            <v/>
          </cell>
          <cell r="BG266">
            <v>0</v>
          </cell>
          <cell r="BH266" t="str">
            <v>-</v>
          </cell>
          <cell r="BI266">
            <v>0</v>
          </cell>
          <cell r="BJ266" t="str">
            <v>-</v>
          </cell>
          <cell r="BK266">
            <v>0</v>
          </cell>
          <cell r="BL266">
            <v>0</v>
          </cell>
          <cell r="BM266" t="str">
            <v>-</v>
          </cell>
          <cell r="BN266">
            <v>15</v>
          </cell>
          <cell r="BO266" t="str">
            <v>G</v>
          </cell>
          <cell r="BP266">
            <v>0</v>
          </cell>
          <cell r="BQ266">
            <v>-5.9318181818181811E-5</v>
          </cell>
          <cell r="BR266" t="str">
            <v>-</v>
          </cell>
          <cell r="BS266">
            <v>0</v>
          </cell>
          <cell r="BT266">
            <v>0</v>
          </cell>
          <cell r="BU266" t="str">
            <v>-</v>
          </cell>
        </row>
        <row r="267">
          <cell r="A267" t="str">
            <v>20528MD</v>
          </cell>
          <cell r="B267">
            <v>20528</v>
          </cell>
          <cell r="C267" t="str">
            <v>MD</v>
          </cell>
          <cell r="D267" t="str">
            <v>Interior Lighting</v>
          </cell>
          <cell r="E267" t="str">
            <v>Stair Occupancy Sensor with Gas Secondary Fuel</v>
          </cell>
          <cell r="F267" t="str">
            <v>C</v>
          </cell>
          <cell r="G267" t="str">
            <v>N</v>
          </cell>
          <cell r="M267" t="str">
            <v>NC</v>
          </cell>
          <cell r="N267" t="str">
            <v>Average of typical T8 fluorescent fixtures</v>
          </cell>
          <cell r="O267">
            <v>2021</v>
          </cell>
          <cell r="P267">
            <v>2030</v>
          </cell>
          <cell r="Q267" t="str">
            <v>Small Office</v>
          </cell>
          <cell r="R267" t="str">
            <v/>
          </cell>
          <cell r="S267">
            <v>0</v>
          </cell>
          <cell r="T267">
            <v>0</v>
          </cell>
          <cell r="U267">
            <v>0</v>
          </cell>
          <cell r="V267">
            <v>0</v>
          </cell>
          <cell r="W267">
            <v>1.0430154611421063</v>
          </cell>
          <cell r="X267" t="str">
            <v>-</v>
          </cell>
          <cell r="Y267" t="str">
            <v>8,7</v>
          </cell>
          <cell r="Z267" t="str">
            <v>8,7</v>
          </cell>
          <cell r="AA267">
            <v>0</v>
          </cell>
          <cell r="AB267">
            <v>0</v>
          </cell>
          <cell r="AC267">
            <v>0</v>
          </cell>
          <cell r="AD267">
            <v>0.37465111898153758</v>
          </cell>
          <cell r="AE267">
            <v>8</v>
          </cell>
          <cell r="AF267">
            <v>8</v>
          </cell>
          <cell r="AG267">
            <v>0</v>
          </cell>
          <cell r="AH267">
            <v>0</v>
          </cell>
          <cell r="AI267">
            <v>0</v>
          </cell>
          <cell r="AJ267">
            <v>0</v>
          </cell>
          <cell r="AK267">
            <v>0</v>
          </cell>
          <cell r="AL267" t="str">
            <v>-</v>
          </cell>
          <cell r="AM267" t="str">
            <v>-</v>
          </cell>
          <cell r="AN267" t="str">
            <v/>
          </cell>
          <cell r="AO267">
            <v>0</v>
          </cell>
          <cell r="AP267" t="str">
            <v>-</v>
          </cell>
          <cell r="AQ267">
            <v>0</v>
          </cell>
          <cell r="AR267" t="str">
            <v>-</v>
          </cell>
          <cell r="AS267">
            <v>0</v>
          </cell>
          <cell r="AT267" t="str">
            <v/>
          </cell>
          <cell r="AU267">
            <v>0</v>
          </cell>
          <cell r="AV267" t="str">
            <v>-</v>
          </cell>
          <cell r="AW267">
            <v>0</v>
          </cell>
          <cell r="AX267" t="str">
            <v>-</v>
          </cell>
          <cell r="AY267">
            <v>0</v>
          </cell>
          <cell r="AZ267" t="str">
            <v/>
          </cell>
          <cell r="BA267">
            <v>0</v>
          </cell>
          <cell r="BB267" t="str">
            <v>-</v>
          </cell>
          <cell r="BC267">
            <v>0</v>
          </cell>
          <cell r="BD267" t="str">
            <v>-</v>
          </cell>
          <cell r="BE267">
            <v>0</v>
          </cell>
          <cell r="BF267" t="str">
            <v/>
          </cell>
          <cell r="BG267">
            <v>0</v>
          </cell>
          <cell r="BH267" t="str">
            <v>-</v>
          </cell>
          <cell r="BI267">
            <v>0</v>
          </cell>
          <cell r="BJ267" t="str">
            <v>-</v>
          </cell>
          <cell r="BK267">
            <v>0</v>
          </cell>
          <cell r="BL267">
            <v>0</v>
          </cell>
          <cell r="BM267" t="str">
            <v>-</v>
          </cell>
          <cell r="BN267">
            <v>15</v>
          </cell>
          <cell r="BO267" t="str">
            <v>G</v>
          </cell>
          <cell r="BP267">
            <v>0</v>
          </cell>
          <cell r="BQ267">
            <v>-5.9318181818181811E-5</v>
          </cell>
          <cell r="BR267" t="str">
            <v>-</v>
          </cell>
          <cell r="BS267">
            <v>0</v>
          </cell>
          <cell r="BT267">
            <v>0</v>
          </cell>
          <cell r="BU267" t="str">
            <v>-</v>
          </cell>
        </row>
        <row r="268">
          <cell r="A268" t="str">
            <v>20529RET</v>
          </cell>
          <cell r="B268">
            <v>20529</v>
          </cell>
          <cell r="C268" t="str">
            <v>RET</v>
          </cell>
          <cell r="D268" t="str">
            <v>Interior Lighting</v>
          </cell>
          <cell r="E268" t="str">
            <v>Refrigerator/Freezer Case Occupancy Controls</v>
          </cell>
          <cell r="F268" t="str">
            <v>C</v>
          </cell>
          <cell r="G268" t="str">
            <v>Y</v>
          </cell>
          <cell r="M268" t="str">
            <v>RET</v>
          </cell>
          <cell r="N268" t="str">
            <v>Manually controlled LED refrigerated case lighting</v>
          </cell>
          <cell r="O268">
            <v>2021</v>
          </cell>
          <cell r="P268">
            <v>2030</v>
          </cell>
          <cell r="Q268" t="str">
            <v>Large Grocery</v>
          </cell>
          <cell r="R268" t="str">
            <v/>
          </cell>
          <cell r="S268">
            <v>0</v>
          </cell>
          <cell r="T268">
            <v>0</v>
          </cell>
          <cell r="U268">
            <v>0</v>
          </cell>
          <cell r="V268">
            <v>0</v>
          </cell>
          <cell r="W268">
            <v>0.46239999999999998</v>
          </cell>
          <cell r="X268" t="str">
            <v>-</v>
          </cell>
          <cell r="Y268" t="str">
            <v>3,15</v>
          </cell>
          <cell r="Z268" t="str">
            <v>3,15</v>
          </cell>
          <cell r="AA268">
            <v>0</v>
          </cell>
          <cell r="AB268">
            <v>0</v>
          </cell>
          <cell r="AC268">
            <v>0</v>
          </cell>
          <cell r="AD268">
            <v>0.3729566552487682</v>
          </cell>
          <cell r="AE268">
            <v>8</v>
          </cell>
          <cell r="AF268">
            <v>8</v>
          </cell>
          <cell r="AG268">
            <v>0</v>
          </cell>
          <cell r="AH268">
            <v>0</v>
          </cell>
          <cell r="AI268">
            <v>0</v>
          </cell>
          <cell r="AJ268">
            <v>0</v>
          </cell>
          <cell r="AK268">
            <v>0</v>
          </cell>
          <cell r="AL268" t="str">
            <v>-</v>
          </cell>
          <cell r="AM268" t="str">
            <v>-</v>
          </cell>
          <cell r="AN268" t="str">
            <v/>
          </cell>
          <cell r="AO268">
            <v>0</v>
          </cell>
          <cell r="AP268" t="str">
            <v>-</v>
          </cell>
          <cell r="AQ268">
            <v>0</v>
          </cell>
          <cell r="AR268" t="str">
            <v>-</v>
          </cell>
          <cell r="AS268">
            <v>0</v>
          </cell>
          <cell r="AT268" t="str">
            <v/>
          </cell>
          <cell r="AU268">
            <v>0</v>
          </cell>
          <cell r="AV268" t="str">
            <v>-</v>
          </cell>
          <cell r="AW268">
            <v>0</v>
          </cell>
          <cell r="AX268" t="str">
            <v>-</v>
          </cell>
          <cell r="AY268">
            <v>0</v>
          </cell>
          <cell r="AZ268" t="str">
            <v/>
          </cell>
          <cell r="BA268">
            <v>0</v>
          </cell>
          <cell r="BB268" t="str">
            <v>-</v>
          </cell>
          <cell r="BC268">
            <v>0</v>
          </cell>
          <cell r="BD268" t="str">
            <v>-</v>
          </cell>
          <cell r="BE268">
            <v>0</v>
          </cell>
          <cell r="BF268" t="str">
            <v/>
          </cell>
          <cell r="BG268">
            <v>0</v>
          </cell>
          <cell r="BH268" t="str">
            <v>-</v>
          </cell>
          <cell r="BI268">
            <v>0</v>
          </cell>
          <cell r="BJ268" t="str">
            <v>-</v>
          </cell>
          <cell r="BK268">
            <v>0</v>
          </cell>
          <cell r="BL268">
            <v>0</v>
          </cell>
          <cell r="BM268" t="str">
            <v>-</v>
          </cell>
          <cell r="BN268">
            <v>8</v>
          </cell>
          <cell r="BO268" t="str">
            <v/>
          </cell>
          <cell r="BP268">
            <v>0</v>
          </cell>
          <cell r="BQ268">
            <v>0</v>
          </cell>
          <cell r="BR268" t="str">
            <v>-</v>
          </cell>
          <cell r="BS268">
            <v>0</v>
          </cell>
          <cell r="BT268">
            <v>0</v>
          </cell>
          <cell r="BU268" t="str">
            <v>-</v>
          </cell>
        </row>
        <row r="269">
          <cell r="A269" t="str">
            <v>20530MD</v>
          </cell>
          <cell r="B269">
            <v>20530</v>
          </cell>
          <cell r="C269" t="str">
            <v>MD</v>
          </cell>
          <cell r="D269" t="str">
            <v>Interior Lighting</v>
          </cell>
          <cell r="E269" t="str">
            <v>Interior Lighting Design</v>
          </cell>
          <cell r="F269" t="str">
            <v>C</v>
          </cell>
          <cell r="G269" t="str">
            <v>Y</v>
          </cell>
          <cell r="M269" t="str">
            <v>NC</v>
          </cell>
          <cell r="N269" t="str">
            <v>Unoptimized interior lighting design</v>
          </cell>
          <cell r="O269">
            <v>2021</v>
          </cell>
          <cell r="P269">
            <v>2030</v>
          </cell>
          <cell r="Q269" t="str">
            <v>Small Office</v>
          </cell>
          <cell r="R269" t="str">
            <v/>
          </cell>
          <cell r="S269">
            <v>0</v>
          </cell>
          <cell r="T269">
            <v>0</v>
          </cell>
          <cell r="U269">
            <v>0</v>
          </cell>
          <cell r="V269">
            <v>0</v>
          </cell>
          <cell r="W269">
            <v>0.32225609756097562</v>
          </cell>
          <cell r="X269" t="str">
            <v>-</v>
          </cell>
          <cell r="Y269" t="str">
            <v>3,6,7,23,63</v>
          </cell>
          <cell r="Z269" t="str">
            <v>3,6,7,23,63</v>
          </cell>
          <cell r="AA269">
            <v>0</v>
          </cell>
          <cell r="AB269">
            <v>0</v>
          </cell>
          <cell r="AC269">
            <v>0</v>
          </cell>
          <cell r="AD269">
            <v>0.84015662689055171</v>
          </cell>
          <cell r="AE269">
            <v>4</v>
          </cell>
          <cell r="AF269">
            <v>4</v>
          </cell>
          <cell r="AG269">
            <v>0</v>
          </cell>
          <cell r="AH269">
            <v>0</v>
          </cell>
          <cell r="AI269">
            <v>0</v>
          </cell>
          <cell r="AJ269">
            <v>0</v>
          </cell>
          <cell r="AK269">
            <v>0</v>
          </cell>
          <cell r="AL269" t="str">
            <v>-</v>
          </cell>
          <cell r="AM269" t="str">
            <v>-</v>
          </cell>
          <cell r="AN269" t="str">
            <v/>
          </cell>
          <cell r="AO269">
            <v>0</v>
          </cell>
          <cell r="AP269" t="str">
            <v>-</v>
          </cell>
          <cell r="AQ269">
            <v>0</v>
          </cell>
          <cell r="AR269" t="str">
            <v>-</v>
          </cell>
          <cell r="AS269">
            <v>0</v>
          </cell>
          <cell r="AT269" t="str">
            <v/>
          </cell>
          <cell r="AU269">
            <v>0</v>
          </cell>
          <cell r="AV269" t="str">
            <v>-</v>
          </cell>
          <cell r="AW269">
            <v>0</v>
          </cell>
          <cell r="AX269" t="str">
            <v>-</v>
          </cell>
          <cell r="AY269">
            <v>0</v>
          </cell>
          <cell r="AZ269" t="str">
            <v/>
          </cell>
          <cell r="BA269">
            <v>0</v>
          </cell>
          <cell r="BB269" t="str">
            <v>-</v>
          </cell>
          <cell r="BC269">
            <v>0</v>
          </cell>
          <cell r="BD269" t="str">
            <v>-</v>
          </cell>
          <cell r="BE269">
            <v>0</v>
          </cell>
          <cell r="BF269" t="str">
            <v/>
          </cell>
          <cell r="BG269">
            <v>0</v>
          </cell>
          <cell r="BH269" t="str">
            <v>-</v>
          </cell>
          <cell r="BI269">
            <v>0</v>
          </cell>
          <cell r="BJ269" t="str">
            <v>-</v>
          </cell>
          <cell r="BK269">
            <v>0</v>
          </cell>
          <cell r="BL269">
            <v>5.1994404090275247E-2</v>
          </cell>
          <cell r="BM269" t="str">
            <v>-</v>
          </cell>
          <cell r="BN269">
            <v>15</v>
          </cell>
          <cell r="BO269" t="str">
            <v/>
          </cell>
          <cell r="BP269">
            <v>0</v>
          </cell>
          <cell r="BQ269">
            <v>0</v>
          </cell>
          <cell r="BR269" t="str">
            <v>-</v>
          </cell>
          <cell r="BS269">
            <v>0</v>
          </cell>
          <cell r="BT269">
            <v>0</v>
          </cell>
          <cell r="BU269" t="str">
            <v>-</v>
          </cell>
        </row>
        <row r="270">
          <cell r="A270" t="str">
            <v>20531MD</v>
          </cell>
          <cell r="B270">
            <v>20531</v>
          </cell>
          <cell r="C270" t="str">
            <v>MD</v>
          </cell>
          <cell r="D270" t="str">
            <v>Interior Lighting</v>
          </cell>
          <cell r="E270" t="str">
            <v>Interior Lighting Design</v>
          </cell>
          <cell r="F270" t="str">
            <v>C</v>
          </cell>
          <cell r="G270" t="str">
            <v>Y</v>
          </cell>
          <cell r="M270" t="str">
            <v>NC</v>
          </cell>
          <cell r="N270" t="str">
            <v>Unoptimized interior lighting design</v>
          </cell>
          <cell r="O270">
            <v>2021</v>
          </cell>
          <cell r="P270">
            <v>2030</v>
          </cell>
          <cell r="Q270" t="str">
            <v>Small Office</v>
          </cell>
          <cell r="R270" t="str">
            <v/>
          </cell>
          <cell r="S270">
            <v>0</v>
          </cell>
          <cell r="T270">
            <v>0</v>
          </cell>
          <cell r="U270">
            <v>0</v>
          </cell>
          <cell r="V270">
            <v>0</v>
          </cell>
          <cell r="W270">
            <v>0.27433031475677883</v>
          </cell>
          <cell r="X270" t="str">
            <v>-</v>
          </cell>
          <cell r="Y270" t="str">
            <v>3,6,7,23,63</v>
          </cell>
          <cell r="Z270" t="str">
            <v>3,6,7,23,63</v>
          </cell>
          <cell r="AA270">
            <v>0</v>
          </cell>
          <cell r="AB270">
            <v>0</v>
          </cell>
          <cell r="AC270">
            <v>0</v>
          </cell>
          <cell r="AD270">
            <v>0.98715976735384081</v>
          </cell>
          <cell r="AE270">
            <v>4</v>
          </cell>
          <cell r="AF270">
            <v>4</v>
          </cell>
          <cell r="AG270">
            <v>0</v>
          </cell>
          <cell r="AH270">
            <v>0</v>
          </cell>
          <cell r="AI270">
            <v>0</v>
          </cell>
          <cell r="AJ270">
            <v>0</v>
          </cell>
          <cell r="AK270">
            <v>0</v>
          </cell>
          <cell r="AL270" t="str">
            <v>-</v>
          </cell>
          <cell r="AM270" t="str">
            <v>-</v>
          </cell>
          <cell r="AN270" t="str">
            <v/>
          </cell>
          <cell r="AO270">
            <v>0</v>
          </cell>
          <cell r="AP270" t="str">
            <v>-</v>
          </cell>
          <cell r="AQ270">
            <v>0</v>
          </cell>
          <cell r="AR270" t="str">
            <v>-</v>
          </cell>
          <cell r="AS270">
            <v>0</v>
          </cell>
          <cell r="AT270" t="str">
            <v/>
          </cell>
          <cell r="AU270">
            <v>0</v>
          </cell>
          <cell r="AV270" t="str">
            <v>-</v>
          </cell>
          <cell r="AW270">
            <v>0</v>
          </cell>
          <cell r="AX270" t="str">
            <v>-</v>
          </cell>
          <cell r="AY270">
            <v>0</v>
          </cell>
          <cell r="AZ270" t="str">
            <v/>
          </cell>
          <cell r="BA270">
            <v>0</v>
          </cell>
          <cell r="BB270" t="str">
            <v>-</v>
          </cell>
          <cell r="BC270">
            <v>0</v>
          </cell>
          <cell r="BD270" t="str">
            <v>-</v>
          </cell>
          <cell r="BE270">
            <v>0</v>
          </cell>
          <cell r="BF270" t="str">
            <v/>
          </cell>
          <cell r="BG270">
            <v>0</v>
          </cell>
          <cell r="BH270" t="str">
            <v>-</v>
          </cell>
          <cell r="BI270">
            <v>0</v>
          </cell>
          <cell r="BJ270" t="str">
            <v>-</v>
          </cell>
          <cell r="BK270">
            <v>0</v>
          </cell>
          <cell r="BL270">
            <v>6.1091922866120668E-2</v>
          </cell>
          <cell r="BM270" t="str">
            <v>-</v>
          </cell>
          <cell r="BN270">
            <v>15</v>
          </cell>
          <cell r="BO270" t="str">
            <v/>
          </cell>
          <cell r="BP270">
            <v>0</v>
          </cell>
          <cell r="BQ270">
            <v>0</v>
          </cell>
          <cell r="BR270" t="str">
            <v>-</v>
          </cell>
          <cell r="BS270">
            <v>0</v>
          </cell>
          <cell r="BT270">
            <v>0</v>
          </cell>
          <cell r="BU270" t="str">
            <v>-</v>
          </cell>
        </row>
        <row r="271">
          <cell r="A271" t="str">
            <v>20532MD</v>
          </cell>
          <cell r="B271">
            <v>20532</v>
          </cell>
          <cell r="C271" t="str">
            <v>MD</v>
          </cell>
          <cell r="D271" t="str">
            <v>Interior Lighting</v>
          </cell>
          <cell r="E271" t="str">
            <v>Interior Lighting Design with Gas Secondary Fuel</v>
          </cell>
          <cell r="F271" t="str">
            <v>C</v>
          </cell>
          <cell r="G271" t="str">
            <v>Y</v>
          </cell>
          <cell r="M271" t="str">
            <v>NC</v>
          </cell>
          <cell r="N271" t="str">
            <v>Unoptimized interior lighting design</v>
          </cell>
          <cell r="O271">
            <v>2021</v>
          </cell>
          <cell r="P271">
            <v>2030</v>
          </cell>
          <cell r="Q271" t="str">
            <v>Small Office</v>
          </cell>
          <cell r="R271" t="str">
            <v/>
          </cell>
          <cell r="S271">
            <v>0</v>
          </cell>
          <cell r="T271">
            <v>0</v>
          </cell>
          <cell r="U271">
            <v>0</v>
          </cell>
          <cell r="V271">
            <v>0</v>
          </cell>
          <cell r="W271">
            <v>0.3300806196348276</v>
          </cell>
          <cell r="X271" t="str">
            <v>-</v>
          </cell>
          <cell r="Y271" t="str">
            <v>3,6,7,23,63</v>
          </cell>
          <cell r="Z271" t="str">
            <v>3,6,7,23,63</v>
          </cell>
          <cell r="AA271">
            <v>0</v>
          </cell>
          <cell r="AB271">
            <v>0</v>
          </cell>
          <cell r="AC271">
            <v>0</v>
          </cell>
          <cell r="AD271">
            <v>0.82037061487319196</v>
          </cell>
          <cell r="AE271">
            <v>4</v>
          </cell>
          <cell r="AF271">
            <v>4</v>
          </cell>
          <cell r="AG271">
            <v>0</v>
          </cell>
          <cell r="AH271">
            <v>0</v>
          </cell>
          <cell r="AI271">
            <v>0</v>
          </cell>
          <cell r="AJ271">
            <v>0</v>
          </cell>
          <cell r="AK271">
            <v>0</v>
          </cell>
          <cell r="AL271" t="str">
            <v>-</v>
          </cell>
          <cell r="AM271" t="str">
            <v>-</v>
          </cell>
          <cell r="AN271" t="str">
            <v/>
          </cell>
          <cell r="AO271">
            <v>0</v>
          </cell>
          <cell r="AP271" t="str">
            <v>-</v>
          </cell>
          <cell r="AQ271">
            <v>0</v>
          </cell>
          <cell r="AR271" t="str">
            <v>-</v>
          </cell>
          <cell r="AS271">
            <v>0</v>
          </cell>
          <cell r="AT271" t="str">
            <v/>
          </cell>
          <cell r="AU271">
            <v>0</v>
          </cell>
          <cell r="AV271" t="str">
            <v>-</v>
          </cell>
          <cell r="AW271">
            <v>0</v>
          </cell>
          <cell r="AX271" t="str">
            <v>-</v>
          </cell>
          <cell r="AY271">
            <v>0</v>
          </cell>
          <cell r="AZ271" t="str">
            <v/>
          </cell>
          <cell r="BA271">
            <v>0</v>
          </cell>
          <cell r="BB271" t="str">
            <v>-</v>
          </cell>
          <cell r="BC271">
            <v>0</v>
          </cell>
          <cell r="BD271" t="str">
            <v>-</v>
          </cell>
          <cell r="BE271">
            <v>0</v>
          </cell>
          <cell r="BF271" t="str">
            <v/>
          </cell>
          <cell r="BG271">
            <v>0</v>
          </cell>
          <cell r="BH271" t="str">
            <v>-</v>
          </cell>
          <cell r="BI271">
            <v>0</v>
          </cell>
          <cell r="BJ271" t="str">
            <v>-</v>
          </cell>
          <cell r="BK271">
            <v>0</v>
          </cell>
          <cell r="BL271">
            <v>5.0769915856488261E-2</v>
          </cell>
          <cell r="BM271" t="str">
            <v>-</v>
          </cell>
          <cell r="BN271">
            <v>15</v>
          </cell>
          <cell r="BO271" t="str">
            <v>G</v>
          </cell>
          <cell r="BP271">
            <v>0</v>
          </cell>
          <cell r="BQ271">
            <v>-4.0988712788910274E-4</v>
          </cell>
          <cell r="BR271" t="str">
            <v>-</v>
          </cell>
          <cell r="BS271">
            <v>0</v>
          </cell>
          <cell r="BT271">
            <v>0</v>
          </cell>
          <cell r="BU271" t="str">
            <v>-</v>
          </cell>
        </row>
        <row r="272">
          <cell r="A272" t="str">
            <v>20601MD</v>
          </cell>
          <cell r="B272">
            <v>20601</v>
          </cell>
          <cell r="C272" t="str">
            <v>MD</v>
          </cell>
          <cell r="D272" t="e">
            <v>#REF!</v>
          </cell>
          <cell r="E272" t="e">
            <v>#REF!</v>
          </cell>
          <cell r="F272" t="e">
            <v>#REF!</v>
          </cell>
          <cell r="G272" t="str">
            <v>Y</v>
          </cell>
          <cell r="M272" t="e">
            <v>#REF!</v>
          </cell>
          <cell r="N272" t="e">
            <v>#REF!</v>
          </cell>
          <cell r="O272" t="e">
            <v>#REF!</v>
          </cell>
          <cell r="P272" t="e">
            <v>#REF!</v>
          </cell>
          <cell r="Q272" t="e">
            <v>#REF!</v>
          </cell>
          <cell r="R272" t="e">
            <v>#REF!</v>
          </cell>
          <cell r="S272" t="e">
            <v>#REF!</v>
          </cell>
          <cell r="T272" t="e">
            <v>#REF!</v>
          </cell>
          <cell r="U272" t="e">
            <v>#REF!</v>
          </cell>
          <cell r="V272" t="e">
            <v>#REF!</v>
          </cell>
          <cell r="W272" t="e">
            <v>#REF!</v>
          </cell>
          <cell r="X272" t="e">
            <v>#REF!</v>
          </cell>
          <cell r="Y272" t="e">
            <v>#REF!</v>
          </cell>
          <cell r="Z272" t="e">
            <v>#REF!</v>
          </cell>
          <cell r="AA272" t="e">
            <v>#REF!</v>
          </cell>
          <cell r="AB272" t="e">
            <v>#REF!</v>
          </cell>
          <cell r="AC272" t="e">
            <v>#REF!</v>
          </cell>
          <cell r="AD272" t="e">
            <v>#REF!</v>
          </cell>
          <cell r="AE272" t="e">
            <v>#REF!</v>
          </cell>
          <cell r="AF272" t="e">
            <v>#REF!</v>
          </cell>
          <cell r="AG272" t="e">
            <v>#REF!</v>
          </cell>
          <cell r="AH272" t="e">
            <v>#REF!</v>
          </cell>
          <cell r="AI272" t="e">
            <v>#REF!</v>
          </cell>
          <cell r="AJ272" t="e">
            <v>#REF!</v>
          </cell>
          <cell r="AK272" t="e">
            <v>#REF!</v>
          </cell>
          <cell r="AL272" t="e">
            <v>#REF!</v>
          </cell>
          <cell r="AM272" t="e">
            <v>#REF!</v>
          </cell>
          <cell r="AN272" t="e">
            <v>#REF!</v>
          </cell>
          <cell r="AO272" t="e">
            <v>#REF!</v>
          </cell>
          <cell r="AP272" t="e">
            <v>#REF!</v>
          </cell>
          <cell r="AQ272" t="e">
            <v>#REF!</v>
          </cell>
          <cell r="AR272" t="e">
            <v>#REF!</v>
          </cell>
          <cell r="AS272" t="e">
            <v>#REF!</v>
          </cell>
          <cell r="AT272" t="e">
            <v>#REF!</v>
          </cell>
          <cell r="AU272" t="e">
            <v>#REF!</v>
          </cell>
          <cell r="AV272" t="e">
            <v>#REF!</v>
          </cell>
          <cell r="AW272" t="e">
            <v>#REF!</v>
          </cell>
          <cell r="AX272" t="e">
            <v>#REF!</v>
          </cell>
          <cell r="AY272" t="e">
            <v>#REF!</v>
          </cell>
          <cell r="AZ272" t="e">
            <v>#REF!</v>
          </cell>
          <cell r="BA272" t="e">
            <v>#REF!</v>
          </cell>
          <cell r="BB272" t="e">
            <v>#REF!</v>
          </cell>
          <cell r="BC272" t="e">
            <v>#REF!</v>
          </cell>
          <cell r="BD272" t="e">
            <v>#REF!</v>
          </cell>
          <cell r="BE272" t="e">
            <v>#REF!</v>
          </cell>
          <cell r="BF272" t="e">
            <v>#REF!</v>
          </cell>
          <cell r="BG272" t="e">
            <v>#REF!</v>
          </cell>
          <cell r="BH272" t="e">
            <v>#REF!</v>
          </cell>
          <cell r="BI272" t="e">
            <v>#REF!</v>
          </cell>
          <cell r="BJ272" t="e">
            <v>#REF!</v>
          </cell>
          <cell r="BK272" t="e">
            <v>#REF!</v>
          </cell>
          <cell r="BL272" t="e">
            <v>#REF!</v>
          </cell>
          <cell r="BM272" t="e">
            <v>#REF!</v>
          </cell>
          <cell r="BN272" t="e">
            <v>#REF!</v>
          </cell>
          <cell r="BO272" t="e">
            <v>#REF!</v>
          </cell>
          <cell r="BP272" t="e">
            <v>#REF!</v>
          </cell>
          <cell r="BQ272" t="e">
            <v>#REF!</v>
          </cell>
          <cell r="BR272" t="e">
            <v>#REF!</v>
          </cell>
          <cell r="BS272" t="e">
            <v>#REF!</v>
          </cell>
          <cell r="BT272" t="e">
            <v>#REF!</v>
          </cell>
          <cell r="BU272" t="e">
            <v>#REF!</v>
          </cell>
        </row>
        <row r="273">
          <cell r="A273" t="str">
            <v>20605MD</v>
          </cell>
          <cell r="B273">
            <v>20605</v>
          </cell>
          <cell r="C273" t="str">
            <v>MD</v>
          </cell>
          <cell r="D273" t="str">
            <v>Other</v>
          </cell>
          <cell r="E273" t="str">
            <v>Clothes Washer Gas WH</v>
          </cell>
          <cell r="F273" t="str">
            <v>C</v>
          </cell>
          <cell r="G273" t="str">
            <v>Y</v>
          </cell>
          <cell r="M273" t="str">
            <v>NC,RENO,REPL</v>
          </cell>
          <cell r="N273" t="str">
            <v>Existing Non-ENERGY STAR Clothes Washer</v>
          </cell>
          <cell r="O273">
            <v>2021</v>
          </cell>
          <cell r="P273">
            <v>2030</v>
          </cell>
          <cell r="Q273" t="str">
            <v>Small Retail</v>
          </cell>
          <cell r="R273" t="str">
            <v>per washer</v>
          </cell>
          <cell r="S273">
            <v>0</v>
          </cell>
          <cell r="T273">
            <v>0</v>
          </cell>
          <cell r="U273">
            <v>265</v>
          </cell>
          <cell r="V273">
            <v>0.67517390563923829</v>
          </cell>
          <cell r="W273">
            <v>8.5164434821172447E-2</v>
          </cell>
          <cell r="X273" t="str">
            <v>-</v>
          </cell>
          <cell r="Y273">
            <v>3</v>
          </cell>
          <cell r="Z273">
            <v>3</v>
          </cell>
          <cell r="AA273">
            <v>0</v>
          </cell>
          <cell r="AB273">
            <v>0</v>
          </cell>
          <cell r="AC273">
            <v>150</v>
          </cell>
          <cell r="AD273">
            <v>0</v>
          </cell>
          <cell r="AE273">
            <v>4</v>
          </cell>
          <cell r="AF273">
            <v>4</v>
          </cell>
          <cell r="AG273">
            <v>0</v>
          </cell>
          <cell r="AH273">
            <v>0</v>
          </cell>
          <cell r="AI273">
            <v>0</v>
          </cell>
          <cell r="AJ273">
            <v>0</v>
          </cell>
          <cell r="AK273">
            <v>0</v>
          </cell>
          <cell r="AL273" t="str">
            <v>-</v>
          </cell>
          <cell r="AM273" t="str">
            <v>-</v>
          </cell>
          <cell r="AN273" t="str">
            <v/>
          </cell>
          <cell r="AO273">
            <v>0</v>
          </cell>
          <cell r="AP273" t="str">
            <v>-</v>
          </cell>
          <cell r="AQ273">
            <v>0</v>
          </cell>
          <cell r="AR273" t="str">
            <v>-</v>
          </cell>
          <cell r="AS273">
            <v>0</v>
          </cell>
          <cell r="AT273" t="str">
            <v/>
          </cell>
          <cell r="AU273">
            <v>0</v>
          </cell>
          <cell r="AV273" t="str">
            <v>-</v>
          </cell>
          <cell r="AW273">
            <v>0</v>
          </cell>
          <cell r="AX273" t="str">
            <v>-</v>
          </cell>
          <cell r="AY273">
            <v>0</v>
          </cell>
          <cell r="AZ273" t="str">
            <v/>
          </cell>
          <cell r="BA273">
            <v>0</v>
          </cell>
          <cell r="BB273" t="str">
            <v>-</v>
          </cell>
          <cell r="BC273">
            <v>0</v>
          </cell>
          <cell r="BD273" t="str">
            <v>-</v>
          </cell>
          <cell r="BE273">
            <v>0</v>
          </cell>
          <cell r="BF273" t="str">
            <v/>
          </cell>
          <cell r="BG273">
            <v>0</v>
          </cell>
          <cell r="BH273" t="str">
            <v>-</v>
          </cell>
          <cell r="BI273">
            <v>0</v>
          </cell>
          <cell r="BJ273" t="str">
            <v>-</v>
          </cell>
          <cell r="BK273">
            <v>0</v>
          </cell>
          <cell r="BL273">
            <v>0</v>
          </cell>
          <cell r="BM273" t="str">
            <v>-</v>
          </cell>
          <cell r="BN273">
            <v>7.1</v>
          </cell>
          <cell r="BO273" t="str">
            <v/>
          </cell>
          <cell r="BP273">
            <v>0</v>
          </cell>
          <cell r="BQ273">
            <v>0</v>
          </cell>
          <cell r="BR273" t="str">
            <v>-</v>
          </cell>
          <cell r="BS273">
            <v>0</v>
          </cell>
          <cell r="BT273">
            <v>0</v>
          </cell>
          <cell r="BU273" t="str">
            <v>-</v>
          </cell>
        </row>
        <row r="274">
          <cell r="A274" t="str">
            <v>20616RET</v>
          </cell>
          <cell r="B274">
            <v>20616</v>
          </cell>
          <cell r="C274" t="str">
            <v>RET</v>
          </cell>
          <cell r="D274" t="str">
            <v>Other</v>
          </cell>
          <cell r="E274" t="str">
            <v>Industrial Process, Other Improvements</v>
          </cell>
          <cell r="F274" t="str">
            <v>C</v>
          </cell>
          <cell r="G274" t="str">
            <v>Y</v>
          </cell>
          <cell r="M274" t="str">
            <v>RET</v>
          </cell>
          <cell r="N274" t="str">
            <v>Existing industrial misc. systems</v>
          </cell>
          <cell r="O274">
            <v>2021</v>
          </cell>
          <cell r="P274">
            <v>2030</v>
          </cell>
          <cell r="Q274" t="str">
            <v>Large Industrial Manufacturing</v>
          </cell>
          <cell r="R274" t="str">
            <v/>
          </cell>
          <cell r="S274">
            <v>0</v>
          </cell>
          <cell r="T274">
            <v>0</v>
          </cell>
          <cell r="U274">
            <v>0</v>
          </cell>
          <cell r="V274">
            <v>0</v>
          </cell>
          <cell r="W274">
            <v>0.126</v>
          </cell>
          <cell r="X274" t="str">
            <v>-</v>
          </cell>
          <cell r="Y274">
            <v>44</v>
          </cell>
          <cell r="Z274">
            <v>44</v>
          </cell>
          <cell r="AA274">
            <v>0</v>
          </cell>
          <cell r="AB274">
            <v>0</v>
          </cell>
          <cell r="AC274">
            <v>0</v>
          </cell>
          <cell r="AD274">
            <v>5.7905165764008212E-2</v>
          </cell>
          <cell r="AE274">
            <v>44</v>
          </cell>
          <cell r="AF274">
            <v>44</v>
          </cell>
          <cell r="AG274">
            <v>0</v>
          </cell>
          <cell r="AH274">
            <v>0</v>
          </cell>
          <cell r="AI274">
            <v>0</v>
          </cell>
          <cell r="AJ274">
            <v>0</v>
          </cell>
          <cell r="AK274">
            <v>0</v>
          </cell>
          <cell r="AL274" t="str">
            <v>-</v>
          </cell>
          <cell r="AM274" t="str">
            <v>-</v>
          </cell>
          <cell r="AN274" t="str">
            <v/>
          </cell>
          <cell r="AO274">
            <v>0</v>
          </cell>
          <cell r="AP274" t="str">
            <v>-</v>
          </cell>
          <cell r="AQ274">
            <v>0</v>
          </cell>
          <cell r="AR274" t="str">
            <v>-</v>
          </cell>
          <cell r="AS274">
            <v>0</v>
          </cell>
          <cell r="AT274" t="str">
            <v/>
          </cell>
          <cell r="AU274">
            <v>0</v>
          </cell>
          <cell r="AV274" t="str">
            <v>-</v>
          </cell>
          <cell r="AW274">
            <v>0</v>
          </cell>
          <cell r="AX274" t="str">
            <v>-</v>
          </cell>
          <cell r="AY274">
            <v>0</v>
          </cell>
          <cell r="AZ274" t="str">
            <v/>
          </cell>
          <cell r="BA274">
            <v>0</v>
          </cell>
          <cell r="BB274" t="str">
            <v>-</v>
          </cell>
          <cell r="BC274">
            <v>0</v>
          </cell>
          <cell r="BD274" t="str">
            <v>-</v>
          </cell>
          <cell r="BE274">
            <v>0</v>
          </cell>
          <cell r="BF274" t="str">
            <v/>
          </cell>
          <cell r="BG274">
            <v>0</v>
          </cell>
          <cell r="BH274" t="str">
            <v>-</v>
          </cell>
          <cell r="BI274">
            <v>0</v>
          </cell>
          <cell r="BJ274" t="str">
            <v>-</v>
          </cell>
          <cell r="BK274">
            <v>0</v>
          </cell>
          <cell r="BL274">
            <v>0</v>
          </cell>
          <cell r="BM274" t="str">
            <v>-</v>
          </cell>
          <cell r="BN274">
            <v>15</v>
          </cell>
          <cell r="BO274" t="str">
            <v/>
          </cell>
          <cell r="BP274">
            <v>0</v>
          </cell>
          <cell r="BQ274">
            <v>0</v>
          </cell>
          <cell r="BR274" t="str">
            <v>-</v>
          </cell>
          <cell r="BS274">
            <v>0</v>
          </cell>
          <cell r="BT274">
            <v>0</v>
          </cell>
          <cell r="BU274" t="str">
            <v>-</v>
          </cell>
        </row>
        <row r="275">
          <cell r="A275" t="str">
            <v>20602MD</v>
          </cell>
          <cell r="B275">
            <v>20602</v>
          </cell>
          <cell r="C275" t="str">
            <v>MD</v>
          </cell>
          <cell r="D275" t="e">
            <v>#REF!</v>
          </cell>
          <cell r="E275" t="e">
            <v>#REF!</v>
          </cell>
          <cell r="F275" t="e">
            <v>#REF!</v>
          </cell>
          <cell r="G275" t="str">
            <v>Y</v>
          </cell>
          <cell r="M275" t="e">
            <v>#REF!</v>
          </cell>
          <cell r="N275" t="e">
            <v>#REF!</v>
          </cell>
          <cell r="O275" t="e">
            <v>#REF!</v>
          </cell>
          <cell r="P275" t="e">
            <v>#REF!</v>
          </cell>
          <cell r="Q275" t="e">
            <v>#REF!</v>
          </cell>
          <cell r="R275" t="e">
            <v>#REF!</v>
          </cell>
          <cell r="S275" t="e">
            <v>#REF!</v>
          </cell>
          <cell r="T275" t="e">
            <v>#REF!</v>
          </cell>
          <cell r="U275" t="e">
            <v>#REF!</v>
          </cell>
          <cell r="V275" t="e">
            <v>#REF!</v>
          </cell>
          <cell r="W275" t="e">
            <v>#REF!</v>
          </cell>
          <cell r="X275" t="e">
            <v>#REF!</v>
          </cell>
          <cell r="Y275" t="e">
            <v>#REF!</v>
          </cell>
          <cell r="Z275" t="e">
            <v>#REF!</v>
          </cell>
          <cell r="AA275" t="e">
            <v>#REF!</v>
          </cell>
          <cell r="AB275" t="e">
            <v>#REF!</v>
          </cell>
          <cell r="AC275" t="e">
            <v>#REF!</v>
          </cell>
          <cell r="AD275" t="e">
            <v>#REF!</v>
          </cell>
          <cell r="AE275" t="e">
            <v>#REF!</v>
          </cell>
          <cell r="AF275" t="e">
            <v>#REF!</v>
          </cell>
          <cell r="AG275" t="e">
            <v>#REF!</v>
          </cell>
          <cell r="AH275" t="e">
            <v>#REF!</v>
          </cell>
          <cell r="AI275" t="e">
            <v>#REF!</v>
          </cell>
          <cell r="AJ275" t="e">
            <v>#REF!</v>
          </cell>
          <cell r="AK275" t="e">
            <v>#REF!</v>
          </cell>
          <cell r="AL275" t="e">
            <v>#REF!</v>
          </cell>
          <cell r="AM275" t="e">
            <v>#REF!</v>
          </cell>
          <cell r="AN275" t="e">
            <v>#REF!</v>
          </cell>
          <cell r="AO275" t="e">
            <v>#REF!</v>
          </cell>
          <cell r="AP275" t="e">
            <v>#REF!</v>
          </cell>
          <cell r="AQ275" t="e">
            <v>#REF!</v>
          </cell>
          <cell r="AR275" t="e">
            <v>#REF!</v>
          </cell>
          <cell r="AS275" t="e">
            <v>#REF!</v>
          </cell>
          <cell r="AT275" t="e">
            <v>#REF!</v>
          </cell>
          <cell r="AU275" t="e">
            <v>#REF!</v>
          </cell>
          <cell r="AV275" t="e">
            <v>#REF!</v>
          </cell>
          <cell r="AW275" t="e">
            <v>#REF!</v>
          </cell>
          <cell r="AX275" t="e">
            <v>#REF!</v>
          </cell>
          <cell r="AY275" t="e">
            <v>#REF!</v>
          </cell>
          <cell r="AZ275" t="e">
            <v>#REF!</v>
          </cell>
          <cell r="BA275" t="e">
            <v>#REF!</v>
          </cell>
          <cell r="BB275" t="e">
            <v>#REF!</v>
          </cell>
          <cell r="BC275" t="e">
            <v>#REF!</v>
          </cell>
          <cell r="BD275" t="e">
            <v>#REF!</v>
          </cell>
          <cell r="BE275" t="e">
            <v>#REF!</v>
          </cell>
          <cell r="BF275" t="e">
            <v>#REF!</v>
          </cell>
          <cell r="BG275" t="e">
            <v>#REF!</v>
          </cell>
          <cell r="BH275" t="e">
            <v>#REF!</v>
          </cell>
          <cell r="BI275" t="e">
            <v>#REF!</v>
          </cell>
          <cell r="BJ275" t="e">
            <v>#REF!</v>
          </cell>
          <cell r="BK275" t="e">
            <v>#REF!</v>
          </cell>
          <cell r="BL275" t="e">
            <v>#REF!</v>
          </cell>
          <cell r="BM275" t="e">
            <v>#REF!</v>
          </cell>
          <cell r="BN275" t="e">
            <v>#REF!</v>
          </cell>
          <cell r="BO275" t="e">
            <v>#REF!</v>
          </cell>
          <cell r="BP275" t="e">
            <v>#REF!</v>
          </cell>
          <cell r="BQ275" t="e">
            <v>#REF!</v>
          </cell>
          <cell r="BR275" t="e">
            <v>#REF!</v>
          </cell>
          <cell r="BS275" t="e">
            <v>#REF!</v>
          </cell>
          <cell r="BT275" t="e">
            <v>#REF!</v>
          </cell>
          <cell r="BU275" t="e">
            <v>#REF!</v>
          </cell>
        </row>
        <row r="276">
          <cell r="A276" t="str">
            <v>20609MD</v>
          </cell>
          <cell r="B276">
            <v>20609</v>
          </cell>
          <cell r="C276" t="str">
            <v>MD</v>
          </cell>
          <cell r="D276" t="str">
            <v>Other</v>
          </cell>
          <cell r="E276" t="str">
            <v>Clothes Washer Elec WH</v>
          </cell>
          <cell r="F276" t="str">
            <v>C</v>
          </cell>
          <cell r="G276" t="str">
            <v>Y</v>
          </cell>
          <cell r="M276" t="str">
            <v>NC,RENO,REPL</v>
          </cell>
          <cell r="N276" t="str">
            <v>Existing Non-ENERGY STAR Clothes Washer</v>
          </cell>
          <cell r="O276">
            <v>2021</v>
          </cell>
          <cell r="P276">
            <v>2030</v>
          </cell>
          <cell r="Q276" t="str">
            <v>Small Retail</v>
          </cell>
          <cell r="R276" t="str">
            <v>per washer</v>
          </cell>
          <cell r="S276">
            <v>0</v>
          </cell>
          <cell r="T276">
            <v>0</v>
          </cell>
          <cell r="U276">
            <v>0</v>
          </cell>
          <cell r="V276">
            <v>0</v>
          </cell>
          <cell r="W276">
            <v>0</v>
          </cell>
          <cell r="X276" t="str">
            <v>-</v>
          </cell>
          <cell r="Y276">
            <v>3</v>
          </cell>
          <cell r="Z276">
            <v>3</v>
          </cell>
          <cell r="AA276">
            <v>0</v>
          </cell>
          <cell r="AB276">
            <v>0</v>
          </cell>
          <cell r="AC276">
            <v>0.4</v>
          </cell>
          <cell r="AD276">
            <v>0</v>
          </cell>
          <cell r="AE276">
            <v>4</v>
          </cell>
          <cell r="AF276">
            <v>4</v>
          </cell>
          <cell r="AG276">
            <v>0</v>
          </cell>
          <cell r="AH276">
            <v>0</v>
          </cell>
          <cell r="AI276">
            <v>0</v>
          </cell>
          <cell r="AJ276">
            <v>0</v>
          </cell>
          <cell r="AK276">
            <v>0</v>
          </cell>
          <cell r="AL276" t="str">
            <v>-</v>
          </cell>
          <cell r="AM276" t="str">
            <v>-</v>
          </cell>
          <cell r="AN276" t="str">
            <v/>
          </cell>
          <cell r="AO276">
            <v>0</v>
          </cell>
          <cell r="AP276" t="str">
            <v>-</v>
          </cell>
          <cell r="AQ276">
            <v>0</v>
          </cell>
          <cell r="AR276" t="str">
            <v>-</v>
          </cell>
          <cell r="AS276">
            <v>0</v>
          </cell>
          <cell r="AT276" t="str">
            <v/>
          </cell>
          <cell r="AU276">
            <v>0</v>
          </cell>
          <cell r="AV276" t="str">
            <v>-</v>
          </cell>
          <cell r="AW276">
            <v>0</v>
          </cell>
          <cell r="AX276" t="str">
            <v>-</v>
          </cell>
          <cell r="AY276">
            <v>0</v>
          </cell>
          <cell r="AZ276" t="str">
            <v/>
          </cell>
          <cell r="BA276">
            <v>0</v>
          </cell>
          <cell r="BB276" t="str">
            <v>-</v>
          </cell>
          <cell r="BC276">
            <v>0</v>
          </cell>
          <cell r="BD276" t="str">
            <v>-</v>
          </cell>
          <cell r="BE276">
            <v>0</v>
          </cell>
          <cell r="BF276" t="str">
            <v/>
          </cell>
          <cell r="BG276">
            <v>0</v>
          </cell>
          <cell r="BH276" t="str">
            <v>-</v>
          </cell>
          <cell r="BI276">
            <v>0</v>
          </cell>
          <cell r="BJ276" t="str">
            <v>-</v>
          </cell>
          <cell r="BK276">
            <v>0</v>
          </cell>
          <cell r="BL276">
            <v>0</v>
          </cell>
          <cell r="BM276" t="str">
            <v>-</v>
          </cell>
          <cell r="BN276" t="str">
            <v>ERP</v>
          </cell>
          <cell r="BO276" t="str">
            <v/>
          </cell>
          <cell r="BP276">
            <v>0</v>
          </cell>
          <cell r="BQ276">
            <v>0</v>
          </cell>
          <cell r="BR276" t="str">
            <v>-</v>
          </cell>
          <cell r="BS276">
            <v>0</v>
          </cell>
          <cell r="BT276">
            <v>0</v>
          </cell>
          <cell r="BU276" t="str">
            <v>-</v>
          </cell>
        </row>
        <row r="277">
          <cell r="A277" t="str">
            <v>20617RET</v>
          </cell>
          <cell r="B277">
            <v>20617</v>
          </cell>
          <cell r="C277" t="str">
            <v>RET</v>
          </cell>
          <cell r="D277" t="str">
            <v>Other</v>
          </cell>
          <cell r="E277" t="str">
            <v>Industrial Non-Process, Other Improvements</v>
          </cell>
          <cell r="F277" t="str">
            <v>C</v>
          </cell>
          <cell r="G277" t="str">
            <v>Y</v>
          </cell>
          <cell r="M277" t="str">
            <v>RET</v>
          </cell>
          <cell r="N277" t="str">
            <v>Existing industrial misc. systems</v>
          </cell>
          <cell r="O277">
            <v>2021</v>
          </cell>
          <cell r="P277">
            <v>2030</v>
          </cell>
          <cell r="Q277" t="str">
            <v>Large Industrial Manufacturing</v>
          </cell>
          <cell r="R277" t="str">
            <v/>
          </cell>
          <cell r="S277">
            <v>0</v>
          </cell>
          <cell r="T277">
            <v>0</v>
          </cell>
          <cell r="U277">
            <v>0</v>
          </cell>
          <cell r="V277">
            <v>0</v>
          </cell>
          <cell r="W277">
            <v>0.126</v>
          </cell>
          <cell r="X277" t="str">
            <v>-</v>
          </cell>
          <cell r="Y277">
            <v>44</v>
          </cell>
          <cell r="Z277">
            <v>44</v>
          </cell>
          <cell r="AA277">
            <v>0</v>
          </cell>
          <cell r="AB277">
            <v>0</v>
          </cell>
          <cell r="AC277">
            <v>0</v>
          </cell>
          <cell r="AD277">
            <v>5.7905165764008212E-2</v>
          </cell>
          <cell r="AE277">
            <v>44</v>
          </cell>
          <cell r="AF277">
            <v>44</v>
          </cell>
          <cell r="AG277">
            <v>0</v>
          </cell>
          <cell r="AH277">
            <v>0</v>
          </cell>
          <cell r="AI277">
            <v>0</v>
          </cell>
          <cell r="AJ277">
            <v>0</v>
          </cell>
          <cell r="AK277">
            <v>0</v>
          </cell>
          <cell r="AL277" t="str">
            <v>-</v>
          </cell>
          <cell r="AM277" t="str">
            <v>-</v>
          </cell>
          <cell r="AN277" t="str">
            <v/>
          </cell>
          <cell r="AO277">
            <v>0</v>
          </cell>
          <cell r="AP277" t="str">
            <v>-</v>
          </cell>
          <cell r="AQ277">
            <v>0</v>
          </cell>
          <cell r="AR277" t="str">
            <v>-</v>
          </cell>
          <cell r="AS277">
            <v>0</v>
          </cell>
          <cell r="AT277" t="str">
            <v/>
          </cell>
          <cell r="AU277">
            <v>0</v>
          </cell>
          <cell r="AV277" t="str">
            <v>-</v>
          </cell>
          <cell r="AW277">
            <v>0</v>
          </cell>
          <cell r="AX277" t="str">
            <v>-</v>
          </cell>
          <cell r="AY277">
            <v>0</v>
          </cell>
          <cell r="AZ277" t="str">
            <v/>
          </cell>
          <cell r="BA277">
            <v>0</v>
          </cell>
          <cell r="BB277" t="str">
            <v>-</v>
          </cell>
          <cell r="BC277">
            <v>0</v>
          </cell>
          <cell r="BD277" t="str">
            <v>-</v>
          </cell>
          <cell r="BE277">
            <v>0</v>
          </cell>
          <cell r="BF277" t="str">
            <v/>
          </cell>
          <cell r="BG277">
            <v>0</v>
          </cell>
          <cell r="BH277" t="str">
            <v>-</v>
          </cell>
          <cell r="BI277">
            <v>0</v>
          </cell>
          <cell r="BJ277" t="str">
            <v>-</v>
          </cell>
          <cell r="BK277">
            <v>0</v>
          </cell>
          <cell r="BL277">
            <v>0</v>
          </cell>
          <cell r="BM277" t="str">
            <v>-</v>
          </cell>
          <cell r="BN277">
            <v>15</v>
          </cell>
          <cell r="BO277" t="str">
            <v/>
          </cell>
          <cell r="BP277">
            <v>0</v>
          </cell>
          <cell r="BQ277">
            <v>0</v>
          </cell>
          <cell r="BR277" t="str">
            <v>-</v>
          </cell>
          <cell r="BS277">
            <v>0</v>
          </cell>
          <cell r="BT277">
            <v>0</v>
          </cell>
          <cell r="BU277" t="str">
            <v>-</v>
          </cell>
        </row>
        <row r="278">
          <cell r="A278" t="str">
            <v>20603MD</v>
          </cell>
          <cell r="B278">
            <v>20603</v>
          </cell>
          <cell r="C278" t="str">
            <v>MD</v>
          </cell>
          <cell r="D278" t="str">
            <v>Other</v>
          </cell>
          <cell r="E278" t="str">
            <v>ENERGY STAR Dehumidifier</v>
          </cell>
          <cell r="F278" t="str">
            <v>C</v>
          </cell>
          <cell r="G278" t="str">
            <v>Y</v>
          </cell>
          <cell r="M278" t="str">
            <v>NC,RENO,REPL</v>
          </cell>
          <cell r="N278" t="str">
            <v>Old or previously non-existent dehumidifier</v>
          </cell>
          <cell r="O278">
            <v>2021</v>
          </cell>
          <cell r="P278">
            <v>2030</v>
          </cell>
          <cell r="Q278" t="str">
            <v>Small Office</v>
          </cell>
          <cell r="R278" t="str">
            <v/>
          </cell>
          <cell r="S278">
            <v>0</v>
          </cell>
          <cell r="T278">
            <v>0</v>
          </cell>
          <cell r="U278">
            <v>1632</v>
          </cell>
          <cell r="V278">
            <v>171.49715201465199</v>
          </cell>
          <cell r="W278">
            <v>0.21916666666666668</v>
          </cell>
          <cell r="X278" t="str">
            <v>-</v>
          </cell>
          <cell r="Y278" t="str">
            <v>2,12</v>
          </cell>
          <cell r="Z278" t="str">
            <v>2,12</v>
          </cell>
          <cell r="AA278">
            <v>0</v>
          </cell>
          <cell r="AB278">
            <v>0</v>
          </cell>
          <cell r="AC278">
            <v>50.45</v>
          </cell>
          <cell r="AD278">
            <v>0.29417398135970074</v>
          </cell>
          <cell r="AE278">
            <v>8</v>
          </cell>
          <cell r="AF278">
            <v>8</v>
          </cell>
          <cell r="AG278">
            <v>0</v>
          </cell>
          <cell r="AH278">
            <v>0</v>
          </cell>
          <cell r="AI278">
            <v>0</v>
          </cell>
          <cell r="AJ278">
            <v>0</v>
          </cell>
          <cell r="AK278">
            <v>0</v>
          </cell>
          <cell r="AL278" t="str">
            <v>-</v>
          </cell>
          <cell r="AM278" t="str">
            <v>-</v>
          </cell>
          <cell r="AN278" t="str">
            <v/>
          </cell>
          <cell r="AO278">
            <v>0</v>
          </cell>
          <cell r="AP278" t="str">
            <v>-</v>
          </cell>
          <cell r="AQ278">
            <v>0</v>
          </cell>
          <cell r="AR278" t="str">
            <v>-</v>
          </cell>
          <cell r="AS278">
            <v>0</v>
          </cell>
          <cell r="AT278" t="str">
            <v/>
          </cell>
          <cell r="AU278">
            <v>0</v>
          </cell>
          <cell r="AV278" t="str">
            <v>-</v>
          </cell>
          <cell r="AW278">
            <v>0</v>
          </cell>
          <cell r="AX278" t="str">
            <v>-</v>
          </cell>
          <cell r="AY278">
            <v>0</v>
          </cell>
          <cell r="AZ278" t="str">
            <v/>
          </cell>
          <cell r="BA278">
            <v>0</v>
          </cell>
          <cell r="BB278" t="str">
            <v>-</v>
          </cell>
          <cell r="BC278">
            <v>0</v>
          </cell>
          <cell r="BD278" t="str">
            <v>-</v>
          </cell>
          <cell r="BE278">
            <v>0</v>
          </cell>
          <cell r="BF278" t="str">
            <v/>
          </cell>
          <cell r="BG278">
            <v>0</v>
          </cell>
          <cell r="BH278" t="str">
            <v>-</v>
          </cell>
          <cell r="BI278">
            <v>0</v>
          </cell>
          <cell r="BJ278" t="str">
            <v>-</v>
          </cell>
          <cell r="BK278">
            <v>0</v>
          </cell>
          <cell r="BL278">
            <v>0</v>
          </cell>
          <cell r="BM278" t="str">
            <v>-</v>
          </cell>
          <cell r="BN278">
            <v>12</v>
          </cell>
          <cell r="BO278" t="str">
            <v/>
          </cell>
          <cell r="BP278">
            <v>0</v>
          </cell>
          <cell r="BQ278">
            <v>0</v>
          </cell>
          <cell r="BR278" t="str">
            <v>-</v>
          </cell>
          <cell r="BS278">
            <v>0</v>
          </cell>
          <cell r="BT278">
            <v>0</v>
          </cell>
          <cell r="BU278" t="str">
            <v>-</v>
          </cell>
        </row>
        <row r="279">
          <cell r="A279" t="str">
            <v>20612MD</v>
          </cell>
          <cell r="B279">
            <v>20612</v>
          </cell>
          <cell r="C279" t="str">
            <v>MD</v>
          </cell>
          <cell r="D279" t="str">
            <v>Other</v>
          </cell>
          <cell r="E279" t="str">
            <v>Clothes Dryer</v>
          </cell>
          <cell r="F279" t="str">
            <v>C</v>
          </cell>
          <cell r="G279" t="str">
            <v>Y</v>
          </cell>
          <cell r="M279" t="str">
            <v>NC,RENO,REPL</v>
          </cell>
          <cell r="N279" t="str">
            <v>Standard efficiency (Non-ENERGY STAR) Clothes Washer</v>
          </cell>
          <cell r="O279">
            <v>2021</v>
          </cell>
          <cell r="P279">
            <v>2030</v>
          </cell>
          <cell r="Q279" t="str">
            <v>Small Retail</v>
          </cell>
          <cell r="R279" t="str">
            <v/>
          </cell>
          <cell r="S279">
            <v>0</v>
          </cell>
          <cell r="T279">
            <v>0</v>
          </cell>
          <cell r="U279">
            <v>290</v>
          </cell>
          <cell r="V279">
            <v>405.19017466200012</v>
          </cell>
          <cell r="W279">
            <v>0.18927663508204301</v>
          </cell>
          <cell r="X279" t="str">
            <v>-</v>
          </cell>
          <cell r="Y279" t="str">
            <v>3,11,12</v>
          </cell>
          <cell r="Z279" t="str">
            <v>3,11,12</v>
          </cell>
          <cell r="AA279">
            <v>0</v>
          </cell>
          <cell r="AB279">
            <v>0</v>
          </cell>
          <cell r="AC279">
            <v>75</v>
          </cell>
          <cell r="AD279">
            <v>0</v>
          </cell>
          <cell r="AE279">
            <v>9</v>
          </cell>
          <cell r="AF279">
            <v>9</v>
          </cell>
          <cell r="AG279">
            <v>0</v>
          </cell>
          <cell r="AH279">
            <v>0</v>
          </cell>
          <cell r="AI279">
            <v>0</v>
          </cell>
          <cell r="AJ279">
            <v>0</v>
          </cell>
          <cell r="AK279">
            <v>0</v>
          </cell>
          <cell r="AL279" t="str">
            <v>-</v>
          </cell>
          <cell r="AM279" t="str">
            <v>-</v>
          </cell>
          <cell r="AN279" t="str">
            <v/>
          </cell>
          <cell r="AO279">
            <v>0</v>
          </cell>
          <cell r="AP279" t="str">
            <v>-</v>
          </cell>
          <cell r="AQ279">
            <v>0</v>
          </cell>
          <cell r="AR279" t="str">
            <v>-</v>
          </cell>
          <cell r="AS279">
            <v>0</v>
          </cell>
          <cell r="AT279" t="str">
            <v/>
          </cell>
          <cell r="AU279">
            <v>0</v>
          </cell>
          <cell r="AV279" t="str">
            <v>-</v>
          </cell>
          <cell r="AW279">
            <v>0</v>
          </cell>
          <cell r="AX279" t="str">
            <v>-</v>
          </cell>
          <cell r="AY279">
            <v>0</v>
          </cell>
          <cell r="AZ279" t="str">
            <v/>
          </cell>
          <cell r="BA279">
            <v>0</v>
          </cell>
          <cell r="BB279" t="str">
            <v>-</v>
          </cell>
          <cell r="BC279">
            <v>0</v>
          </cell>
          <cell r="BD279" t="str">
            <v>-</v>
          </cell>
          <cell r="BE279">
            <v>0</v>
          </cell>
          <cell r="BF279" t="str">
            <v/>
          </cell>
          <cell r="BG279">
            <v>0</v>
          </cell>
          <cell r="BH279" t="str">
            <v>-</v>
          </cell>
          <cell r="BI279">
            <v>0</v>
          </cell>
          <cell r="BJ279" t="str">
            <v>-</v>
          </cell>
          <cell r="BK279">
            <v>0</v>
          </cell>
          <cell r="BL279">
            <v>0</v>
          </cell>
          <cell r="BM279" t="str">
            <v>-</v>
          </cell>
          <cell r="BN279">
            <v>14</v>
          </cell>
          <cell r="BO279" t="str">
            <v/>
          </cell>
          <cell r="BP279">
            <v>13.606530825496321</v>
          </cell>
          <cell r="BQ279">
            <v>3.3580604062886175E-2</v>
          </cell>
          <cell r="BR279" t="str">
            <v>-</v>
          </cell>
          <cell r="BS279">
            <v>0</v>
          </cell>
          <cell r="BT279">
            <v>0</v>
          </cell>
          <cell r="BU279" t="str">
            <v>-</v>
          </cell>
        </row>
        <row r="280">
          <cell r="A280" t="str">
            <v>20612RET</v>
          </cell>
          <cell r="B280">
            <v>20612</v>
          </cell>
          <cell r="C280" t="str">
            <v>RET</v>
          </cell>
          <cell r="D280" t="str">
            <v>Other</v>
          </cell>
          <cell r="E280" t="str">
            <v>Clothes Dryer</v>
          </cell>
          <cell r="F280" t="str">
            <v>C</v>
          </cell>
          <cell r="G280" t="str">
            <v>Y</v>
          </cell>
          <cell r="M280" t="str">
            <v>RET</v>
          </cell>
          <cell r="N280" t="str">
            <v>Existing, standard efficiency (Non-ENERGY STAR) Clothes Washer</v>
          </cell>
          <cell r="O280">
            <v>2021</v>
          </cell>
          <cell r="P280">
            <v>2030</v>
          </cell>
          <cell r="Q280" t="str">
            <v>Small Retail</v>
          </cell>
          <cell r="R280" t="str">
            <v/>
          </cell>
          <cell r="S280">
            <v>0</v>
          </cell>
          <cell r="T280">
            <v>0</v>
          </cell>
          <cell r="U280">
            <v>290</v>
          </cell>
          <cell r="V280">
            <v>405.19017466200012</v>
          </cell>
          <cell r="W280">
            <v>0.18927663508204301</v>
          </cell>
          <cell r="X280" t="str">
            <v>-</v>
          </cell>
          <cell r="Y280" t="str">
            <v>3,11,12</v>
          </cell>
          <cell r="Z280" t="str">
            <v>3,11,12</v>
          </cell>
          <cell r="AA280">
            <v>450</v>
          </cell>
          <cell r="AB280">
            <v>0</v>
          </cell>
          <cell r="AC280">
            <v>450</v>
          </cell>
          <cell r="AD280">
            <v>0</v>
          </cell>
          <cell r="AE280">
            <v>9</v>
          </cell>
          <cell r="AF280">
            <v>9</v>
          </cell>
          <cell r="AG280">
            <v>14</v>
          </cell>
          <cell r="AH280">
            <v>7</v>
          </cell>
          <cell r="AI280">
            <v>375</v>
          </cell>
          <cell r="AJ280">
            <v>0.92549134566951419</v>
          </cell>
          <cell r="AK280">
            <v>1</v>
          </cell>
          <cell r="AL280" t="str">
            <v>-</v>
          </cell>
          <cell r="AM280" t="str">
            <v>-</v>
          </cell>
          <cell r="AN280" t="str">
            <v/>
          </cell>
          <cell r="AO280">
            <v>0</v>
          </cell>
          <cell r="AP280" t="str">
            <v>-</v>
          </cell>
          <cell r="AQ280">
            <v>0</v>
          </cell>
          <cell r="AR280" t="str">
            <v>-</v>
          </cell>
          <cell r="AS280">
            <v>0</v>
          </cell>
          <cell r="AT280" t="str">
            <v/>
          </cell>
          <cell r="AU280">
            <v>0</v>
          </cell>
          <cell r="AV280" t="str">
            <v>-</v>
          </cell>
          <cell r="AW280">
            <v>0</v>
          </cell>
          <cell r="AX280" t="str">
            <v>-</v>
          </cell>
          <cell r="AY280">
            <v>0</v>
          </cell>
          <cell r="AZ280" t="str">
            <v/>
          </cell>
          <cell r="BA280">
            <v>0</v>
          </cell>
          <cell r="BB280" t="str">
            <v>-</v>
          </cell>
          <cell r="BC280">
            <v>0</v>
          </cell>
          <cell r="BD280" t="str">
            <v>-</v>
          </cell>
          <cell r="BE280">
            <v>0</v>
          </cell>
          <cell r="BF280" t="str">
            <v/>
          </cell>
          <cell r="BG280">
            <v>0</v>
          </cell>
          <cell r="BH280" t="str">
            <v>-</v>
          </cell>
          <cell r="BI280">
            <v>0</v>
          </cell>
          <cell r="BJ280" t="str">
            <v>-</v>
          </cell>
          <cell r="BK280">
            <v>0</v>
          </cell>
          <cell r="BL280">
            <v>0</v>
          </cell>
          <cell r="BM280" t="str">
            <v>-</v>
          </cell>
          <cell r="BN280">
            <v>14</v>
          </cell>
          <cell r="BO280" t="str">
            <v/>
          </cell>
          <cell r="BP280">
            <v>13.606530825496321</v>
          </cell>
          <cell r="BQ280">
            <v>3.3580604062886175E-2</v>
          </cell>
          <cell r="BR280" t="str">
            <v>-</v>
          </cell>
          <cell r="BS280">
            <v>0</v>
          </cell>
          <cell r="BT280">
            <v>0</v>
          </cell>
          <cell r="BU280" t="str">
            <v>-</v>
          </cell>
        </row>
        <row r="281">
          <cell r="A281" t="str">
            <v>20606MD</v>
          </cell>
          <cell r="B281">
            <v>20606</v>
          </cell>
          <cell r="C281" t="str">
            <v>MD</v>
          </cell>
          <cell r="D281" t="str">
            <v>Other</v>
          </cell>
          <cell r="E281" t="str">
            <v>Clothes Washer Gas WH</v>
          </cell>
          <cell r="F281" t="str">
            <v>C</v>
          </cell>
          <cell r="G281" t="str">
            <v>Y</v>
          </cell>
          <cell r="M281" t="str">
            <v>NC,RENO,REPL</v>
          </cell>
          <cell r="N281" t="str">
            <v>Existing Non-ENERGY STAR Clothes Washer</v>
          </cell>
          <cell r="O281">
            <v>2021</v>
          </cell>
          <cell r="P281">
            <v>2030</v>
          </cell>
          <cell r="Q281" t="str">
            <v>Small Retail</v>
          </cell>
          <cell r="R281" t="str">
            <v>per washer</v>
          </cell>
          <cell r="S281">
            <v>0</v>
          </cell>
          <cell r="T281">
            <v>0</v>
          </cell>
          <cell r="U281">
            <v>265</v>
          </cell>
          <cell r="V281">
            <v>93.717595974456032</v>
          </cell>
          <cell r="W281">
            <v>0.5975103734439835</v>
          </cell>
          <cell r="X281" t="str">
            <v>-</v>
          </cell>
          <cell r="Y281">
            <v>3</v>
          </cell>
          <cell r="Z281">
            <v>3</v>
          </cell>
          <cell r="AA281">
            <v>0</v>
          </cell>
          <cell r="AB281">
            <v>0</v>
          </cell>
          <cell r="AC281">
            <v>150</v>
          </cell>
          <cell r="AD281">
            <v>0</v>
          </cell>
          <cell r="AE281">
            <v>4</v>
          </cell>
          <cell r="AF281">
            <v>4</v>
          </cell>
          <cell r="AG281">
            <v>0</v>
          </cell>
          <cell r="AH281">
            <v>0</v>
          </cell>
          <cell r="AI281">
            <v>0</v>
          </cell>
          <cell r="AJ281">
            <v>0</v>
          </cell>
          <cell r="AK281">
            <v>0</v>
          </cell>
          <cell r="AL281" t="str">
            <v>-</v>
          </cell>
          <cell r="AM281" t="str">
            <v>-</v>
          </cell>
          <cell r="AN281" t="str">
            <v/>
          </cell>
          <cell r="AO281">
            <v>0</v>
          </cell>
          <cell r="AP281" t="str">
            <v>-</v>
          </cell>
          <cell r="AQ281">
            <v>0</v>
          </cell>
          <cell r="AR281" t="str">
            <v>-</v>
          </cell>
          <cell r="AS281">
            <v>0</v>
          </cell>
          <cell r="AT281" t="str">
            <v/>
          </cell>
          <cell r="AU281">
            <v>0</v>
          </cell>
          <cell r="AV281" t="str">
            <v>-</v>
          </cell>
          <cell r="AW281">
            <v>0</v>
          </cell>
          <cell r="AX281" t="str">
            <v>-</v>
          </cell>
          <cell r="AY281">
            <v>0</v>
          </cell>
          <cell r="AZ281" t="str">
            <v/>
          </cell>
          <cell r="BA281">
            <v>0</v>
          </cell>
          <cell r="BB281" t="str">
            <v>-</v>
          </cell>
          <cell r="BC281">
            <v>0</v>
          </cell>
          <cell r="BD281" t="str">
            <v>-</v>
          </cell>
          <cell r="BE281">
            <v>0</v>
          </cell>
          <cell r="BF281" t="str">
            <v/>
          </cell>
          <cell r="BG281">
            <v>0</v>
          </cell>
          <cell r="BH281" t="str">
            <v>-</v>
          </cell>
          <cell r="BI281">
            <v>0</v>
          </cell>
          <cell r="BJ281" t="str">
            <v>-</v>
          </cell>
          <cell r="BK281">
            <v>0</v>
          </cell>
          <cell r="BL281">
            <v>0</v>
          </cell>
          <cell r="BM281" t="str">
            <v>-</v>
          </cell>
          <cell r="BN281">
            <v>7.1</v>
          </cell>
          <cell r="BO281" t="str">
            <v/>
          </cell>
          <cell r="BP281">
            <v>0</v>
          </cell>
          <cell r="BQ281">
            <v>0</v>
          </cell>
          <cell r="BR281" t="str">
            <v>-</v>
          </cell>
          <cell r="BS281">
            <v>8551.2472500000022</v>
          </cell>
          <cell r="BT281">
            <v>91.244842135416675</v>
          </cell>
          <cell r="BU281" t="str">
            <v>-</v>
          </cell>
        </row>
        <row r="282">
          <cell r="A282" t="str">
            <v>20615RET</v>
          </cell>
          <cell r="B282">
            <v>20615</v>
          </cell>
          <cell r="C282" t="str">
            <v>RET</v>
          </cell>
          <cell r="D282" t="str">
            <v>Other</v>
          </cell>
          <cell r="E282" t="str">
            <v>VFDs on HVAC Pumps</v>
          </cell>
          <cell r="F282" t="str">
            <v>C</v>
          </cell>
          <cell r="G282" t="str">
            <v>Y</v>
          </cell>
          <cell r="M282" t="str">
            <v>RET</v>
          </cell>
          <cell r="N282" t="str">
            <v>Weighted average of no control, bypass valves, and throttling valves on HVAC pumps</v>
          </cell>
          <cell r="O282">
            <v>2021</v>
          </cell>
          <cell r="P282">
            <v>2030</v>
          </cell>
          <cell r="Q282" t="str">
            <v>Large Office</v>
          </cell>
          <cell r="R282" t="str">
            <v/>
          </cell>
          <cell r="S282">
            <v>0</v>
          </cell>
          <cell r="T282">
            <v>0</v>
          </cell>
          <cell r="U282">
            <v>0</v>
          </cell>
          <cell r="V282">
            <v>1590.5</v>
          </cell>
          <cell r="W282">
            <v>0.41749999999999998</v>
          </cell>
          <cell r="X282" t="str">
            <v>-</v>
          </cell>
          <cell r="Y282">
            <v>3</v>
          </cell>
          <cell r="Z282">
            <v>3</v>
          </cell>
          <cell r="AA282">
            <v>0</v>
          </cell>
          <cell r="AB282">
            <v>0</v>
          </cell>
          <cell r="AC282">
            <v>150</v>
          </cell>
          <cell r="AD282">
            <v>9.4309965419679342E-2</v>
          </cell>
          <cell r="AE282">
            <v>4</v>
          </cell>
          <cell r="AF282">
            <v>4</v>
          </cell>
          <cell r="AG282">
            <v>0</v>
          </cell>
          <cell r="AH282">
            <v>0</v>
          </cell>
          <cell r="AI282">
            <v>0</v>
          </cell>
          <cell r="AJ282">
            <v>0</v>
          </cell>
          <cell r="AK282">
            <v>0</v>
          </cell>
          <cell r="AL282" t="str">
            <v>-</v>
          </cell>
          <cell r="AM282" t="str">
            <v>-</v>
          </cell>
          <cell r="AN282" t="str">
            <v/>
          </cell>
          <cell r="AO282">
            <v>0</v>
          </cell>
          <cell r="AP282" t="str">
            <v>-</v>
          </cell>
          <cell r="AQ282">
            <v>0</v>
          </cell>
          <cell r="AR282" t="str">
            <v>-</v>
          </cell>
          <cell r="AS282">
            <v>0</v>
          </cell>
          <cell r="AT282" t="str">
            <v/>
          </cell>
          <cell r="AU282">
            <v>0</v>
          </cell>
          <cell r="AV282" t="str">
            <v>-</v>
          </cell>
          <cell r="AW282">
            <v>0</v>
          </cell>
          <cell r="AX282" t="str">
            <v>-</v>
          </cell>
          <cell r="AY282">
            <v>0</v>
          </cell>
          <cell r="AZ282" t="str">
            <v/>
          </cell>
          <cell r="BA282">
            <v>0</v>
          </cell>
          <cell r="BB282" t="str">
            <v>-</v>
          </cell>
          <cell r="BC282">
            <v>0</v>
          </cell>
          <cell r="BD282" t="str">
            <v>-</v>
          </cell>
          <cell r="BE282">
            <v>0</v>
          </cell>
          <cell r="BF282" t="str">
            <v/>
          </cell>
          <cell r="BG282">
            <v>0</v>
          </cell>
          <cell r="BH282" t="str">
            <v>-</v>
          </cell>
          <cell r="BI282">
            <v>0</v>
          </cell>
          <cell r="BJ282" t="str">
            <v>-</v>
          </cell>
          <cell r="BK282">
            <v>0</v>
          </cell>
          <cell r="BL282">
            <v>0</v>
          </cell>
          <cell r="BM282" t="str">
            <v>-</v>
          </cell>
          <cell r="BN282">
            <v>15</v>
          </cell>
          <cell r="BO282" t="str">
            <v/>
          </cell>
          <cell r="BP282">
            <v>0</v>
          </cell>
          <cell r="BQ282">
            <v>0</v>
          </cell>
          <cell r="BR282" t="str">
            <v>-</v>
          </cell>
          <cell r="BS282">
            <v>0</v>
          </cell>
          <cell r="BT282">
            <v>0</v>
          </cell>
          <cell r="BU282" t="str">
            <v>-</v>
          </cell>
        </row>
        <row r="283">
          <cell r="A283" t="str">
            <v>20607MD</v>
          </cell>
          <cell r="B283">
            <v>20607</v>
          </cell>
          <cell r="C283" t="str">
            <v>MD</v>
          </cell>
          <cell r="D283" t="str">
            <v>Other</v>
          </cell>
          <cell r="E283" t="str">
            <v>Clothes Washer Gas WH</v>
          </cell>
          <cell r="F283" t="str">
            <v>C</v>
          </cell>
          <cell r="G283" t="str">
            <v>Y</v>
          </cell>
          <cell r="M283" t="str">
            <v>NC,RENO,REPL</v>
          </cell>
          <cell r="N283" t="str">
            <v>Existing Non-ENERGY STAR Clothes Washer</v>
          </cell>
          <cell r="O283">
            <v>2021</v>
          </cell>
          <cell r="P283">
            <v>2030</v>
          </cell>
          <cell r="Q283" t="str">
            <v>Small Retail</v>
          </cell>
          <cell r="R283" t="str">
            <v>per washer</v>
          </cell>
          <cell r="S283">
            <v>0</v>
          </cell>
          <cell r="T283">
            <v>0</v>
          </cell>
          <cell r="U283">
            <v>265</v>
          </cell>
          <cell r="V283">
            <v>176.62872672743924</v>
          </cell>
          <cell r="W283">
            <v>8.5164434821172669E-2</v>
          </cell>
          <cell r="X283" t="str">
            <v>-</v>
          </cell>
          <cell r="Y283">
            <v>3</v>
          </cell>
          <cell r="Z283">
            <v>3</v>
          </cell>
          <cell r="AA283">
            <v>0</v>
          </cell>
          <cell r="AB283">
            <v>0</v>
          </cell>
          <cell r="AC283">
            <v>150</v>
          </cell>
          <cell r="AD283">
            <v>0.84923898155858424</v>
          </cell>
          <cell r="AE283">
            <v>4</v>
          </cell>
          <cell r="AF283">
            <v>4</v>
          </cell>
          <cell r="AG283">
            <v>0</v>
          </cell>
          <cell r="AH283">
            <v>0</v>
          </cell>
          <cell r="AI283">
            <v>0</v>
          </cell>
          <cell r="AJ283">
            <v>0</v>
          </cell>
          <cell r="AK283">
            <v>0</v>
          </cell>
          <cell r="AL283" t="str">
            <v>-</v>
          </cell>
          <cell r="AM283" t="str">
            <v>-</v>
          </cell>
          <cell r="AN283" t="str">
            <v/>
          </cell>
          <cell r="AO283">
            <v>0</v>
          </cell>
          <cell r="AP283" t="str">
            <v>-</v>
          </cell>
          <cell r="AQ283">
            <v>0</v>
          </cell>
          <cell r="AR283" t="str">
            <v>-</v>
          </cell>
          <cell r="AS283">
            <v>0</v>
          </cell>
          <cell r="AT283" t="str">
            <v/>
          </cell>
          <cell r="AU283">
            <v>0</v>
          </cell>
          <cell r="AV283" t="str">
            <v>-</v>
          </cell>
          <cell r="AW283">
            <v>0</v>
          </cell>
          <cell r="AX283" t="str">
            <v>-</v>
          </cell>
          <cell r="AY283">
            <v>0</v>
          </cell>
          <cell r="AZ283" t="str">
            <v/>
          </cell>
          <cell r="BA283">
            <v>0</v>
          </cell>
          <cell r="BB283" t="str">
            <v>-</v>
          </cell>
          <cell r="BC283">
            <v>0</v>
          </cell>
          <cell r="BD283" t="str">
            <v>-</v>
          </cell>
          <cell r="BE283">
            <v>0</v>
          </cell>
          <cell r="BF283" t="str">
            <v/>
          </cell>
          <cell r="BG283">
            <v>0</v>
          </cell>
          <cell r="BH283" t="str">
            <v>-</v>
          </cell>
          <cell r="BI283">
            <v>0</v>
          </cell>
          <cell r="BJ283" t="str">
            <v>-</v>
          </cell>
          <cell r="BK283">
            <v>0</v>
          </cell>
          <cell r="BL283">
            <v>0</v>
          </cell>
          <cell r="BM283" t="str">
            <v>-</v>
          </cell>
          <cell r="BN283">
            <v>7.1</v>
          </cell>
          <cell r="BO283" t="str">
            <v/>
          </cell>
          <cell r="BP283">
            <v>0</v>
          </cell>
          <cell r="BQ283">
            <v>0</v>
          </cell>
          <cell r="BR283" t="str">
            <v>-</v>
          </cell>
          <cell r="BS283">
            <v>0</v>
          </cell>
          <cell r="BT283">
            <v>0</v>
          </cell>
          <cell r="BU283" t="str">
            <v>-</v>
          </cell>
        </row>
        <row r="284">
          <cell r="A284" t="str">
            <v>20614MD</v>
          </cell>
          <cell r="B284">
            <v>20614</v>
          </cell>
          <cell r="C284" t="str">
            <v>MD</v>
          </cell>
          <cell r="D284" t="str">
            <v>Other</v>
          </cell>
          <cell r="E284" t="str">
            <v>Motors</v>
          </cell>
          <cell r="F284" t="str">
            <v>C</v>
          </cell>
          <cell r="G284" t="str">
            <v>Y</v>
          </cell>
          <cell r="M284" t="str">
            <v>NC,RENO,REPL</v>
          </cell>
          <cell r="N284" t="str">
            <v>Baseline Efficiency per NJ 2018 Protocol p. 82</v>
          </cell>
          <cell r="O284">
            <v>2021</v>
          </cell>
          <cell r="P284">
            <v>2030</v>
          </cell>
          <cell r="Q284" t="str">
            <v>Large Office</v>
          </cell>
          <cell r="R284" t="str">
            <v/>
          </cell>
          <cell r="S284">
            <v>0</v>
          </cell>
          <cell r="T284">
            <v>0</v>
          </cell>
          <cell r="U284">
            <v>0</v>
          </cell>
          <cell r="V284">
            <v>596.21285096022984</v>
          </cell>
          <cell r="W284">
            <v>2.3991275899672898E-2</v>
          </cell>
          <cell r="X284" t="str">
            <v>-</v>
          </cell>
          <cell r="Y284" t="str">
            <v>3,6,7</v>
          </cell>
          <cell r="Z284" t="str">
            <v>3,6,7</v>
          </cell>
          <cell r="AA284">
            <v>0</v>
          </cell>
          <cell r="AB284">
            <v>0</v>
          </cell>
          <cell r="AC284">
            <v>143</v>
          </cell>
          <cell r="AD284">
            <v>0.23984722866957922</v>
          </cell>
          <cell r="AE284">
            <v>4</v>
          </cell>
          <cell r="AF284">
            <v>4</v>
          </cell>
          <cell r="AG284">
            <v>0</v>
          </cell>
          <cell r="AH284">
            <v>0</v>
          </cell>
          <cell r="AI284">
            <v>0</v>
          </cell>
          <cell r="AJ284">
            <v>0</v>
          </cell>
          <cell r="AK284">
            <v>0</v>
          </cell>
          <cell r="AL284" t="str">
            <v>-</v>
          </cell>
          <cell r="AM284" t="str">
            <v>-</v>
          </cell>
          <cell r="AN284" t="str">
            <v/>
          </cell>
          <cell r="AO284">
            <v>0</v>
          </cell>
          <cell r="AP284" t="str">
            <v>-</v>
          </cell>
          <cell r="AQ284">
            <v>0</v>
          </cell>
          <cell r="AR284" t="str">
            <v>-</v>
          </cell>
          <cell r="AS284">
            <v>0</v>
          </cell>
          <cell r="AT284" t="str">
            <v/>
          </cell>
          <cell r="AU284">
            <v>0</v>
          </cell>
          <cell r="AV284" t="str">
            <v>-</v>
          </cell>
          <cell r="AW284">
            <v>0</v>
          </cell>
          <cell r="AX284" t="str">
            <v>-</v>
          </cell>
          <cell r="AY284">
            <v>0</v>
          </cell>
          <cell r="AZ284" t="str">
            <v/>
          </cell>
          <cell r="BA284">
            <v>0</v>
          </cell>
          <cell r="BB284" t="str">
            <v>-</v>
          </cell>
          <cell r="BC284">
            <v>0</v>
          </cell>
          <cell r="BD284" t="str">
            <v>-</v>
          </cell>
          <cell r="BE284">
            <v>0</v>
          </cell>
          <cell r="BF284" t="str">
            <v/>
          </cell>
          <cell r="BG284">
            <v>0</v>
          </cell>
          <cell r="BH284" t="str">
            <v>-</v>
          </cell>
          <cell r="BI284">
            <v>0</v>
          </cell>
          <cell r="BJ284" t="str">
            <v>-</v>
          </cell>
          <cell r="BK284">
            <v>0</v>
          </cell>
          <cell r="BL284">
            <v>0</v>
          </cell>
          <cell r="BM284" t="str">
            <v>-</v>
          </cell>
          <cell r="BN284">
            <v>15</v>
          </cell>
          <cell r="BO284" t="str">
            <v/>
          </cell>
          <cell r="BP284">
            <v>0</v>
          </cell>
          <cell r="BQ284">
            <v>0</v>
          </cell>
          <cell r="BR284" t="str">
            <v>-</v>
          </cell>
          <cell r="BS284">
            <v>0</v>
          </cell>
          <cell r="BT284">
            <v>0</v>
          </cell>
          <cell r="BU284" t="str">
            <v>-</v>
          </cell>
        </row>
        <row r="285">
          <cell r="A285" t="str">
            <v>20614RET</v>
          </cell>
          <cell r="B285">
            <v>20614</v>
          </cell>
          <cell r="C285" t="str">
            <v>RET</v>
          </cell>
          <cell r="D285" t="str">
            <v>Other</v>
          </cell>
          <cell r="E285" t="str">
            <v>Motors</v>
          </cell>
          <cell r="F285" t="str">
            <v>C</v>
          </cell>
          <cell r="G285" t="str">
            <v>Y</v>
          </cell>
          <cell r="M285" t="str">
            <v>RET</v>
          </cell>
          <cell r="N285" t="str">
            <v>Baseline Efficiency per NJ 2018 Protocol p. 82</v>
          </cell>
          <cell r="O285">
            <v>2021</v>
          </cell>
          <cell r="P285">
            <v>2030</v>
          </cell>
          <cell r="Q285" t="str">
            <v>Large Office</v>
          </cell>
          <cell r="R285" t="str">
            <v/>
          </cell>
          <cell r="S285">
            <v>0</v>
          </cell>
          <cell r="T285">
            <v>0</v>
          </cell>
          <cell r="U285">
            <v>0</v>
          </cell>
          <cell r="V285">
            <v>1164.2410944205221</v>
          </cell>
          <cell r="W285">
            <v>4.580152671755737E-2</v>
          </cell>
          <cell r="X285" t="str">
            <v>-</v>
          </cell>
          <cell r="Y285" t="str">
            <v>3,6,7</v>
          </cell>
          <cell r="Z285" t="str">
            <v>3,6,7</v>
          </cell>
          <cell r="AA285">
            <v>0</v>
          </cell>
          <cell r="AB285">
            <v>0</v>
          </cell>
          <cell r="AC285">
            <v>1419</v>
          </cell>
          <cell r="AD285">
            <v>1.2188197159509122</v>
          </cell>
          <cell r="AE285">
            <v>4</v>
          </cell>
          <cell r="AF285">
            <v>4</v>
          </cell>
          <cell r="AG285">
            <v>15</v>
          </cell>
          <cell r="AH285">
            <v>10</v>
          </cell>
          <cell r="AI285">
            <v>1276</v>
          </cell>
          <cell r="AJ285">
            <v>1.0959929228705878</v>
          </cell>
          <cell r="AK285">
            <v>0.51210428305400346</v>
          </cell>
          <cell r="AL285" t="str">
            <v>-</v>
          </cell>
          <cell r="AM285" t="str">
            <v>-</v>
          </cell>
          <cell r="AN285" t="str">
            <v/>
          </cell>
          <cell r="AO285">
            <v>0</v>
          </cell>
          <cell r="AP285" t="str">
            <v>-</v>
          </cell>
          <cell r="AQ285">
            <v>0</v>
          </cell>
          <cell r="AR285" t="str">
            <v>-</v>
          </cell>
          <cell r="AS285">
            <v>0</v>
          </cell>
          <cell r="AT285" t="str">
            <v/>
          </cell>
          <cell r="AU285">
            <v>0</v>
          </cell>
          <cell r="AV285" t="str">
            <v>-</v>
          </cell>
          <cell r="AW285">
            <v>0</v>
          </cell>
          <cell r="AX285" t="str">
            <v>-</v>
          </cell>
          <cell r="AY285">
            <v>0</v>
          </cell>
          <cell r="AZ285" t="str">
            <v/>
          </cell>
          <cell r="BA285">
            <v>0</v>
          </cell>
          <cell r="BB285" t="str">
            <v>-</v>
          </cell>
          <cell r="BC285">
            <v>0</v>
          </cell>
          <cell r="BD285" t="str">
            <v>-</v>
          </cell>
          <cell r="BE285">
            <v>0</v>
          </cell>
          <cell r="BF285" t="str">
            <v/>
          </cell>
          <cell r="BG285">
            <v>0</v>
          </cell>
          <cell r="BH285" t="str">
            <v>-</v>
          </cell>
          <cell r="BI285">
            <v>0</v>
          </cell>
          <cell r="BJ285" t="str">
            <v>-</v>
          </cell>
          <cell r="BK285">
            <v>0</v>
          </cell>
          <cell r="BL285">
            <v>0</v>
          </cell>
          <cell r="BM285" t="str">
            <v>-</v>
          </cell>
          <cell r="BN285">
            <v>15</v>
          </cell>
          <cell r="BO285" t="str">
            <v/>
          </cell>
          <cell r="BP285">
            <v>0</v>
          </cell>
          <cell r="BQ285">
            <v>0</v>
          </cell>
          <cell r="BR285" t="str">
            <v>-</v>
          </cell>
          <cell r="BS285">
            <v>0</v>
          </cell>
          <cell r="BT285">
            <v>0</v>
          </cell>
          <cell r="BU285" t="str">
            <v>-</v>
          </cell>
        </row>
        <row r="286">
          <cell r="A286" t="str">
            <v>20604MD</v>
          </cell>
          <cell r="B286">
            <v>20604</v>
          </cell>
          <cell r="C286" t="str">
            <v>MD</v>
          </cell>
          <cell r="D286" t="str">
            <v>Other</v>
          </cell>
          <cell r="E286" t="str">
            <v>Clothes Washer Gas WH</v>
          </cell>
          <cell r="F286" t="str">
            <v>C</v>
          </cell>
          <cell r="G286" t="str">
            <v>Y</v>
          </cell>
          <cell r="M286" t="str">
            <v>NC,RENO,REPL</v>
          </cell>
          <cell r="N286" t="str">
            <v>Existing Non-ENERGY STAR Clothes Washer</v>
          </cell>
          <cell r="O286">
            <v>2021</v>
          </cell>
          <cell r="P286">
            <v>2030</v>
          </cell>
          <cell r="Q286" t="str">
            <v>Small Retail</v>
          </cell>
          <cell r="R286" t="str">
            <v>per washer</v>
          </cell>
          <cell r="S286">
            <v>0</v>
          </cell>
          <cell r="T286">
            <v>0</v>
          </cell>
          <cell r="U286">
            <v>265</v>
          </cell>
          <cell r="V286">
            <v>93.717595974456032</v>
          </cell>
          <cell r="W286">
            <v>0.5975103734439835</v>
          </cell>
          <cell r="X286" t="str">
            <v>-</v>
          </cell>
          <cell r="Y286">
            <v>3</v>
          </cell>
          <cell r="Z286">
            <v>3</v>
          </cell>
          <cell r="AA286">
            <v>0</v>
          </cell>
          <cell r="AB286">
            <v>0</v>
          </cell>
          <cell r="AC286">
            <v>150</v>
          </cell>
          <cell r="AD286">
            <v>1.6005532199191759</v>
          </cell>
          <cell r="AE286">
            <v>4</v>
          </cell>
          <cell r="AF286">
            <v>4</v>
          </cell>
          <cell r="AG286">
            <v>0</v>
          </cell>
          <cell r="AH286">
            <v>0</v>
          </cell>
          <cell r="AI286">
            <v>0</v>
          </cell>
          <cell r="AJ286">
            <v>0</v>
          </cell>
          <cell r="AK286">
            <v>0</v>
          </cell>
          <cell r="AL286" t="str">
            <v>-</v>
          </cell>
          <cell r="AM286" t="str">
            <v>-</v>
          </cell>
          <cell r="AN286" t="str">
            <v/>
          </cell>
          <cell r="AO286">
            <v>0</v>
          </cell>
          <cell r="AP286" t="str">
            <v>-</v>
          </cell>
          <cell r="AQ286">
            <v>0</v>
          </cell>
          <cell r="AR286" t="str">
            <v>-</v>
          </cell>
          <cell r="AS286">
            <v>0</v>
          </cell>
          <cell r="AT286" t="str">
            <v/>
          </cell>
          <cell r="AU286">
            <v>0</v>
          </cell>
          <cell r="AV286" t="str">
            <v>-</v>
          </cell>
          <cell r="AW286">
            <v>0</v>
          </cell>
          <cell r="AX286" t="str">
            <v>-</v>
          </cell>
          <cell r="AY286">
            <v>0</v>
          </cell>
          <cell r="AZ286" t="str">
            <v/>
          </cell>
          <cell r="BA286">
            <v>0</v>
          </cell>
          <cell r="BB286" t="str">
            <v>-</v>
          </cell>
          <cell r="BC286">
            <v>0</v>
          </cell>
          <cell r="BD286" t="str">
            <v>-</v>
          </cell>
          <cell r="BE286">
            <v>0</v>
          </cell>
          <cell r="BF286" t="str">
            <v/>
          </cell>
          <cell r="BG286">
            <v>0</v>
          </cell>
          <cell r="BH286" t="str">
            <v>-</v>
          </cell>
          <cell r="BI286">
            <v>0</v>
          </cell>
          <cell r="BJ286" t="str">
            <v>-</v>
          </cell>
          <cell r="BK286">
            <v>0</v>
          </cell>
          <cell r="BL286">
            <v>0</v>
          </cell>
          <cell r="BM286" t="str">
            <v>-</v>
          </cell>
          <cell r="BN286">
            <v>7.1</v>
          </cell>
          <cell r="BO286" t="str">
            <v/>
          </cell>
          <cell r="BP286">
            <v>0</v>
          </cell>
          <cell r="BQ286">
            <v>0</v>
          </cell>
          <cell r="BR286" t="str">
            <v>-</v>
          </cell>
          <cell r="BS286">
            <v>8551.2472500000022</v>
          </cell>
          <cell r="BT286">
            <v>91.244842135416675</v>
          </cell>
          <cell r="BU286" t="str">
            <v>-</v>
          </cell>
        </row>
        <row r="287">
          <cell r="A287" t="str">
            <v>20610MD</v>
          </cell>
          <cell r="B287">
            <v>20610</v>
          </cell>
          <cell r="C287" t="str">
            <v>MD</v>
          </cell>
          <cell r="D287" t="str">
            <v>Other</v>
          </cell>
          <cell r="E287" t="str">
            <v>Clothes Washer Elec WH</v>
          </cell>
          <cell r="F287" t="str">
            <v>C</v>
          </cell>
          <cell r="G287" t="str">
            <v>Y</v>
          </cell>
          <cell r="M287" t="str">
            <v>NC,RENO,REPL</v>
          </cell>
          <cell r="N287" t="str">
            <v>Existing Non-ENERGY STAR Clothes Washer</v>
          </cell>
          <cell r="O287">
            <v>2021</v>
          </cell>
          <cell r="P287">
            <v>2030</v>
          </cell>
          <cell r="Q287" t="str">
            <v>Small Retail</v>
          </cell>
          <cell r="R287" t="str">
            <v>per washer</v>
          </cell>
          <cell r="S287">
            <v>0</v>
          </cell>
          <cell r="T287">
            <v>0</v>
          </cell>
          <cell r="U287">
            <v>0</v>
          </cell>
          <cell r="V287">
            <v>0</v>
          </cell>
          <cell r="W287">
            <v>0</v>
          </cell>
          <cell r="X287" t="str">
            <v>-</v>
          </cell>
          <cell r="Y287">
            <v>3</v>
          </cell>
          <cell r="Z287">
            <v>3</v>
          </cell>
          <cell r="AA287">
            <v>0</v>
          </cell>
          <cell r="AB287">
            <v>0</v>
          </cell>
          <cell r="AC287">
            <v>0.4</v>
          </cell>
          <cell r="AD287">
            <v>0</v>
          </cell>
          <cell r="AE287">
            <v>4</v>
          </cell>
          <cell r="AF287">
            <v>4</v>
          </cell>
          <cell r="AG287">
            <v>0</v>
          </cell>
          <cell r="AH287">
            <v>0</v>
          </cell>
          <cell r="AI287">
            <v>0</v>
          </cell>
          <cell r="AJ287">
            <v>0</v>
          </cell>
          <cell r="AK287">
            <v>0</v>
          </cell>
          <cell r="AL287" t="str">
            <v>-</v>
          </cell>
          <cell r="AM287" t="str">
            <v>-</v>
          </cell>
          <cell r="AN287" t="str">
            <v/>
          </cell>
          <cell r="AO287">
            <v>0</v>
          </cell>
          <cell r="AP287" t="str">
            <v>-</v>
          </cell>
          <cell r="AQ287">
            <v>0</v>
          </cell>
          <cell r="AR287" t="str">
            <v>-</v>
          </cell>
          <cell r="AS287">
            <v>0</v>
          </cell>
          <cell r="AT287" t="str">
            <v/>
          </cell>
          <cell r="AU287">
            <v>0</v>
          </cell>
          <cell r="AV287" t="str">
            <v>-</v>
          </cell>
          <cell r="AW287">
            <v>0</v>
          </cell>
          <cell r="AX287" t="str">
            <v>-</v>
          </cell>
          <cell r="AY287">
            <v>0</v>
          </cell>
          <cell r="AZ287" t="str">
            <v/>
          </cell>
          <cell r="BA287">
            <v>0</v>
          </cell>
          <cell r="BB287" t="str">
            <v>-</v>
          </cell>
          <cell r="BC287">
            <v>0</v>
          </cell>
          <cell r="BD287" t="str">
            <v>-</v>
          </cell>
          <cell r="BE287">
            <v>0</v>
          </cell>
          <cell r="BF287" t="str">
            <v/>
          </cell>
          <cell r="BG287">
            <v>0</v>
          </cell>
          <cell r="BH287" t="str">
            <v>-</v>
          </cell>
          <cell r="BI287">
            <v>0</v>
          </cell>
          <cell r="BJ287" t="str">
            <v>-</v>
          </cell>
          <cell r="BK287">
            <v>0</v>
          </cell>
          <cell r="BL287">
            <v>0</v>
          </cell>
          <cell r="BM287" t="str">
            <v>-</v>
          </cell>
          <cell r="BN287" t="str">
            <v>ERP</v>
          </cell>
          <cell r="BO287" t="str">
            <v/>
          </cell>
          <cell r="BP287">
            <v>0</v>
          </cell>
          <cell r="BQ287">
            <v>0</v>
          </cell>
          <cell r="BR287" t="str">
            <v>-</v>
          </cell>
          <cell r="BS287">
            <v>0</v>
          </cell>
          <cell r="BT287" t="e">
            <v>#DIV/0!</v>
          </cell>
          <cell r="BU287" t="str">
            <v>-</v>
          </cell>
        </row>
        <row r="288">
          <cell r="A288" t="str">
            <v>20611MD</v>
          </cell>
          <cell r="B288">
            <v>20611</v>
          </cell>
          <cell r="C288" t="str">
            <v>MD</v>
          </cell>
          <cell r="D288" t="str">
            <v>Other</v>
          </cell>
          <cell r="E288" t="str">
            <v>Clothes Washer Elec WH</v>
          </cell>
          <cell r="F288" t="str">
            <v>C</v>
          </cell>
          <cell r="G288" t="str">
            <v>Y</v>
          </cell>
          <cell r="M288" t="str">
            <v>NC,RENO,REPL</v>
          </cell>
          <cell r="N288" t="str">
            <v>Existing Non-ENERGY STAR Clothes Washer</v>
          </cell>
          <cell r="O288">
            <v>2021</v>
          </cell>
          <cell r="P288">
            <v>2030</v>
          </cell>
          <cell r="Q288" t="str">
            <v>Small Retail</v>
          </cell>
          <cell r="R288" t="str">
            <v>per washer</v>
          </cell>
          <cell r="S288">
            <v>0</v>
          </cell>
          <cell r="T288">
            <v>0</v>
          </cell>
          <cell r="U288">
            <v>0</v>
          </cell>
          <cell r="V288">
            <v>0</v>
          </cell>
          <cell r="W288">
            <v>0</v>
          </cell>
          <cell r="X288" t="str">
            <v>-</v>
          </cell>
          <cell r="Y288">
            <v>3</v>
          </cell>
          <cell r="Z288">
            <v>3</v>
          </cell>
          <cell r="AA288">
            <v>0</v>
          </cell>
          <cell r="AB288">
            <v>0</v>
          </cell>
          <cell r="AC288">
            <v>0.4</v>
          </cell>
          <cell r="AD288">
            <v>0</v>
          </cell>
          <cell r="AE288">
            <v>4</v>
          </cell>
          <cell r="AF288">
            <v>4</v>
          </cell>
          <cell r="AG288">
            <v>0</v>
          </cell>
          <cell r="AH288">
            <v>0</v>
          </cell>
          <cell r="AI288">
            <v>0</v>
          </cell>
          <cell r="AJ288">
            <v>0</v>
          </cell>
          <cell r="AK288">
            <v>0</v>
          </cell>
          <cell r="AL288" t="str">
            <v>-</v>
          </cell>
          <cell r="AM288" t="str">
            <v>-</v>
          </cell>
          <cell r="AN288" t="str">
            <v/>
          </cell>
          <cell r="AO288">
            <v>0</v>
          </cell>
          <cell r="AP288" t="str">
            <v>-</v>
          </cell>
          <cell r="AQ288">
            <v>0</v>
          </cell>
          <cell r="AR288" t="str">
            <v>-</v>
          </cell>
          <cell r="AS288">
            <v>0</v>
          </cell>
          <cell r="AT288" t="str">
            <v/>
          </cell>
          <cell r="AU288">
            <v>0</v>
          </cell>
          <cell r="AV288" t="str">
            <v>-</v>
          </cell>
          <cell r="AW288">
            <v>0</v>
          </cell>
          <cell r="AX288" t="str">
            <v>-</v>
          </cell>
          <cell r="AY288">
            <v>0</v>
          </cell>
          <cell r="AZ288" t="str">
            <v/>
          </cell>
          <cell r="BA288">
            <v>0</v>
          </cell>
          <cell r="BB288" t="str">
            <v>-</v>
          </cell>
          <cell r="BC288">
            <v>0</v>
          </cell>
          <cell r="BD288" t="str">
            <v>-</v>
          </cell>
          <cell r="BE288">
            <v>0</v>
          </cell>
          <cell r="BF288" t="str">
            <v/>
          </cell>
          <cell r="BG288">
            <v>0</v>
          </cell>
          <cell r="BH288" t="str">
            <v>-</v>
          </cell>
          <cell r="BI288">
            <v>0</v>
          </cell>
          <cell r="BJ288" t="str">
            <v>-</v>
          </cell>
          <cell r="BK288">
            <v>0</v>
          </cell>
          <cell r="BL288">
            <v>0</v>
          </cell>
          <cell r="BM288" t="str">
            <v>-</v>
          </cell>
          <cell r="BN288" t="str">
            <v>ERP</v>
          </cell>
          <cell r="BO288" t="str">
            <v/>
          </cell>
          <cell r="BP288">
            <v>0</v>
          </cell>
          <cell r="BQ288">
            <v>0</v>
          </cell>
          <cell r="BR288" t="str">
            <v>-</v>
          </cell>
          <cell r="BS288">
            <v>0</v>
          </cell>
          <cell r="BT288">
            <v>0</v>
          </cell>
          <cell r="BU288" t="str">
            <v>-</v>
          </cell>
        </row>
        <row r="289">
          <cell r="A289" t="str">
            <v>20608MD</v>
          </cell>
          <cell r="B289">
            <v>20608</v>
          </cell>
          <cell r="C289" t="str">
            <v>MD</v>
          </cell>
          <cell r="D289" t="str">
            <v>Other</v>
          </cell>
          <cell r="E289" t="str">
            <v>Clothes Washer Elec WH</v>
          </cell>
          <cell r="F289" t="str">
            <v>C</v>
          </cell>
          <cell r="G289" t="str">
            <v>Y</v>
          </cell>
          <cell r="M289" t="str">
            <v>NC,RENO,REPL</v>
          </cell>
          <cell r="N289" t="str">
            <v>Existing Non-ENERGY STAR Clothes Washer</v>
          </cell>
          <cell r="O289">
            <v>2021</v>
          </cell>
          <cell r="P289">
            <v>2030</v>
          </cell>
          <cell r="Q289" t="str">
            <v>Small Retail</v>
          </cell>
          <cell r="R289" t="str">
            <v>per washer</v>
          </cell>
          <cell r="S289">
            <v>0</v>
          </cell>
          <cell r="T289">
            <v>0</v>
          </cell>
          <cell r="U289">
            <v>0</v>
          </cell>
          <cell r="V289">
            <v>0</v>
          </cell>
          <cell r="W289">
            <v>0</v>
          </cell>
          <cell r="X289" t="str">
            <v>-</v>
          </cell>
          <cell r="Y289">
            <v>3</v>
          </cell>
          <cell r="Z289">
            <v>3</v>
          </cell>
          <cell r="AA289">
            <v>0</v>
          </cell>
          <cell r="AB289">
            <v>0</v>
          </cell>
          <cell r="AC289">
            <v>0.4</v>
          </cell>
          <cell r="AD289">
            <v>0</v>
          </cell>
          <cell r="AE289">
            <v>4</v>
          </cell>
          <cell r="AF289">
            <v>4</v>
          </cell>
          <cell r="AG289">
            <v>0</v>
          </cell>
          <cell r="AH289">
            <v>0</v>
          </cell>
          <cell r="AI289">
            <v>0</v>
          </cell>
          <cell r="AJ289">
            <v>0</v>
          </cell>
          <cell r="AK289">
            <v>0</v>
          </cell>
          <cell r="AL289" t="str">
            <v>-</v>
          </cell>
          <cell r="AM289" t="str">
            <v>-</v>
          </cell>
          <cell r="AN289" t="str">
            <v/>
          </cell>
          <cell r="AO289">
            <v>0</v>
          </cell>
          <cell r="AP289" t="str">
            <v>-</v>
          </cell>
          <cell r="AQ289">
            <v>0</v>
          </cell>
          <cell r="AR289" t="str">
            <v>-</v>
          </cell>
          <cell r="AS289">
            <v>0</v>
          </cell>
          <cell r="AT289" t="str">
            <v/>
          </cell>
          <cell r="AU289">
            <v>0</v>
          </cell>
          <cell r="AV289" t="str">
            <v>-</v>
          </cell>
          <cell r="AW289">
            <v>0</v>
          </cell>
          <cell r="AX289" t="str">
            <v>-</v>
          </cell>
          <cell r="AY289">
            <v>0</v>
          </cell>
          <cell r="AZ289" t="str">
            <v/>
          </cell>
          <cell r="BA289">
            <v>0</v>
          </cell>
          <cell r="BB289" t="str">
            <v>-</v>
          </cell>
          <cell r="BC289">
            <v>0</v>
          </cell>
          <cell r="BD289" t="str">
            <v>-</v>
          </cell>
          <cell r="BE289">
            <v>0</v>
          </cell>
          <cell r="BF289" t="str">
            <v/>
          </cell>
          <cell r="BG289">
            <v>0</v>
          </cell>
          <cell r="BH289" t="str">
            <v>-</v>
          </cell>
          <cell r="BI289">
            <v>0</v>
          </cell>
          <cell r="BJ289" t="str">
            <v>-</v>
          </cell>
          <cell r="BK289">
            <v>0</v>
          </cell>
          <cell r="BL289">
            <v>0</v>
          </cell>
          <cell r="BM289" t="str">
            <v>-</v>
          </cell>
          <cell r="BN289" t="str">
            <v>ERP</v>
          </cell>
          <cell r="BO289" t="str">
            <v/>
          </cell>
          <cell r="BP289">
            <v>0</v>
          </cell>
          <cell r="BQ289">
            <v>0</v>
          </cell>
          <cell r="BR289" t="str">
            <v>-</v>
          </cell>
          <cell r="BS289">
            <v>0</v>
          </cell>
          <cell r="BT289" t="e">
            <v>#DIV/0!</v>
          </cell>
          <cell r="BU289" t="str">
            <v>-</v>
          </cell>
        </row>
        <row r="290">
          <cell r="A290" t="str">
            <v>20613MD</v>
          </cell>
          <cell r="B290">
            <v>20613</v>
          </cell>
          <cell r="C290" t="str">
            <v>MD</v>
          </cell>
          <cell r="D290" t="str">
            <v>Other</v>
          </cell>
          <cell r="E290" t="str">
            <v>Clothes Dryer</v>
          </cell>
          <cell r="F290" t="str">
            <v>C</v>
          </cell>
          <cell r="G290" t="str">
            <v>Y</v>
          </cell>
          <cell r="M290" t="str">
            <v>NC,RENO,REPL</v>
          </cell>
          <cell r="N290" t="str">
            <v>Standard efficiency (Non-ENERGY STAR) Clothes Washer</v>
          </cell>
          <cell r="O290">
            <v>2021</v>
          </cell>
          <cell r="P290">
            <v>2030</v>
          </cell>
          <cell r="Q290" t="str">
            <v>Small Retail</v>
          </cell>
          <cell r="R290" t="str">
            <v/>
          </cell>
          <cell r="S290">
            <v>0</v>
          </cell>
          <cell r="T290">
            <v>0</v>
          </cell>
          <cell r="U290">
            <v>290</v>
          </cell>
          <cell r="V290">
            <v>405.19017466200012</v>
          </cell>
          <cell r="W290">
            <v>0.18927663508204301</v>
          </cell>
          <cell r="X290" t="str">
            <v>-</v>
          </cell>
          <cell r="Y290" t="str">
            <v>3,11,12</v>
          </cell>
          <cell r="Z290" t="str">
            <v>3,11,12</v>
          </cell>
          <cell r="AA290">
            <v>0</v>
          </cell>
          <cell r="AB290">
            <v>0</v>
          </cell>
          <cell r="AC290">
            <v>75</v>
          </cell>
          <cell r="AD290">
            <v>0.18509826913390284</v>
          </cell>
          <cell r="AE290">
            <v>9</v>
          </cell>
          <cell r="AF290">
            <v>9</v>
          </cell>
          <cell r="AG290">
            <v>0</v>
          </cell>
          <cell r="AH290">
            <v>0</v>
          </cell>
          <cell r="AI290">
            <v>0</v>
          </cell>
          <cell r="AJ290">
            <v>0</v>
          </cell>
          <cell r="AK290">
            <v>0</v>
          </cell>
          <cell r="AL290" t="str">
            <v>-</v>
          </cell>
          <cell r="AM290" t="str">
            <v>-</v>
          </cell>
          <cell r="AN290" t="str">
            <v/>
          </cell>
          <cell r="AO290">
            <v>0</v>
          </cell>
          <cell r="AP290" t="str">
            <v>-</v>
          </cell>
          <cell r="AQ290">
            <v>0</v>
          </cell>
          <cell r="AR290" t="str">
            <v>-</v>
          </cell>
          <cell r="AS290">
            <v>0</v>
          </cell>
          <cell r="AT290" t="str">
            <v/>
          </cell>
          <cell r="AU290">
            <v>0</v>
          </cell>
          <cell r="AV290" t="str">
            <v>-</v>
          </cell>
          <cell r="AW290">
            <v>0</v>
          </cell>
          <cell r="AX290" t="str">
            <v>-</v>
          </cell>
          <cell r="AY290">
            <v>0</v>
          </cell>
          <cell r="AZ290" t="str">
            <v/>
          </cell>
          <cell r="BA290">
            <v>0</v>
          </cell>
          <cell r="BB290" t="str">
            <v>-</v>
          </cell>
          <cell r="BC290">
            <v>0</v>
          </cell>
          <cell r="BD290" t="str">
            <v>-</v>
          </cell>
          <cell r="BE290">
            <v>0</v>
          </cell>
          <cell r="BF290" t="str">
            <v/>
          </cell>
          <cell r="BG290">
            <v>0</v>
          </cell>
          <cell r="BH290" t="str">
            <v>-</v>
          </cell>
          <cell r="BI290">
            <v>0</v>
          </cell>
          <cell r="BJ290" t="str">
            <v>-</v>
          </cell>
          <cell r="BK290">
            <v>0</v>
          </cell>
          <cell r="BL290">
            <v>0</v>
          </cell>
          <cell r="BM290" t="str">
            <v>-</v>
          </cell>
          <cell r="BN290">
            <v>14</v>
          </cell>
          <cell r="BO290" t="str">
            <v/>
          </cell>
          <cell r="BP290">
            <v>0</v>
          </cell>
          <cell r="BQ290">
            <v>0</v>
          </cell>
          <cell r="BR290" t="str">
            <v>-</v>
          </cell>
          <cell r="BS290">
            <v>0</v>
          </cell>
          <cell r="BT290">
            <v>0</v>
          </cell>
          <cell r="BU290" t="str">
            <v>-</v>
          </cell>
        </row>
        <row r="291">
          <cell r="A291" t="str">
            <v>20613RET</v>
          </cell>
          <cell r="B291">
            <v>20613</v>
          </cell>
          <cell r="C291" t="str">
            <v>RET</v>
          </cell>
          <cell r="D291" t="str">
            <v>Other</v>
          </cell>
          <cell r="E291" t="str">
            <v>Clothes Dryer</v>
          </cell>
          <cell r="F291" t="str">
            <v>C</v>
          </cell>
          <cell r="G291" t="str">
            <v>Y</v>
          </cell>
          <cell r="M291" t="str">
            <v>RET</v>
          </cell>
          <cell r="N291" t="str">
            <v>Existing, standard efficiency (Non-ENERGY STAR) Clothes Washer</v>
          </cell>
          <cell r="O291">
            <v>2021</v>
          </cell>
          <cell r="P291">
            <v>2030</v>
          </cell>
          <cell r="Q291" t="str">
            <v>Small Retail</v>
          </cell>
          <cell r="R291" t="str">
            <v/>
          </cell>
          <cell r="S291">
            <v>0</v>
          </cell>
          <cell r="T291">
            <v>0</v>
          </cell>
          <cell r="U291">
            <v>290</v>
          </cell>
          <cell r="V291">
            <v>405.19017466200012</v>
          </cell>
          <cell r="W291">
            <v>0.18927663508204301</v>
          </cell>
          <cell r="X291" t="str">
            <v>-</v>
          </cell>
          <cell r="Y291" t="str">
            <v>3,11,12</v>
          </cell>
          <cell r="Z291" t="str">
            <v>3,11,12</v>
          </cell>
          <cell r="AA291">
            <v>375</v>
          </cell>
          <cell r="AB291">
            <v>0</v>
          </cell>
          <cell r="AC291">
            <v>375</v>
          </cell>
          <cell r="AD291">
            <v>0.92549134566951419</v>
          </cell>
          <cell r="AE291">
            <v>9</v>
          </cell>
          <cell r="AF291">
            <v>9</v>
          </cell>
          <cell r="AG291">
            <v>14</v>
          </cell>
          <cell r="AH291">
            <v>7</v>
          </cell>
          <cell r="AI291">
            <v>300</v>
          </cell>
          <cell r="AJ291">
            <v>0.74039307653561137</v>
          </cell>
          <cell r="AK291">
            <v>1</v>
          </cell>
          <cell r="AL291" t="str">
            <v>-</v>
          </cell>
          <cell r="AM291" t="str">
            <v>-</v>
          </cell>
          <cell r="AN291" t="str">
            <v/>
          </cell>
          <cell r="AO291">
            <v>0</v>
          </cell>
          <cell r="AP291" t="str">
            <v>-</v>
          </cell>
          <cell r="AQ291">
            <v>0</v>
          </cell>
          <cell r="AR291" t="str">
            <v>-</v>
          </cell>
          <cell r="AS291">
            <v>0</v>
          </cell>
          <cell r="AT291" t="str">
            <v/>
          </cell>
          <cell r="AU291">
            <v>0</v>
          </cell>
          <cell r="AV291" t="str">
            <v>-</v>
          </cell>
          <cell r="AW291">
            <v>0</v>
          </cell>
          <cell r="AX291" t="str">
            <v>-</v>
          </cell>
          <cell r="AY291">
            <v>0</v>
          </cell>
          <cell r="AZ291" t="str">
            <v/>
          </cell>
          <cell r="BA291">
            <v>0</v>
          </cell>
          <cell r="BB291" t="str">
            <v>-</v>
          </cell>
          <cell r="BC291">
            <v>0</v>
          </cell>
          <cell r="BD291" t="str">
            <v>-</v>
          </cell>
          <cell r="BE291">
            <v>0</v>
          </cell>
          <cell r="BF291" t="str">
            <v/>
          </cell>
          <cell r="BG291">
            <v>0</v>
          </cell>
          <cell r="BH291" t="str">
            <v>-</v>
          </cell>
          <cell r="BI291">
            <v>0</v>
          </cell>
          <cell r="BJ291" t="str">
            <v>-</v>
          </cell>
          <cell r="BK291">
            <v>0</v>
          </cell>
          <cell r="BL291">
            <v>0</v>
          </cell>
          <cell r="BM291" t="str">
            <v>-</v>
          </cell>
          <cell r="BN291">
            <v>14</v>
          </cell>
          <cell r="BO291" t="str">
            <v/>
          </cell>
          <cell r="BP291">
            <v>0</v>
          </cell>
          <cell r="BQ291">
            <v>0</v>
          </cell>
          <cell r="BR291" t="str">
            <v>-</v>
          </cell>
          <cell r="BS291">
            <v>0</v>
          </cell>
          <cell r="BT291">
            <v>0</v>
          </cell>
          <cell r="BU291" t="str">
            <v>-</v>
          </cell>
        </row>
        <row r="292">
          <cell r="A292" t="str">
            <v>20701MD</v>
          </cell>
          <cell r="B292">
            <v>20701</v>
          </cell>
          <cell r="C292" t="str">
            <v>MD</v>
          </cell>
          <cell r="D292" t="e">
            <v>#REF!</v>
          </cell>
          <cell r="E292" t="e">
            <v>#REF!</v>
          </cell>
          <cell r="F292" t="e">
            <v>#REF!</v>
          </cell>
          <cell r="G292" t="str">
            <v>Y</v>
          </cell>
          <cell r="M292" t="e">
            <v>#REF!</v>
          </cell>
          <cell r="N292" t="e">
            <v>#REF!</v>
          </cell>
          <cell r="O292" t="e">
            <v>#REF!</v>
          </cell>
          <cell r="P292" t="e">
            <v>#REF!</v>
          </cell>
          <cell r="Q292" t="e">
            <v>#REF!</v>
          </cell>
          <cell r="R292" t="e">
            <v>#REF!</v>
          </cell>
          <cell r="S292" t="e">
            <v>#REF!</v>
          </cell>
          <cell r="T292" t="e">
            <v>#REF!</v>
          </cell>
          <cell r="U292" t="e">
            <v>#REF!</v>
          </cell>
          <cell r="V292" t="e">
            <v>#REF!</v>
          </cell>
          <cell r="W292" t="e">
            <v>#REF!</v>
          </cell>
          <cell r="X292" t="e">
            <v>#REF!</v>
          </cell>
          <cell r="Y292" t="e">
            <v>#REF!</v>
          </cell>
          <cell r="Z292" t="e">
            <v>#REF!</v>
          </cell>
          <cell r="AA292" t="e">
            <v>#REF!</v>
          </cell>
          <cell r="AB292" t="e">
            <v>#REF!</v>
          </cell>
          <cell r="AC292" t="e">
            <v>#REF!</v>
          </cell>
          <cell r="AD292" t="e">
            <v>#REF!</v>
          </cell>
          <cell r="AE292" t="e">
            <v>#REF!</v>
          </cell>
          <cell r="AF292" t="e">
            <v>#REF!</v>
          </cell>
          <cell r="AG292" t="e">
            <v>#REF!</v>
          </cell>
          <cell r="AH292" t="e">
            <v>#REF!</v>
          </cell>
          <cell r="AI292" t="e">
            <v>#REF!</v>
          </cell>
          <cell r="AJ292" t="e">
            <v>#REF!</v>
          </cell>
          <cell r="AK292" t="e">
            <v>#REF!</v>
          </cell>
          <cell r="AL292" t="e">
            <v>#REF!</v>
          </cell>
          <cell r="AM292" t="e">
            <v>#REF!</v>
          </cell>
          <cell r="AN292" t="e">
            <v>#REF!</v>
          </cell>
          <cell r="AO292" t="e">
            <v>#REF!</v>
          </cell>
          <cell r="AP292" t="e">
            <v>#REF!</v>
          </cell>
          <cell r="AQ292" t="e">
            <v>#REF!</v>
          </cell>
          <cell r="AR292" t="e">
            <v>#REF!</v>
          </cell>
          <cell r="AS292" t="e">
            <v>#REF!</v>
          </cell>
          <cell r="AT292" t="e">
            <v>#REF!</v>
          </cell>
          <cell r="AU292" t="e">
            <v>#REF!</v>
          </cell>
          <cell r="AV292" t="e">
            <v>#REF!</v>
          </cell>
          <cell r="AW292" t="e">
            <v>#REF!</v>
          </cell>
          <cell r="AX292" t="e">
            <v>#REF!</v>
          </cell>
          <cell r="AY292" t="e">
            <v>#REF!</v>
          </cell>
          <cell r="AZ292" t="e">
            <v>#REF!</v>
          </cell>
          <cell r="BA292" t="e">
            <v>#REF!</v>
          </cell>
          <cell r="BB292" t="e">
            <v>#REF!</v>
          </cell>
          <cell r="BC292" t="e">
            <v>#REF!</v>
          </cell>
          <cell r="BD292" t="e">
            <v>#REF!</v>
          </cell>
          <cell r="BE292" t="e">
            <v>#REF!</v>
          </cell>
          <cell r="BF292" t="e">
            <v>#REF!</v>
          </cell>
          <cell r="BG292" t="e">
            <v>#REF!</v>
          </cell>
          <cell r="BH292" t="e">
            <v>#REF!</v>
          </cell>
          <cell r="BI292" t="e">
            <v>#REF!</v>
          </cell>
          <cell r="BJ292" t="e">
            <v>#REF!</v>
          </cell>
          <cell r="BK292" t="e">
            <v>#REF!</v>
          </cell>
          <cell r="BL292" t="e">
            <v>#REF!</v>
          </cell>
          <cell r="BM292" t="e">
            <v>#REF!</v>
          </cell>
          <cell r="BN292" t="e">
            <v>#REF!</v>
          </cell>
          <cell r="BO292" t="e">
            <v>#REF!</v>
          </cell>
          <cell r="BP292" t="e">
            <v>#REF!</v>
          </cell>
          <cell r="BQ292" t="e">
            <v>#REF!</v>
          </cell>
          <cell r="BR292" t="e">
            <v>#REF!</v>
          </cell>
          <cell r="BS292" t="e">
            <v>#REF!</v>
          </cell>
          <cell r="BT292" t="e">
            <v>#REF!</v>
          </cell>
          <cell r="BU292" t="e">
            <v>#REF!</v>
          </cell>
        </row>
        <row r="293">
          <cell r="A293" t="str">
            <v>20701RET</v>
          </cell>
          <cell r="B293">
            <v>20701</v>
          </cell>
          <cell r="C293" t="str">
            <v>RET</v>
          </cell>
          <cell r="D293" t="e">
            <v>#REF!</v>
          </cell>
          <cell r="E293" t="e">
            <v>#REF!</v>
          </cell>
          <cell r="F293" t="e">
            <v>#REF!</v>
          </cell>
          <cell r="G293" t="str">
            <v>Y</v>
          </cell>
          <cell r="M293" t="e">
            <v>#REF!</v>
          </cell>
          <cell r="N293" t="e">
            <v>#REF!</v>
          </cell>
          <cell r="O293" t="e">
            <v>#REF!</v>
          </cell>
          <cell r="P293" t="e">
            <v>#REF!</v>
          </cell>
          <cell r="Q293" t="e">
            <v>#REF!</v>
          </cell>
          <cell r="R293" t="e">
            <v>#REF!</v>
          </cell>
          <cell r="S293" t="e">
            <v>#REF!</v>
          </cell>
          <cell r="T293" t="e">
            <v>#REF!</v>
          </cell>
          <cell r="U293" t="e">
            <v>#REF!</v>
          </cell>
          <cell r="V293" t="e">
            <v>#REF!</v>
          </cell>
          <cell r="W293" t="e">
            <v>#REF!</v>
          </cell>
          <cell r="X293" t="e">
            <v>#REF!</v>
          </cell>
          <cell r="Y293" t="e">
            <v>#REF!</v>
          </cell>
          <cell r="Z293" t="e">
            <v>#REF!</v>
          </cell>
          <cell r="AA293" t="e">
            <v>#REF!</v>
          </cell>
          <cell r="AB293" t="e">
            <v>#REF!</v>
          </cell>
          <cell r="AC293" t="e">
            <v>#REF!</v>
          </cell>
          <cell r="AD293" t="e">
            <v>#REF!</v>
          </cell>
          <cell r="AE293" t="e">
            <v>#REF!</v>
          </cell>
          <cell r="AF293" t="e">
            <v>#REF!</v>
          </cell>
          <cell r="AG293" t="e">
            <v>#REF!</v>
          </cell>
          <cell r="AH293" t="e">
            <v>#REF!</v>
          </cell>
          <cell r="AI293" t="e">
            <v>#REF!</v>
          </cell>
          <cell r="AJ293" t="e">
            <v>#REF!</v>
          </cell>
          <cell r="AK293" t="e">
            <v>#REF!</v>
          </cell>
          <cell r="AL293" t="e">
            <v>#REF!</v>
          </cell>
          <cell r="AM293" t="e">
            <v>#REF!</v>
          </cell>
          <cell r="AN293" t="e">
            <v>#REF!</v>
          </cell>
          <cell r="AO293" t="e">
            <v>#REF!</v>
          </cell>
          <cell r="AP293" t="e">
            <v>#REF!</v>
          </cell>
          <cell r="AQ293" t="e">
            <v>#REF!</v>
          </cell>
          <cell r="AR293" t="e">
            <v>#REF!</v>
          </cell>
          <cell r="AS293" t="e">
            <v>#REF!</v>
          </cell>
          <cell r="AT293" t="e">
            <v>#REF!</v>
          </cell>
          <cell r="AU293" t="e">
            <v>#REF!</v>
          </cell>
          <cell r="AV293" t="e">
            <v>#REF!</v>
          </cell>
          <cell r="AW293" t="e">
            <v>#REF!</v>
          </cell>
          <cell r="AX293" t="e">
            <v>#REF!</v>
          </cell>
          <cell r="AY293" t="e">
            <v>#REF!</v>
          </cell>
          <cell r="AZ293" t="e">
            <v>#REF!</v>
          </cell>
          <cell r="BA293" t="e">
            <v>#REF!</v>
          </cell>
          <cell r="BB293" t="e">
            <v>#REF!</v>
          </cell>
          <cell r="BC293" t="e">
            <v>#REF!</v>
          </cell>
          <cell r="BD293" t="e">
            <v>#REF!</v>
          </cell>
          <cell r="BE293" t="e">
            <v>#REF!</v>
          </cell>
          <cell r="BF293" t="e">
            <v>#REF!</v>
          </cell>
          <cell r="BG293" t="e">
            <v>#REF!</v>
          </cell>
          <cell r="BH293" t="e">
            <v>#REF!</v>
          </cell>
          <cell r="BI293" t="e">
            <v>#REF!</v>
          </cell>
          <cell r="BJ293" t="e">
            <v>#REF!</v>
          </cell>
          <cell r="BK293" t="e">
            <v>#REF!</v>
          </cell>
          <cell r="BL293" t="e">
            <v>#REF!</v>
          </cell>
          <cell r="BM293" t="e">
            <v>#REF!</v>
          </cell>
          <cell r="BN293" t="e">
            <v>#REF!</v>
          </cell>
          <cell r="BO293" t="e">
            <v>#REF!</v>
          </cell>
          <cell r="BP293" t="e">
            <v>#REF!</v>
          </cell>
          <cell r="BQ293" t="e">
            <v>#REF!</v>
          </cell>
          <cell r="BR293" t="e">
            <v>#REF!</v>
          </cell>
          <cell r="BS293" t="e">
            <v>#REF!</v>
          </cell>
          <cell r="BT293" t="e">
            <v>#REF!</v>
          </cell>
          <cell r="BU293" t="e">
            <v>#REF!</v>
          </cell>
        </row>
        <row r="294">
          <cell r="A294" t="str">
            <v>20702MD</v>
          </cell>
          <cell r="B294">
            <v>20702</v>
          </cell>
          <cell r="C294" t="str">
            <v>MD</v>
          </cell>
          <cell r="D294" t="e">
            <v>#REF!</v>
          </cell>
          <cell r="E294" t="e">
            <v>#REF!</v>
          </cell>
          <cell r="F294" t="e">
            <v>#REF!</v>
          </cell>
          <cell r="G294" t="str">
            <v>Y</v>
          </cell>
          <cell r="M294" t="e">
            <v>#REF!</v>
          </cell>
          <cell r="N294" t="e">
            <v>#REF!</v>
          </cell>
          <cell r="O294" t="e">
            <v>#REF!</v>
          </cell>
          <cell r="P294" t="e">
            <v>#REF!</v>
          </cell>
          <cell r="Q294" t="e">
            <v>#REF!</v>
          </cell>
          <cell r="R294" t="e">
            <v>#REF!</v>
          </cell>
          <cell r="S294" t="e">
            <v>#REF!</v>
          </cell>
          <cell r="T294" t="e">
            <v>#REF!</v>
          </cell>
          <cell r="U294" t="e">
            <v>#REF!</v>
          </cell>
          <cell r="V294" t="e">
            <v>#REF!</v>
          </cell>
          <cell r="W294" t="e">
            <v>#REF!</v>
          </cell>
          <cell r="X294" t="e">
            <v>#REF!</v>
          </cell>
          <cell r="Y294" t="e">
            <v>#REF!</v>
          </cell>
          <cell r="Z294" t="e">
            <v>#REF!</v>
          </cell>
          <cell r="AA294" t="e">
            <v>#REF!</v>
          </cell>
          <cell r="AB294" t="e">
            <v>#REF!</v>
          </cell>
          <cell r="AC294" t="e">
            <v>#REF!</v>
          </cell>
          <cell r="AD294" t="e">
            <v>#REF!</v>
          </cell>
          <cell r="AE294" t="e">
            <v>#REF!</v>
          </cell>
          <cell r="AF294" t="e">
            <v>#REF!</v>
          </cell>
          <cell r="AG294" t="e">
            <v>#REF!</v>
          </cell>
          <cell r="AH294" t="e">
            <v>#REF!</v>
          </cell>
          <cell r="AI294" t="e">
            <v>#REF!</v>
          </cell>
          <cell r="AJ294" t="e">
            <v>#REF!</v>
          </cell>
          <cell r="AK294" t="e">
            <v>#REF!</v>
          </cell>
          <cell r="AL294" t="e">
            <v>#REF!</v>
          </cell>
          <cell r="AM294" t="e">
            <v>#REF!</v>
          </cell>
          <cell r="AN294" t="e">
            <v>#REF!</v>
          </cell>
          <cell r="AO294" t="e">
            <v>#REF!</v>
          </cell>
          <cell r="AP294" t="e">
            <v>#REF!</v>
          </cell>
          <cell r="AQ294" t="e">
            <v>#REF!</v>
          </cell>
          <cell r="AR294" t="e">
            <v>#REF!</v>
          </cell>
          <cell r="AS294" t="e">
            <v>#REF!</v>
          </cell>
          <cell r="AT294" t="e">
            <v>#REF!</v>
          </cell>
          <cell r="AU294" t="e">
            <v>#REF!</v>
          </cell>
          <cell r="AV294" t="e">
            <v>#REF!</v>
          </cell>
          <cell r="AW294" t="e">
            <v>#REF!</v>
          </cell>
          <cell r="AX294" t="e">
            <v>#REF!</v>
          </cell>
          <cell r="AY294" t="e">
            <v>#REF!</v>
          </cell>
          <cell r="AZ294" t="e">
            <v>#REF!</v>
          </cell>
          <cell r="BA294" t="e">
            <v>#REF!</v>
          </cell>
          <cell r="BB294" t="e">
            <v>#REF!</v>
          </cell>
          <cell r="BC294" t="e">
            <v>#REF!</v>
          </cell>
          <cell r="BD294" t="e">
            <v>#REF!</v>
          </cell>
          <cell r="BE294" t="e">
            <v>#REF!</v>
          </cell>
          <cell r="BF294" t="e">
            <v>#REF!</v>
          </cell>
          <cell r="BG294" t="e">
            <v>#REF!</v>
          </cell>
          <cell r="BH294" t="e">
            <v>#REF!</v>
          </cell>
          <cell r="BI294" t="e">
            <v>#REF!</v>
          </cell>
          <cell r="BJ294" t="e">
            <v>#REF!</v>
          </cell>
          <cell r="BK294" t="e">
            <v>#REF!</v>
          </cell>
          <cell r="BL294" t="e">
            <v>#REF!</v>
          </cell>
          <cell r="BM294" t="e">
            <v>#REF!</v>
          </cell>
          <cell r="BN294" t="e">
            <v>#REF!</v>
          </cell>
          <cell r="BO294" t="e">
            <v>#REF!</v>
          </cell>
          <cell r="BP294" t="e">
            <v>#REF!</v>
          </cell>
          <cell r="BQ294" t="e">
            <v>#REF!</v>
          </cell>
          <cell r="BR294" t="e">
            <v>#REF!</v>
          </cell>
          <cell r="BS294" t="e">
            <v>#REF!</v>
          </cell>
          <cell r="BT294" t="e">
            <v>#REF!</v>
          </cell>
          <cell r="BU294" t="e">
            <v>#REF!</v>
          </cell>
        </row>
        <row r="295">
          <cell r="A295" t="str">
            <v>20702RET</v>
          </cell>
          <cell r="B295">
            <v>20702</v>
          </cell>
          <cell r="C295" t="str">
            <v>RET</v>
          </cell>
          <cell r="D295" t="e">
            <v>#REF!</v>
          </cell>
          <cell r="E295" t="e">
            <v>#REF!</v>
          </cell>
          <cell r="F295" t="e">
            <v>#REF!</v>
          </cell>
          <cell r="G295" t="str">
            <v>Y</v>
          </cell>
          <cell r="M295" t="e">
            <v>#REF!</v>
          </cell>
          <cell r="N295" t="e">
            <v>#REF!</v>
          </cell>
          <cell r="O295" t="e">
            <v>#REF!</v>
          </cell>
          <cell r="P295" t="e">
            <v>#REF!</v>
          </cell>
          <cell r="Q295" t="e">
            <v>#REF!</v>
          </cell>
          <cell r="R295" t="e">
            <v>#REF!</v>
          </cell>
          <cell r="S295" t="e">
            <v>#REF!</v>
          </cell>
          <cell r="T295" t="e">
            <v>#REF!</v>
          </cell>
          <cell r="U295" t="e">
            <v>#REF!</v>
          </cell>
          <cell r="V295" t="e">
            <v>#REF!</v>
          </cell>
          <cell r="W295" t="e">
            <v>#REF!</v>
          </cell>
          <cell r="X295" t="e">
            <v>#REF!</v>
          </cell>
          <cell r="Y295" t="e">
            <v>#REF!</v>
          </cell>
          <cell r="Z295" t="e">
            <v>#REF!</v>
          </cell>
          <cell r="AA295" t="e">
            <v>#REF!</v>
          </cell>
          <cell r="AB295" t="e">
            <v>#REF!</v>
          </cell>
          <cell r="AC295" t="e">
            <v>#REF!</v>
          </cell>
          <cell r="AD295" t="e">
            <v>#REF!</v>
          </cell>
          <cell r="AE295" t="e">
            <v>#REF!</v>
          </cell>
          <cell r="AF295" t="e">
            <v>#REF!</v>
          </cell>
          <cell r="AG295" t="e">
            <v>#REF!</v>
          </cell>
          <cell r="AH295" t="e">
            <v>#REF!</v>
          </cell>
          <cell r="AI295" t="e">
            <v>#REF!</v>
          </cell>
          <cell r="AJ295" t="e">
            <v>#REF!</v>
          </cell>
          <cell r="AK295" t="e">
            <v>#REF!</v>
          </cell>
          <cell r="AL295" t="e">
            <v>#REF!</v>
          </cell>
          <cell r="AM295" t="e">
            <v>#REF!</v>
          </cell>
          <cell r="AN295" t="e">
            <v>#REF!</v>
          </cell>
          <cell r="AO295" t="e">
            <v>#REF!</v>
          </cell>
          <cell r="AP295" t="e">
            <v>#REF!</v>
          </cell>
          <cell r="AQ295" t="e">
            <v>#REF!</v>
          </cell>
          <cell r="AR295" t="e">
            <v>#REF!</v>
          </cell>
          <cell r="AS295" t="e">
            <v>#REF!</v>
          </cell>
          <cell r="AT295" t="e">
            <v>#REF!</v>
          </cell>
          <cell r="AU295" t="e">
            <v>#REF!</v>
          </cell>
          <cell r="AV295" t="e">
            <v>#REF!</v>
          </cell>
          <cell r="AW295" t="e">
            <v>#REF!</v>
          </cell>
          <cell r="AX295" t="e">
            <v>#REF!</v>
          </cell>
          <cell r="AY295" t="e">
            <v>#REF!</v>
          </cell>
          <cell r="AZ295" t="e">
            <v>#REF!</v>
          </cell>
          <cell r="BA295" t="e">
            <v>#REF!</v>
          </cell>
          <cell r="BB295" t="e">
            <v>#REF!</v>
          </cell>
          <cell r="BC295" t="e">
            <v>#REF!</v>
          </cell>
          <cell r="BD295" t="e">
            <v>#REF!</v>
          </cell>
          <cell r="BE295" t="e">
            <v>#REF!</v>
          </cell>
          <cell r="BF295" t="e">
            <v>#REF!</v>
          </cell>
          <cell r="BG295" t="e">
            <v>#REF!</v>
          </cell>
          <cell r="BH295" t="e">
            <v>#REF!</v>
          </cell>
          <cell r="BI295" t="e">
            <v>#REF!</v>
          </cell>
          <cell r="BJ295" t="e">
            <v>#REF!</v>
          </cell>
          <cell r="BK295" t="e">
            <v>#REF!</v>
          </cell>
          <cell r="BL295" t="e">
            <v>#REF!</v>
          </cell>
          <cell r="BM295" t="e">
            <v>#REF!</v>
          </cell>
          <cell r="BN295" t="e">
            <v>#REF!</v>
          </cell>
          <cell r="BO295" t="e">
            <v>#REF!</v>
          </cell>
          <cell r="BP295" t="e">
            <v>#REF!</v>
          </cell>
          <cell r="BQ295" t="e">
            <v>#REF!</v>
          </cell>
          <cell r="BR295" t="e">
            <v>#REF!</v>
          </cell>
          <cell r="BS295" t="e">
            <v>#REF!</v>
          </cell>
          <cell r="BT295" t="e">
            <v>#REF!</v>
          </cell>
          <cell r="BU295" t="e">
            <v>#REF!</v>
          </cell>
        </row>
        <row r="296">
          <cell r="A296" t="str">
            <v>20703RET</v>
          </cell>
          <cell r="B296">
            <v>20703</v>
          </cell>
          <cell r="C296" t="str">
            <v>RET</v>
          </cell>
          <cell r="D296" t="e">
            <v>#REF!</v>
          </cell>
          <cell r="E296" t="e">
            <v>#REF!</v>
          </cell>
          <cell r="F296" t="e">
            <v>#REF!</v>
          </cell>
          <cell r="G296" t="str">
            <v>Y</v>
          </cell>
          <cell r="M296" t="e">
            <v>#REF!</v>
          </cell>
          <cell r="N296" t="e">
            <v>#REF!</v>
          </cell>
          <cell r="O296" t="e">
            <v>#REF!</v>
          </cell>
          <cell r="P296" t="e">
            <v>#REF!</v>
          </cell>
          <cell r="Q296" t="e">
            <v>#REF!</v>
          </cell>
          <cell r="R296" t="e">
            <v>#REF!</v>
          </cell>
          <cell r="S296" t="e">
            <v>#REF!</v>
          </cell>
          <cell r="T296" t="e">
            <v>#REF!</v>
          </cell>
          <cell r="U296" t="e">
            <v>#REF!</v>
          </cell>
          <cell r="V296" t="e">
            <v>#REF!</v>
          </cell>
          <cell r="W296" t="e">
            <v>#REF!</v>
          </cell>
          <cell r="X296" t="e">
            <v>#REF!</v>
          </cell>
          <cell r="Y296" t="e">
            <v>#REF!</v>
          </cell>
          <cell r="Z296" t="e">
            <v>#REF!</v>
          </cell>
          <cell r="AA296" t="e">
            <v>#REF!</v>
          </cell>
          <cell r="AB296" t="e">
            <v>#REF!</v>
          </cell>
          <cell r="AC296" t="e">
            <v>#REF!</v>
          </cell>
          <cell r="AD296" t="e">
            <v>#REF!</v>
          </cell>
          <cell r="AE296" t="e">
            <v>#REF!</v>
          </cell>
          <cell r="AF296" t="e">
            <v>#REF!</v>
          </cell>
          <cell r="AG296" t="e">
            <v>#REF!</v>
          </cell>
          <cell r="AH296" t="e">
            <v>#REF!</v>
          </cell>
          <cell r="AI296" t="e">
            <v>#REF!</v>
          </cell>
          <cell r="AJ296" t="e">
            <v>#REF!</v>
          </cell>
          <cell r="AK296" t="e">
            <v>#REF!</v>
          </cell>
          <cell r="AL296" t="e">
            <v>#REF!</v>
          </cell>
          <cell r="AM296" t="e">
            <v>#REF!</v>
          </cell>
          <cell r="AN296" t="e">
            <v>#REF!</v>
          </cell>
          <cell r="AO296" t="e">
            <v>#REF!</v>
          </cell>
          <cell r="AP296" t="e">
            <v>#REF!</v>
          </cell>
          <cell r="AQ296" t="e">
            <v>#REF!</v>
          </cell>
          <cell r="AR296" t="e">
            <v>#REF!</v>
          </cell>
          <cell r="AS296" t="e">
            <v>#REF!</v>
          </cell>
          <cell r="AT296" t="e">
            <v>#REF!</v>
          </cell>
          <cell r="AU296" t="e">
            <v>#REF!</v>
          </cell>
          <cell r="AV296" t="e">
            <v>#REF!</v>
          </cell>
          <cell r="AW296" t="e">
            <v>#REF!</v>
          </cell>
          <cell r="AX296" t="e">
            <v>#REF!</v>
          </cell>
          <cell r="AY296" t="e">
            <v>#REF!</v>
          </cell>
          <cell r="AZ296" t="e">
            <v>#REF!</v>
          </cell>
          <cell r="BA296" t="e">
            <v>#REF!</v>
          </cell>
          <cell r="BB296" t="e">
            <v>#REF!</v>
          </cell>
          <cell r="BC296" t="e">
            <v>#REF!</v>
          </cell>
          <cell r="BD296" t="e">
            <v>#REF!</v>
          </cell>
          <cell r="BE296" t="e">
            <v>#REF!</v>
          </cell>
          <cell r="BF296" t="e">
            <v>#REF!</v>
          </cell>
          <cell r="BG296" t="e">
            <v>#REF!</v>
          </cell>
          <cell r="BH296" t="e">
            <v>#REF!</v>
          </cell>
          <cell r="BI296" t="e">
            <v>#REF!</v>
          </cell>
          <cell r="BJ296" t="e">
            <v>#REF!</v>
          </cell>
          <cell r="BK296" t="e">
            <v>#REF!</v>
          </cell>
          <cell r="BL296" t="e">
            <v>#REF!</v>
          </cell>
          <cell r="BM296" t="e">
            <v>#REF!</v>
          </cell>
          <cell r="BN296" t="e">
            <v>#REF!</v>
          </cell>
          <cell r="BO296" t="e">
            <v>#REF!</v>
          </cell>
          <cell r="BP296" t="e">
            <v>#REF!</v>
          </cell>
          <cell r="BQ296" t="e">
            <v>#REF!</v>
          </cell>
          <cell r="BR296" t="e">
            <v>#REF!</v>
          </cell>
          <cell r="BS296" t="e">
            <v>#REF!</v>
          </cell>
          <cell r="BT296" t="e">
            <v>#REF!</v>
          </cell>
          <cell r="BU296" t="e">
            <v>#REF!</v>
          </cell>
        </row>
        <row r="297">
          <cell r="A297" t="str">
            <v>20704MD</v>
          </cell>
          <cell r="B297">
            <v>20704</v>
          </cell>
          <cell r="C297" t="str">
            <v>MD</v>
          </cell>
          <cell r="D297" t="str">
            <v>Plug Loads</v>
          </cell>
          <cell r="E297" t="str">
            <v>ENERGY STAR Office Equipment</v>
          </cell>
          <cell r="F297" t="str">
            <v>C</v>
          </cell>
          <cell r="G297" t="str">
            <v>Y</v>
          </cell>
          <cell r="M297" t="str">
            <v>REPL</v>
          </cell>
          <cell r="N297" t="str">
            <v>Non ENERGY STAR certified laptops</v>
          </cell>
          <cell r="O297">
            <v>2021</v>
          </cell>
          <cell r="P297">
            <v>2030</v>
          </cell>
          <cell r="Q297" t="str">
            <v>Small Office</v>
          </cell>
          <cell r="R297" t="str">
            <v/>
          </cell>
          <cell r="S297">
            <v>0</v>
          </cell>
          <cell r="T297">
            <v>0</v>
          </cell>
          <cell r="U297">
            <v>0</v>
          </cell>
          <cell r="V297">
            <v>37</v>
          </cell>
          <cell r="W297">
            <v>0.4157303370786517</v>
          </cell>
          <cell r="X297" t="str">
            <v>-</v>
          </cell>
          <cell r="Y297" t="str">
            <v>3,51</v>
          </cell>
          <cell r="Z297" t="str">
            <v>3,51</v>
          </cell>
          <cell r="AA297">
            <v>0</v>
          </cell>
          <cell r="AB297">
            <v>0</v>
          </cell>
          <cell r="AC297">
            <v>0</v>
          </cell>
          <cell r="AD297">
            <v>0</v>
          </cell>
          <cell r="AE297">
            <v>4</v>
          </cell>
          <cell r="AF297">
            <v>4</v>
          </cell>
          <cell r="AG297">
            <v>0</v>
          </cell>
          <cell r="AH297">
            <v>0</v>
          </cell>
          <cell r="AI297">
            <v>0</v>
          </cell>
          <cell r="AJ297">
            <v>0</v>
          </cell>
          <cell r="AK297">
            <v>0</v>
          </cell>
          <cell r="AL297" t="str">
            <v>-</v>
          </cell>
          <cell r="AM297" t="str">
            <v>-</v>
          </cell>
          <cell r="AN297" t="str">
            <v/>
          </cell>
          <cell r="AO297">
            <v>0</v>
          </cell>
          <cell r="AP297" t="str">
            <v>-</v>
          </cell>
          <cell r="AQ297">
            <v>0</v>
          </cell>
          <cell r="AR297" t="str">
            <v>-</v>
          </cell>
          <cell r="AS297">
            <v>0</v>
          </cell>
          <cell r="AT297" t="str">
            <v/>
          </cell>
          <cell r="AU297">
            <v>0</v>
          </cell>
          <cell r="AV297" t="str">
            <v>-</v>
          </cell>
          <cell r="AW297">
            <v>0</v>
          </cell>
          <cell r="AX297" t="str">
            <v>-</v>
          </cell>
          <cell r="AY297">
            <v>0</v>
          </cell>
          <cell r="AZ297" t="str">
            <v/>
          </cell>
          <cell r="BA297">
            <v>0</v>
          </cell>
          <cell r="BB297" t="str">
            <v>-</v>
          </cell>
          <cell r="BC297">
            <v>0</v>
          </cell>
          <cell r="BD297" t="str">
            <v>-</v>
          </cell>
          <cell r="BE297">
            <v>0</v>
          </cell>
          <cell r="BF297" t="str">
            <v/>
          </cell>
          <cell r="BG297">
            <v>0</v>
          </cell>
          <cell r="BH297" t="str">
            <v>-</v>
          </cell>
          <cell r="BI297">
            <v>0</v>
          </cell>
          <cell r="BJ297" t="str">
            <v>-</v>
          </cell>
          <cell r="BK297">
            <v>0</v>
          </cell>
          <cell r="BL297">
            <v>0</v>
          </cell>
          <cell r="BM297" t="str">
            <v>-</v>
          </cell>
          <cell r="BN297">
            <v>4</v>
          </cell>
          <cell r="BO297" t="str">
            <v/>
          </cell>
          <cell r="BP297">
            <v>0</v>
          </cell>
          <cell r="BQ297">
            <v>0</v>
          </cell>
          <cell r="BR297" t="str">
            <v>-</v>
          </cell>
          <cell r="BS297">
            <v>0</v>
          </cell>
          <cell r="BT297">
            <v>0</v>
          </cell>
          <cell r="BU297" t="str">
            <v>-</v>
          </cell>
        </row>
        <row r="298">
          <cell r="A298" t="str">
            <v>20705MD</v>
          </cell>
          <cell r="B298">
            <v>20705</v>
          </cell>
          <cell r="C298" t="str">
            <v>MD</v>
          </cell>
          <cell r="D298" t="str">
            <v>Plug Loads</v>
          </cell>
          <cell r="E298" t="str">
            <v>ENERGY STAR Office Equipment</v>
          </cell>
          <cell r="F298" t="str">
            <v>C</v>
          </cell>
          <cell r="G298" t="str">
            <v>Y</v>
          </cell>
          <cell r="M298" t="str">
            <v>REPL</v>
          </cell>
          <cell r="N298" t="str">
            <v>Non ENERGY STAR certified PCs</v>
          </cell>
          <cell r="O298">
            <v>2021</v>
          </cell>
          <cell r="P298">
            <v>2030</v>
          </cell>
          <cell r="Q298" t="str">
            <v>Small Office</v>
          </cell>
          <cell r="R298" t="str">
            <v/>
          </cell>
          <cell r="S298">
            <v>0</v>
          </cell>
          <cell r="T298">
            <v>0</v>
          </cell>
          <cell r="U298">
            <v>0</v>
          </cell>
          <cell r="V298">
            <v>124</v>
          </cell>
          <cell r="W298">
            <v>0.43508771929824563</v>
          </cell>
          <cell r="X298" t="str">
            <v>-</v>
          </cell>
          <cell r="Y298" t="str">
            <v>3,51</v>
          </cell>
          <cell r="Z298" t="str">
            <v>3,51</v>
          </cell>
          <cell r="AA298">
            <v>0</v>
          </cell>
          <cell r="AB298">
            <v>0</v>
          </cell>
          <cell r="AC298">
            <v>0</v>
          </cell>
          <cell r="AD298">
            <v>0</v>
          </cell>
          <cell r="AE298">
            <v>4</v>
          </cell>
          <cell r="AF298">
            <v>4</v>
          </cell>
          <cell r="AG298">
            <v>0</v>
          </cell>
          <cell r="AH298">
            <v>0</v>
          </cell>
          <cell r="AI298">
            <v>0</v>
          </cell>
          <cell r="AJ298">
            <v>0</v>
          </cell>
          <cell r="AK298">
            <v>0</v>
          </cell>
          <cell r="AL298" t="str">
            <v>-</v>
          </cell>
          <cell r="AM298" t="str">
            <v>-</v>
          </cell>
          <cell r="AN298" t="str">
            <v/>
          </cell>
          <cell r="AO298">
            <v>0</v>
          </cell>
          <cell r="AP298" t="str">
            <v>-</v>
          </cell>
          <cell r="AQ298">
            <v>0</v>
          </cell>
          <cell r="AR298" t="str">
            <v>-</v>
          </cell>
          <cell r="AS298">
            <v>0</v>
          </cell>
          <cell r="AT298" t="str">
            <v/>
          </cell>
          <cell r="AU298">
            <v>0</v>
          </cell>
          <cell r="AV298" t="str">
            <v>-</v>
          </cell>
          <cell r="AW298">
            <v>0</v>
          </cell>
          <cell r="AX298" t="str">
            <v>-</v>
          </cell>
          <cell r="AY298">
            <v>0</v>
          </cell>
          <cell r="AZ298" t="str">
            <v/>
          </cell>
          <cell r="BA298">
            <v>0</v>
          </cell>
          <cell r="BB298" t="str">
            <v>-</v>
          </cell>
          <cell r="BC298">
            <v>0</v>
          </cell>
          <cell r="BD298" t="str">
            <v>-</v>
          </cell>
          <cell r="BE298">
            <v>0</v>
          </cell>
          <cell r="BF298" t="str">
            <v/>
          </cell>
          <cell r="BG298">
            <v>0</v>
          </cell>
          <cell r="BH298" t="str">
            <v>-</v>
          </cell>
          <cell r="BI298">
            <v>0</v>
          </cell>
          <cell r="BJ298" t="str">
            <v>-</v>
          </cell>
          <cell r="BK298">
            <v>0</v>
          </cell>
          <cell r="BL298">
            <v>0</v>
          </cell>
          <cell r="BM298" t="str">
            <v>-</v>
          </cell>
          <cell r="BN298">
            <v>4</v>
          </cell>
          <cell r="BO298" t="str">
            <v/>
          </cell>
          <cell r="BP298">
            <v>0</v>
          </cell>
          <cell r="BQ298">
            <v>0</v>
          </cell>
          <cell r="BR298" t="str">
            <v>-</v>
          </cell>
          <cell r="BS298">
            <v>0</v>
          </cell>
          <cell r="BT298">
            <v>0</v>
          </cell>
          <cell r="BU298" t="str">
            <v>-</v>
          </cell>
        </row>
        <row r="299">
          <cell r="A299" t="str">
            <v>20706MD</v>
          </cell>
          <cell r="B299">
            <v>20706</v>
          </cell>
          <cell r="C299" t="str">
            <v>MD</v>
          </cell>
          <cell r="D299" t="str">
            <v>Plug Loads</v>
          </cell>
          <cell r="E299" t="str">
            <v>ENERGY STAR Office Equipment</v>
          </cell>
          <cell r="F299" t="str">
            <v>C</v>
          </cell>
          <cell r="G299" t="str">
            <v>Y</v>
          </cell>
          <cell r="M299" t="str">
            <v>REPL</v>
          </cell>
          <cell r="N299" t="str">
            <v>Non ENERGY STAR certified monitors</v>
          </cell>
          <cell r="O299">
            <v>2021</v>
          </cell>
          <cell r="P299">
            <v>2030</v>
          </cell>
          <cell r="Q299" t="str">
            <v>Small Office</v>
          </cell>
          <cell r="R299" t="str">
            <v/>
          </cell>
          <cell r="S299">
            <v>0</v>
          </cell>
          <cell r="T299">
            <v>0</v>
          </cell>
          <cell r="U299">
            <v>0</v>
          </cell>
          <cell r="V299">
            <v>8</v>
          </cell>
          <cell r="W299">
            <v>0.15384615384615385</v>
          </cell>
          <cell r="X299" t="str">
            <v>-</v>
          </cell>
          <cell r="Y299" t="str">
            <v>3,51</v>
          </cell>
          <cell r="Z299" t="str">
            <v>3,51</v>
          </cell>
          <cell r="AA299">
            <v>0</v>
          </cell>
          <cell r="AB299">
            <v>0</v>
          </cell>
          <cell r="AC299">
            <v>0</v>
          </cell>
          <cell r="AD299">
            <v>0</v>
          </cell>
          <cell r="AE299">
            <v>4</v>
          </cell>
          <cell r="AF299">
            <v>4</v>
          </cell>
          <cell r="AG299">
            <v>0</v>
          </cell>
          <cell r="AH299">
            <v>0</v>
          </cell>
          <cell r="AI299">
            <v>0</v>
          </cell>
          <cell r="AJ299">
            <v>0</v>
          </cell>
          <cell r="AK299">
            <v>0</v>
          </cell>
          <cell r="AL299" t="str">
            <v>-</v>
          </cell>
          <cell r="AM299" t="str">
            <v>-</v>
          </cell>
          <cell r="AN299" t="str">
            <v/>
          </cell>
          <cell r="AO299">
            <v>0</v>
          </cell>
          <cell r="AP299" t="str">
            <v>-</v>
          </cell>
          <cell r="AQ299">
            <v>0</v>
          </cell>
          <cell r="AR299" t="str">
            <v>-</v>
          </cell>
          <cell r="AS299">
            <v>0</v>
          </cell>
          <cell r="AT299" t="str">
            <v/>
          </cell>
          <cell r="AU299">
            <v>0</v>
          </cell>
          <cell r="AV299" t="str">
            <v>-</v>
          </cell>
          <cell r="AW299">
            <v>0</v>
          </cell>
          <cell r="AX299" t="str">
            <v>-</v>
          </cell>
          <cell r="AY299">
            <v>0</v>
          </cell>
          <cell r="AZ299" t="str">
            <v/>
          </cell>
          <cell r="BA299">
            <v>0</v>
          </cell>
          <cell r="BB299" t="str">
            <v>-</v>
          </cell>
          <cell r="BC299">
            <v>0</v>
          </cell>
          <cell r="BD299" t="str">
            <v>-</v>
          </cell>
          <cell r="BE299">
            <v>0</v>
          </cell>
          <cell r="BF299" t="str">
            <v/>
          </cell>
          <cell r="BG299">
            <v>0</v>
          </cell>
          <cell r="BH299" t="str">
            <v>-</v>
          </cell>
          <cell r="BI299">
            <v>0</v>
          </cell>
          <cell r="BJ299" t="str">
            <v>-</v>
          </cell>
          <cell r="BK299">
            <v>0</v>
          </cell>
          <cell r="BL299">
            <v>0</v>
          </cell>
          <cell r="BM299" t="str">
            <v>-</v>
          </cell>
          <cell r="BN299">
            <v>7</v>
          </cell>
          <cell r="BO299" t="str">
            <v/>
          </cell>
          <cell r="BP299">
            <v>0</v>
          </cell>
          <cell r="BQ299">
            <v>0</v>
          </cell>
          <cell r="BR299" t="str">
            <v>-</v>
          </cell>
          <cell r="BS299">
            <v>0</v>
          </cell>
          <cell r="BT299">
            <v>0</v>
          </cell>
          <cell r="BU299" t="str">
            <v>-</v>
          </cell>
        </row>
        <row r="300">
          <cell r="A300" t="str">
            <v>20707RET</v>
          </cell>
          <cell r="B300">
            <v>20707</v>
          </cell>
          <cell r="C300" t="str">
            <v>RET</v>
          </cell>
          <cell r="D300" t="e">
            <v>#REF!</v>
          </cell>
          <cell r="E300" t="e">
            <v>#REF!</v>
          </cell>
          <cell r="F300" t="e">
            <v>#REF!</v>
          </cell>
          <cell r="G300" t="str">
            <v>Y</v>
          </cell>
          <cell r="M300" t="e">
            <v>#REF!</v>
          </cell>
          <cell r="N300" t="e">
            <v>#REF!</v>
          </cell>
          <cell r="O300" t="e">
            <v>#REF!</v>
          </cell>
          <cell r="P300" t="e">
            <v>#REF!</v>
          </cell>
          <cell r="Q300" t="e">
            <v>#REF!</v>
          </cell>
          <cell r="R300" t="e">
            <v>#REF!</v>
          </cell>
          <cell r="S300" t="e">
            <v>#REF!</v>
          </cell>
          <cell r="T300" t="e">
            <v>#REF!</v>
          </cell>
          <cell r="U300" t="e">
            <v>#REF!</v>
          </cell>
          <cell r="V300" t="e">
            <v>#REF!</v>
          </cell>
          <cell r="W300" t="e">
            <v>#REF!</v>
          </cell>
          <cell r="X300" t="e">
            <v>#REF!</v>
          </cell>
          <cell r="Y300" t="e">
            <v>#REF!</v>
          </cell>
          <cell r="Z300" t="e">
            <v>#REF!</v>
          </cell>
          <cell r="AA300" t="e">
            <v>#REF!</v>
          </cell>
          <cell r="AB300" t="e">
            <v>#REF!</v>
          </cell>
          <cell r="AC300" t="e">
            <v>#REF!</v>
          </cell>
          <cell r="AD300" t="e">
            <v>#REF!</v>
          </cell>
          <cell r="AE300" t="e">
            <v>#REF!</v>
          </cell>
          <cell r="AF300" t="e">
            <v>#REF!</v>
          </cell>
          <cell r="AG300" t="e">
            <v>#REF!</v>
          </cell>
          <cell r="AH300" t="e">
            <v>#REF!</v>
          </cell>
          <cell r="AI300" t="e">
            <v>#REF!</v>
          </cell>
          <cell r="AJ300" t="e">
            <v>#REF!</v>
          </cell>
          <cell r="AK300" t="e">
            <v>#REF!</v>
          </cell>
          <cell r="AL300" t="e">
            <v>#REF!</v>
          </cell>
          <cell r="AM300" t="e">
            <v>#REF!</v>
          </cell>
          <cell r="AN300" t="e">
            <v>#REF!</v>
          </cell>
          <cell r="AO300" t="e">
            <v>#REF!</v>
          </cell>
          <cell r="AP300" t="e">
            <v>#REF!</v>
          </cell>
          <cell r="AQ300" t="e">
            <v>#REF!</v>
          </cell>
          <cell r="AR300" t="e">
            <v>#REF!</v>
          </cell>
          <cell r="AS300" t="e">
            <v>#REF!</v>
          </cell>
          <cell r="AT300" t="e">
            <v>#REF!</v>
          </cell>
          <cell r="AU300" t="e">
            <v>#REF!</v>
          </cell>
          <cell r="AV300" t="e">
            <v>#REF!</v>
          </cell>
          <cell r="AW300" t="e">
            <v>#REF!</v>
          </cell>
          <cell r="AX300" t="e">
            <v>#REF!</v>
          </cell>
          <cell r="AY300" t="e">
            <v>#REF!</v>
          </cell>
          <cell r="AZ300" t="e">
            <v>#REF!</v>
          </cell>
          <cell r="BA300" t="e">
            <v>#REF!</v>
          </cell>
          <cell r="BB300" t="e">
            <v>#REF!</v>
          </cell>
          <cell r="BC300" t="e">
            <v>#REF!</v>
          </cell>
          <cell r="BD300" t="e">
            <v>#REF!</v>
          </cell>
          <cell r="BE300" t="e">
            <v>#REF!</v>
          </cell>
          <cell r="BF300" t="e">
            <v>#REF!</v>
          </cell>
          <cell r="BG300" t="e">
            <v>#REF!</v>
          </cell>
          <cell r="BH300" t="e">
            <v>#REF!</v>
          </cell>
          <cell r="BI300" t="e">
            <v>#REF!</v>
          </cell>
          <cell r="BJ300" t="e">
            <v>#REF!</v>
          </cell>
          <cell r="BK300" t="e">
            <v>#REF!</v>
          </cell>
          <cell r="BL300" t="e">
            <v>#REF!</v>
          </cell>
          <cell r="BM300" t="e">
            <v>#REF!</v>
          </cell>
          <cell r="BN300" t="e">
            <v>#REF!</v>
          </cell>
          <cell r="BO300" t="e">
            <v>#REF!</v>
          </cell>
          <cell r="BP300" t="e">
            <v>#REF!</v>
          </cell>
          <cell r="BQ300" t="e">
            <v>#REF!</v>
          </cell>
          <cell r="BR300" t="e">
            <v>#REF!</v>
          </cell>
          <cell r="BS300" t="e">
            <v>#REF!</v>
          </cell>
          <cell r="BT300" t="e">
            <v>#REF!</v>
          </cell>
          <cell r="BU300" t="e">
            <v>#REF!</v>
          </cell>
        </row>
        <row r="301">
          <cell r="A301" t="str">
            <v>20708RET</v>
          </cell>
          <cell r="B301">
            <v>20708</v>
          </cell>
          <cell r="C301" t="str">
            <v>RET</v>
          </cell>
          <cell r="D301" t="e">
            <v>#REF!</v>
          </cell>
          <cell r="E301" t="e">
            <v>#REF!</v>
          </cell>
          <cell r="F301" t="e">
            <v>#REF!</v>
          </cell>
          <cell r="G301" t="str">
            <v>Y</v>
          </cell>
          <cell r="M301" t="e">
            <v>#REF!</v>
          </cell>
          <cell r="N301" t="e">
            <v>#REF!</v>
          </cell>
          <cell r="O301" t="e">
            <v>#REF!</v>
          </cell>
          <cell r="P301" t="e">
            <v>#REF!</v>
          </cell>
          <cell r="Q301" t="e">
            <v>#REF!</v>
          </cell>
          <cell r="R301" t="e">
            <v>#REF!</v>
          </cell>
          <cell r="S301" t="e">
            <v>#REF!</v>
          </cell>
          <cell r="T301" t="e">
            <v>#REF!</v>
          </cell>
          <cell r="U301" t="e">
            <v>#REF!</v>
          </cell>
          <cell r="V301" t="e">
            <v>#REF!</v>
          </cell>
          <cell r="W301" t="e">
            <v>#REF!</v>
          </cell>
          <cell r="X301" t="e">
            <v>#REF!</v>
          </cell>
          <cell r="Y301" t="e">
            <v>#REF!</v>
          </cell>
          <cell r="Z301" t="e">
            <v>#REF!</v>
          </cell>
          <cell r="AA301" t="e">
            <v>#REF!</v>
          </cell>
          <cell r="AB301" t="e">
            <v>#REF!</v>
          </cell>
          <cell r="AC301" t="e">
            <v>#REF!</v>
          </cell>
          <cell r="AD301" t="e">
            <v>#REF!</v>
          </cell>
          <cell r="AE301" t="e">
            <v>#REF!</v>
          </cell>
          <cell r="AF301" t="e">
            <v>#REF!</v>
          </cell>
          <cell r="AG301" t="e">
            <v>#REF!</v>
          </cell>
          <cell r="AH301" t="e">
            <v>#REF!</v>
          </cell>
          <cell r="AI301" t="e">
            <v>#REF!</v>
          </cell>
          <cell r="AJ301" t="e">
            <v>#REF!</v>
          </cell>
          <cell r="AK301" t="e">
            <v>#REF!</v>
          </cell>
          <cell r="AL301" t="e">
            <v>#REF!</v>
          </cell>
          <cell r="AM301" t="e">
            <v>#REF!</v>
          </cell>
          <cell r="AN301" t="e">
            <v>#REF!</v>
          </cell>
          <cell r="AO301" t="e">
            <v>#REF!</v>
          </cell>
          <cell r="AP301" t="e">
            <v>#REF!</v>
          </cell>
          <cell r="AQ301" t="e">
            <v>#REF!</v>
          </cell>
          <cell r="AR301" t="e">
            <v>#REF!</v>
          </cell>
          <cell r="AS301" t="e">
            <v>#REF!</v>
          </cell>
          <cell r="AT301" t="e">
            <v>#REF!</v>
          </cell>
          <cell r="AU301" t="e">
            <v>#REF!</v>
          </cell>
          <cell r="AV301" t="e">
            <v>#REF!</v>
          </cell>
          <cell r="AW301" t="e">
            <v>#REF!</v>
          </cell>
          <cell r="AX301" t="e">
            <v>#REF!</v>
          </cell>
          <cell r="AY301" t="e">
            <v>#REF!</v>
          </cell>
          <cell r="AZ301" t="e">
            <v>#REF!</v>
          </cell>
          <cell r="BA301" t="e">
            <v>#REF!</v>
          </cell>
          <cell r="BB301" t="e">
            <v>#REF!</v>
          </cell>
          <cell r="BC301" t="e">
            <v>#REF!</v>
          </cell>
          <cell r="BD301" t="e">
            <v>#REF!</v>
          </cell>
          <cell r="BE301" t="e">
            <v>#REF!</v>
          </cell>
          <cell r="BF301" t="e">
            <v>#REF!</v>
          </cell>
          <cell r="BG301" t="e">
            <v>#REF!</v>
          </cell>
          <cell r="BH301" t="e">
            <v>#REF!</v>
          </cell>
          <cell r="BI301" t="e">
            <v>#REF!</v>
          </cell>
          <cell r="BJ301" t="e">
            <v>#REF!</v>
          </cell>
          <cell r="BK301" t="e">
            <v>#REF!</v>
          </cell>
          <cell r="BL301" t="e">
            <v>#REF!</v>
          </cell>
          <cell r="BM301" t="e">
            <v>#REF!</v>
          </cell>
          <cell r="BN301" t="e">
            <v>#REF!</v>
          </cell>
          <cell r="BO301" t="e">
            <v>#REF!</v>
          </cell>
          <cell r="BP301" t="e">
            <v>#REF!</v>
          </cell>
          <cell r="BQ301" t="e">
            <v>#REF!</v>
          </cell>
          <cell r="BR301" t="e">
            <v>#REF!</v>
          </cell>
          <cell r="BS301" t="e">
            <v>#REF!</v>
          </cell>
          <cell r="BT301" t="e">
            <v>#REF!</v>
          </cell>
          <cell r="BU301" t="e">
            <v>#REF!</v>
          </cell>
        </row>
        <row r="302">
          <cell r="A302" t="str">
            <v>20801MD</v>
          </cell>
          <cell r="B302">
            <v>20801</v>
          </cell>
          <cell r="C302" t="str">
            <v>MD</v>
          </cell>
          <cell r="D302" t="e">
            <v>#REF!</v>
          </cell>
          <cell r="E302" t="e">
            <v>#REF!</v>
          </cell>
          <cell r="F302" t="e">
            <v>#REF!</v>
          </cell>
          <cell r="G302" t="str">
            <v>Y</v>
          </cell>
          <cell r="M302" t="e">
            <v>#REF!</v>
          </cell>
          <cell r="N302" t="e">
            <v>#REF!</v>
          </cell>
          <cell r="O302" t="e">
            <v>#REF!</v>
          </cell>
          <cell r="P302" t="e">
            <v>#REF!</v>
          </cell>
          <cell r="Q302" t="e">
            <v>#REF!</v>
          </cell>
          <cell r="R302" t="e">
            <v>#REF!</v>
          </cell>
          <cell r="S302" t="e">
            <v>#REF!</v>
          </cell>
          <cell r="T302" t="e">
            <v>#REF!</v>
          </cell>
          <cell r="U302" t="e">
            <v>#REF!</v>
          </cell>
          <cell r="V302" t="e">
            <v>#REF!</v>
          </cell>
          <cell r="W302" t="e">
            <v>#REF!</v>
          </cell>
          <cell r="X302" t="e">
            <v>#REF!</v>
          </cell>
          <cell r="Y302" t="e">
            <v>#REF!</v>
          </cell>
          <cell r="Z302" t="e">
            <v>#REF!</v>
          </cell>
          <cell r="AA302" t="e">
            <v>#REF!</v>
          </cell>
          <cell r="AB302" t="e">
            <v>#REF!</v>
          </cell>
          <cell r="AC302" t="e">
            <v>#REF!</v>
          </cell>
          <cell r="AD302" t="e">
            <v>#REF!</v>
          </cell>
          <cell r="AE302" t="e">
            <v>#REF!</v>
          </cell>
          <cell r="AF302" t="e">
            <v>#REF!</v>
          </cell>
          <cell r="AG302" t="e">
            <v>#REF!</v>
          </cell>
          <cell r="AH302" t="e">
            <v>#REF!</v>
          </cell>
          <cell r="AI302" t="e">
            <v>#REF!</v>
          </cell>
          <cell r="AJ302" t="e">
            <v>#REF!</v>
          </cell>
          <cell r="AK302" t="e">
            <v>#REF!</v>
          </cell>
          <cell r="AL302" t="e">
            <v>#REF!</v>
          </cell>
          <cell r="AM302" t="e">
            <v>#REF!</v>
          </cell>
          <cell r="AN302" t="e">
            <v>#REF!</v>
          </cell>
          <cell r="AO302" t="e">
            <v>#REF!</v>
          </cell>
          <cell r="AP302" t="e">
            <v>#REF!</v>
          </cell>
          <cell r="AQ302" t="e">
            <v>#REF!</v>
          </cell>
          <cell r="AR302" t="e">
            <v>#REF!</v>
          </cell>
          <cell r="AS302" t="e">
            <v>#REF!</v>
          </cell>
          <cell r="AT302" t="e">
            <v>#REF!</v>
          </cell>
          <cell r="AU302" t="e">
            <v>#REF!</v>
          </cell>
          <cell r="AV302" t="e">
            <v>#REF!</v>
          </cell>
          <cell r="AW302" t="e">
            <v>#REF!</v>
          </cell>
          <cell r="AX302" t="e">
            <v>#REF!</v>
          </cell>
          <cell r="AY302" t="e">
            <v>#REF!</v>
          </cell>
          <cell r="AZ302" t="e">
            <v>#REF!</v>
          </cell>
          <cell r="BA302" t="e">
            <v>#REF!</v>
          </cell>
          <cell r="BB302" t="e">
            <v>#REF!</v>
          </cell>
          <cell r="BC302" t="e">
            <v>#REF!</v>
          </cell>
          <cell r="BD302" t="e">
            <v>#REF!</v>
          </cell>
          <cell r="BE302" t="e">
            <v>#REF!</v>
          </cell>
          <cell r="BF302" t="e">
            <v>#REF!</v>
          </cell>
          <cell r="BG302" t="e">
            <v>#REF!</v>
          </cell>
          <cell r="BH302" t="e">
            <v>#REF!</v>
          </cell>
          <cell r="BI302" t="e">
            <v>#REF!</v>
          </cell>
          <cell r="BJ302" t="e">
            <v>#REF!</v>
          </cell>
          <cell r="BK302" t="e">
            <v>#REF!</v>
          </cell>
          <cell r="BL302" t="e">
            <v>#REF!</v>
          </cell>
          <cell r="BM302" t="e">
            <v>#REF!</v>
          </cell>
          <cell r="BN302" t="e">
            <v>#REF!</v>
          </cell>
          <cell r="BO302" t="e">
            <v>#REF!</v>
          </cell>
          <cell r="BP302" t="e">
            <v>#REF!</v>
          </cell>
          <cell r="BQ302" t="e">
            <v>#REF!</v>
          </cell>
          <cell r="BR302" t="e">
            <v>#REF!</v>
          </cell>
          <cell r="BS302" t="e">
            <v>#REF!</v>
          </cell>
          <cell r="BT302" t="e">
            <v>#REF!</v>
          </cell>
          <cell r="BU302" t="e">
            <v>#REF!</v>
          </cell>
        </row>
        <row r="303">
          <cell r="A303" t="str">
            <v>20802MD</v>
          </cell>
          <cell r="B303">
            <v>20802</v>
          </cell>
          <cell r="C303" t="str">
            <v>MD</v>
          </cell>
          <cell r="D303" t="e">
            <v>#REF!</v>
          </cell>
          <cell r="E303" t="e">
            <v>#REF!</v>
          </cell>
          <cell r="F303" t="e">
            <v>#REF!</v>
          </cell>
          <cell r="G303" t="str">
            <v>Y</v>
          </cell>
          <cell r="M303" t="e">
            <v>#REF!</v>
          </cell>
          <cell r="N303" t="e">
            <v>#REF!</v>
          </cell>
          <cell r="O303" t="e">
            <v>#REF!</v>
          </cell>
          <cell r="P303" t="e">
            <v>#REF!</v>
          </cell>
          <cell r="Q303" t="e">
            <v>#REF!</v>
          </cell>
          <cell r="R303" t="e">
            <v>#REF!</v>
          </cell>
          <cell r="S303" t="e">
            <v>#REF!</v>
          </cell>
          <cell r="T303" t="e">
            <v>#REF!</v>
          </cell>
          <cell r="U303" t="e">
            <v>#REF!</v>
          </cell>
          <cell r="V303" t="e">
            <v>#REF!</v>
          </cell>
          <cell r="W303" t="e">
            <v>#REF!</v>
          </cell>
          <cell r="X303" t="e">
            <v>#REF!</v>
          </cell>
          <cell r="Y303" t="e">
            <v>#REF!</v>
          </cell>
          <cell r="Z303" t="e">
            <v>#REF!</v>
          </cell>
          <cell r="AA303" t="e">
            <v>#REF!</v>
          </cell>
          <cell r="AB303" t="e">
            <v>#REF!</v>
          </cell>
          <cell r="AC303" t="e">
            <v>#REF!</v>
          </cell>
          <cell r="AD303" t="e">
            <v>#REF!</v>
          </cell>
          <cell r="AE303" t="e">
            <v>#REF!</v>
          </cell>
          <cell r="AF303" t="e">
            <v>#REF!</v>
          </cell>
          <cell r="AG303" t="e">
            <v>#REF!</v>
          </cell>
          <cell r="AH303" t="e">
            <v>#REF!</v>
          </cell>
          <cell r="AI303" t="e">
            <v>#REF!</v>
          </cell>
          <cell r="AJ303" t="e">
            <v>#REF!</v>
          </cell>
          <cell r="AK303" t="e">
            <v>#REF!</v>
          </cell>
          <cell r="AL303" t="e">
            <v>#REF!</v>
          </cell>
          <cell r="AM303" t="e">
            <v>#REF!</v>
          </cell>
          <cell r="AN303" t="e">
            <v>#REF!</v>
          </cell>
          <cell r="AO303" t="e">
            <v>#REF!</v>
          </cell>
          <cell r="AP303" t="e">
            <v>#REF!</v>
          </cell>
          <cell r="AQ303" t="e">
            <v>#REF!</v>
          </cell>
          <cell r="AR303" t="e">
            <v>#REF!</v>
          </cell>
          <cell r="AS303" t="e">
            <v>#REF!</v>
          </cell>
          <cell r="AT303" t="e">
            <v>#REF!</v>
          </cell>
          <cell r="AU303" t="e">
            <v>#REF!</v>
          </cell>
          <cell r="AV303" t="e">
            <v>#REF!</v>
          </cell>
          <cell r="AW303" t="e">
            <v>#REF!</v>
          </cell>
          <cell r="AX303" t="e">
            <v>#REF!</v>
          </cell>
          <cell r="AY303" t="e">
            <v>#REF!</v>
          </cell>
          <cell r="AZ303" t="e">
            <v>#REF!</v>
          </cell>
          <cell r="BA303" t="e">
            <v>#REF!</v>
          </cell>
          <cell r="BB303" t="e">
            <v>#REF!</v>
          </cell>
          <cell r="BC303" t="e">
            <v>#REF!</v>
          </cell>
          <cell r="BD303" t="e">
            <v>#REF!</v>
          </cell>
          <cell r="BE303" t="e">
            <v>#REF!</v>
          </cell>
          <cell r="BF303" t="e">
            <v>#REF!</v>
          </cell>
          <cell r="BG303" t="e">
            <v>#REF!</v>
          </cell>
          <cell r="BH303" t="e">
            <v>#REF!</v>
          </cell>
          <cell r="BI303" t="e">
            <v>#REF!</v>
          </cell>
          <cell r="BJ303" t="e">
            <v>#REF!</v>
          </cell>
          <cell r="BK303" t="e">
            <v>#REF!</v>
          </cell>
          <cell r="BL303" t="e">
            <v>#REF!</v>
          </cell>
          <cell r="BM303" t="e">
            <v>#REF!</v>
          </cell>
          <cell r="BN303" t="e">
            <v>#REF!</v>
          </cell>
          <cell r="BO303" t="e">
            <v>#REF!</v>
          </cell>
          <cell r="BP303" t="e">
            <v>#REF!</v>
          </cell>
          <cell r="BQ303" t="e">
            <v>#REF!</v>
          </cell>
          <cell r="BR303" t="e">
            <v>#REF!</v>
          </cell>
          <cell r="BS303" t="e">
            <v>#REF!</v>
          </cell>
          <cell r="BT303" t="e">
            <v>#REF!</v>
          </cell>
          <cell r="BU303" t="e">
            <v>#REF!</v>
          </cell>
        </row>
        <row r="304">
          <cell r="A304" t="str">
            <v>20803MD</v>
          </cell>
          <cell r="B304">
            <v>20803</v>
          </cell>
          <cell r="C304" t="str">
            <v>MD</v>
          </cell>
          <cell r="D304" t="e">
            <v>#REF!</v>
          </cell>
          <cell r="E304" t="e">
            <v>#REF!</v>
          </cell>
          <cell r="F304" t="e">
            <v>#REF!</v>
          </cell>
          <cell r="G304" t="str">
            <v>Y</v>
          </cell>
          <cell r="M304" t="e">
            <v>#REF!</v>
          </cell>
          <cell r="N304" t="e">
            <v>#REF!</v>
          </cell>
          <cell r="O304" t="e">
            <v>#REF!</v>
          </cell>
          <cell r="P304" t="e">
            <v>#REF!</v>
          </cell>
          <cell r="Q304" t="e">
            <v>#REF!</v>
          </cell>
          <cell r="R304" t="e">
            <v>#REF!</v>
          </cell>
          <cell r="S304" t="e">
            <v>#REF!</v>
          </cell>
          <cell r="T304" t="e">
            <v>#REF!</v>
          </cell>
          <cell r="U304" t="e">
            <v>#REF!</v>
          </cell>
          <cell r="V304" t="e">
            <v>#REF!</v>
          </cell>
          <cell r="W304" t="e">
            <v>#REF!</v>
          </cell>
          <cell r="X304" t="e">
            <v>#REF!</v>
          </cell>
          <cell r="Y304" t="e">
            <v>#REF!</v>
          </cell>
          <cell r="Z304" t="e">
            <v>#REF!</v>
          </cell>
          <cell r="AA304" t="e">
            <v>#REF!</v>
          </cell>
          <cell r="AB304" t="e">
            <v>#REF!</v>
          </cell>
          <cell r="AC304" t="e">
            <v>#REF!</v>
          </cell>
          <cell r="AD304" t="e">
            <v>#REF!</v>
          </cell>
          <cell r="AE304" t="e">
            <v>#REF!</v>
          </cell>
          <cell r="AF304" t="e">
            <v>#REF!</v>
          </cell>
          <cell r="AG304" t="e">
            <v>#REF!</v>
          </cell>
          <cell r="AH304" t="e">
            <v>#REF!</v>
          </cell>
          <cell r="AI304" t="e">
            <v>#REF!</v>
          </cell>
          <cell r="AJ304" t="e">
            <v>#REF!</v>
          </cell>
          <cell r="AK304" t="e">
            <v>#REF!</v>
          </cell>
          <cell r="AL304" t="e">
            <v>#REF!</v>
          </cell>
          <cell r="AM304" t="e">
            <v>#REF!</v>
          </cell>
          <cell r="AN304" t="e">
            <v>#REF!</v>
          </cell>
          <cell r="AO304" t="e">
            <v>#REF!</v>
          </cell>
          <cell r="AP304" t="e">
            <v>#REF!</v>
          </cell>
          <cell r="AQ304" t="e">
            <v>#REF!</v>
          </cell>
          <cell r="AR304" t="e">
            <v>#REF!</v>
          </cell>
          <cell r="AS304" t="e">
            <v>#REF!</v>
          </cell>
          <cell r="AT304" t="e">
            <v>#REF!</v>
          </cell>
          <cell r="AU304" t="e">
            <v>#REF!</v>
          </cell>
          <cell r="AV304" t="e">
            <v>#REF!</v>
          </cell>
          <cell r="AW304" t="e">
            <v>#REF!</v>
          </cell>
          <cell r="AX304" t="e">
            <v>#REF!</v>
          </cell>
          <cell r="AY304" t="e">
            <v>#REF!</v>
          </cell>
          <cell r="AZ304" t="e">
            <v>#REF!</v>
          </cell>
          <cell r="BA304" t="e">
            <v>#REF!</v>
          </cell>
          <cell r="BB304" t="e">
            <v>#REF!</v>
          </cell>
          <cell r="BC304" t="e">
            <v>#REF!</v>
          </cell>
          <cell r="BD304" t="e">
            <v>#REF!</v>
          </cell>
          <cell r="BE304" t="e">
            <v>#REF!</v>
          </cell>
          <cell r="BF304" t="e">
            <v>#REF!</v>
          </cell>
          <cell r="BG304" t="e">
            <v>#REF!</v>
          </cell>
          <cell r="BH304" t="e">
            <v>#REF!</v>
          </cell>
          <cell r="BI304" t="e">
            <v>#REF!</v>
          </cell>
          <cell r="BJ304" t="e">
            <v>#REF!</v>
          </cell>
          <cell r="BK304" t="e">
            <v>#REF!</v>
          </cell>
          <cell r="BL304" t="e">
            <v>#REF!</v>
          </cell>
          <cell r="BM304" t="e">
            <v>#REF!</v>
          </cell>
          <cell r="BN304" t="e">
            <v>#REF!</v>
          </cell>
          <cell r="BO304" t="e">
            <v>#REF!</v>
          </cell>
          <cell r="BP304" t="e">
            <v>#REF!</v>
          </cell>
          <cell r="BQ304" t="e">
            <v>#REF!</v>
          </cell>
          <cell r="BR304" t="e">
            <v>#REF!</v>
          </cell>
          <cell r="BS304" t="e">
            <v>#REF!</v>
          </cell>
          <cell r="BT304" t="e">
            <v>#REF!</v>
          </cell>
          <cell r="BU304" t="e">
            <v>#REF!</v>
          </cell>
        </row>
        <row r="305">
          <cell r="A305" t="str">
            <v>20803RET</v>
          </cell>
          <cell r="B305">
            <v>20803</v>
          </cell>
          <cell r="C305" t="str">
            <v>RET</v>
          </cell>
          <cell r="D305" t="e">
            <v>#REF!</v>
          </cell>
          <cell r="E305" t="e">
            <v>#REF!</v>
          </cell>
          <cell r="F305" t="e">
            <v>#REF!</v>
          </cell>
          <cell r="G305" t="str">
            <v>Y</v>
          </cell>
          <cell r="M305" t="e">
            <v>#REF!</v>
          </cell>
          <cell r="N305" t="e">
            <v>#REF!</v>
          </cell>
          <cell r="O305" t="e">
            <v>#REF!</v>
          </cell>
          <cell r="P305" t="e">
            <v>#REF!</v>
          </cell>
          <cell r="Q305" t="e">
            <v>#REF!</v>
          </cell>
          <cell r="R305" t="e">
            <v>#REF!</v>
          </cell>
          <cell r="S305" t="e">
            <v>#REF!</v>
          </cell>
          <cell r="T305" t="e">
            <v>#REF!</v>
          </cell>
          <cell r="U305" t="e">
            <v>#REF!</v>
          </cell>
          <cell r="V305" t="e">
            <v>#REF!</v>
          </cell>
          <cell r="W305" t="e">
            <v>#REF!</v>
          </cell>
          <cell r="X305" t="e">
            <v>#REF!</v>
          </cell>
          <cell r="Y305" t="e">
            <v>#REF!</v>
          </cell>
          <cell r="Z305" t="e">
            <v>#REF!</v>
          </cell>
          <cell r="AA305" t="e">
            <v>#REF!</v>
          </cell>
          <cell r="AB305" t="e">
            <v>#REF!</v>
          </cell>
          <cell r="AC305" t="e">
            <v>#REF!</v>
          </cell>
          <cell r="AD305" t="e">
            <v>#REF!</v>
          </cell>
          <cell r="AE305" t="e">
            <v>#REF!</v>
          </cell>
          <cell r="AF305" t="e">
            <v>#REF!</v>
          </cell>
          <cell r="AG305" t="e">
            <v>#REF!</v>
          </cell>
          <cell r="AH305" t="e">
            <v>#REF!</v>
          </cell>
          <cell r="AI305" t="e">
            <v>#REF!</v>
          </cell>
          <cell r="AJ305" t="e">
            <v>#REF!</v>
          </cell>
          <cell r="AK305" t="e">
            <v>#REF!</v>
          </cell>
          <cell r="AL305" t="e">
            <v>#REF!</v>
          </cell>
          <cell r="AM305" t="e">
            <v>#REF!</v>
          </cell>
          <cell r="AN305" t="e">
            <v>#REF!</v>
          </cell>
          <cell r="AO305" t="e">
            <v>#REF!</v>
          </cell>
          <cell r="AP305" t="e">
            <v>#REF!</v>
          </cell>
          <cell r="AQ305" t="e">
            <v>#REF!</v>
          </cell>
          <cell r="AR305" t="e">
            <v>#REF!</v>
          </cell>
          <cell r="AS305" t="e">
            <v>#REF!</v>
          </cell>
          <cell r="AT305" t="e">
            <v>#REF!</v>
          </cell>
          <cell r="AU305" t="e">
            <v>#REF!</v>
          </cell>
          <cell r="AV305" t="e">
            <v>#REF!</v>
          </cell>
          <cell r="AW305" t="e">
            <v>#REF!</v>
          </cell>
          <cell r="AX305" t="e">
            <v>#REF!</v>
          </cell>
          <cell r="AY305" t="e">
            <v>#REF!</v>
          </cell>
          <cell r="AZ305" t="e">
            <v>#REF!</v>
          </cell>
          <cell r="BA305" t="e">
            <v>#REF!</v>
          </cell>
          <cell r="BB305" t="e">
            <v>#REF!</v>
          </cell>
          <cell r="BC305" t="e">
            <v>#REF!</v>
          </cell>
          <cell r="BD305" t="e">
            <v>#REF!</v>
          </cell>
          <cell r="BE305" t="e">
            <v>#REF!</v>
          </cell>
          <cell r="BF305" t="e">
            <v>#REF!</v>
          </cell>
          <cell r="BG305" t="e">
            <v>#REF!</v>
          </cell>
          <cell r="BH305" t="e">
            <v>#REF!</v>
          </cell>
          <cell r="BI305" t="e">
            <v>#REF!</v>
          </cell>
          <cell r="BJ305" t="e">
            <v>#REF!</v>
          </cell>
          <cell r="BK305" t="e">
            <v>#REF!</v>
          </cell>
          <cell r="BL305" t="e">
            <v>#REF!</v>
          </cell>
          <cell r="BM305" t="e">
            <v>#REF!</v>
          </cell>
          <cell r="BN305" t="e">
            <v>#REF!</v>
          </cell>
          <cell r="BO305" t="e">
            <v>#REF!</v>
          </cell>
          <cell r="BP305" t="e">
            <v>#REF!</v>
          </cell>
          <cell r="BQ305" t="e">
            <v>#REF!</v>
          </cell>
          <cell r="BR305" t="e">
            <v>#REF!</v>
          </cell>
          <cell r="BS305" t="e">
            <v>#REF!</v>
          </cell>
          <cell r="BT305" t="e">
            <v>#REF!</v>
          </cell>
          <cell r="BU305" t="e">
            <v>#REF!</v>
          </cell>
        </row>
        <row r="306">
          <cell r="A306" t="str">
            <v>20804MD</v>
          </cell>
          <cell r="B306">
            <v>20804</v>
          </cell>
          <cell r="C306" t="str">
            <v>MD</v>
          </cell>
          <cell r="D306" t="e">
            <v>#REF!</v>
          </cell>
          <cell r="E306" t="e">
            <v>#REF!</v>
          </cell>
          <cell r="F306" t="e">
            <v>#REF!</v>
          </cell>
          <cell r="G306" t="str">
            <v>Y</v>
          </cell>
          <cell r="M306" t="e">
            <v>#REF!</v>
          </cell>
          <cell r="N306" t="e">
            <v>#REF!</v>
          </cell>
          <cell r="O306" t="e">
            <v>#REF!</v>
          </cell>
          <cell r="P306" t="e">
            <v>#REF!</v>
          </cell>
          <cell r="Q306" t="e">
            <v>#REF!</v>
          </cell>
          <cell r="R306" t="e">
            <v>#REF!</v>
          </cell>
          <cell r="S306" t="e">
            <v>#REF!</v>
          </cell>
          <cell r="T306" t="e">
            <v>#REF!</v>
          </cell>
          <cell r="U306" t="e">
            <v>#REF!</v>
          </cell>
          <cell r="V306" t="e">
            <v>#REF!</v>
          </cell>
          <cell r="W306" t="e">
            <v>#REF!</v>
          </cell>
          <cell r="X306" t="e">
            <v>#REF!</v>
          </cell>
          <cell r="Y306" t="e">
            <v>#REF!</v>
          </cell>
          <cell r="Z306" t="e">
            <v>#REF!</v>
          </cell>
          <cell r="AA306" t="e">
            <v>#REF!</v>
          </cell>
          <cell r="AB306" t="e">
            <v>#REF!</v>
          </cell>
          <cell r="AC306" t="e">
            <v>#REF!</v>
          </cell>
          <cell r="AD306" t="e">
            <v>#REF!</v>
          </cell>
          <cell r="AE306" t="e">
            <v>#REF!</v>
          </cell>
          <cell r="AF306" t="e">
            <v>#REF!</v>
          </cell>
          <cell r="AG306" t="e">
            <v>#REF!</v>
          </cell>
          <cell r="AH306" t="e">
            <v>#REF!</v>
          </cell>
          <cell r="AI306" t="e">
            <v>#REF!</v>
          </cell>
          <cell r="AJ306" t="e">
            <v>#REF!</v>
          </cell>
          <cell r="AK306" t="e">
            <v>#REF!</v>
          </cell>
          <cell r="AL306" t="e">
            <v>#REF!</v>
          </cell>
          <cell r="AM306" t="e">
            <v>#REF!</v>
          </cell>
          <cell r="AN306" t="e">
            <v>#REF!</v>
          </cell>
          <cell r="AO306" t="e">
            <v>#REF!</v>
          </cell>
          <cell r="AP306" t="e">
            <v>#REF!</v>
          </cell>
          <cell r="AQ306" t="e">
            <v>#REF!</v>
          </cell>
          <cell r="AR306" t="e">
            <v>#REF!</v>
          </cell>
          <cell r="AS306" t="e">
            <v>#REF!</v>
          </cell>
          <cell r="AT306" t="e">
            <v>#REF!</v>
          </cell>
          <cell r="AU306" t="e">
            <v>#REF!</v>
          </cell>
          <cell r="AV306" t="e">
            <v>#REF!</v>
          </cell>
          <cell r="AW306" t="e">
            <v>#REF!</v>
          </cell>
          <cell r="AX306" t="e">
            <v>#REF!</v>
          </cell>
          <cell r="AY306" t="e">
            <v>#REF!</v>
          </cell>
          <cell r="AZ306" t="e">
            <v>#REF!</v>
          </cell>
          <cell r="BA306" t="e">
            <v>#REF!</v>
          </cell>
          <cell r="BB306" t="e">
            <v>#REF!</v>
          </cell>
          <cell r="BC306" t="e">
            <v>#REF!</v>
          </cell>
          <cell r="BD306" t="e">
            <v>#REF!</v>
          </cell>
          <cell r="BE306" t="e">
            <v>#REF!</v>
          </cell>
          <cell r="BF306" t="e">
            <v>#REF!</v>
          </cell>
          <cell r="BG306" t="e">
            <v>#REF!</v>
          </cell>
          <cell r="BH306" t="e">
            <v>#REF!</v>
          </cell>
          <cell r="BI306" t="e">
            <v>#REF!</v>
          </cell>
          <cell r="BJ306" t="e">
            <v>#REF!</v>
          </cell>
          <cell r="BK306" t="e">
            <v>#REF!</v>
          </cell>
          <cell r="BL306" t="e">
            <v>#REF!</v>
          </cell>
          <cell r="BM306" t="e">
            <v>#REF!</v>
          </cell>
          <cell r="BN306" t="e">
            <v>#REF!</v>
          </cell>
          <cell r="BO306" t="e">
            <v>#REF!</v>
          </cell>
          <cell r="BP306" t="e">
            <v>#REF!</v>
          </cell>
          <cell r="BQ306" t="e">
            <v>#REF!</v>
          </cell>
          <cell r="BR306" t="e">
            <v>#REF!</v>
          </cell>
          <cell r="BS306" t="e">
            <v>#REF!</v>
          </cell>
          <cell r="BT306" t="e">
            <v>#REF!</v>
          </cell>
          <cell r="BU306" t="e">
            <v>#REF!</v>
          </cell>
        </row>
        <row r="307">
          <cell r="A307" t="str">
            <v>20805MD</v>
          </cell>
          <cell r="B307">
            <v>20805</v>
          </cell>
          <cell r="C307" t="str">
            <v>MD</v>
          </cell>
          <cell r="D307" t="e">
            <v>#REF!</v>
          </cell>
          <cell r="E307" t="e">
            <v>#REF!</v>
          </cell>
          <cell r="F307" t="e">
            <v>#REF!</v>
          </cell>
          <cell r="G307" t="str">
            <v>Y</v>
          </cell>
          <cell r="M307" t="e">
            <v>#REF!</v>
          </cell>
          <cell r="N307" t="e">
            <v>#REF!</v>
          </cell>
          <cell r="O307" t="e">
            <v>#REF!</v>
          </cell>
          <cell r="P307" t="e">
            <v>#REF!</v>
          </cell>
          <cell r="Q307" t="e">
            <v>#REF!</v>
          </cell>
          <cell r="R307" t="e">
            <v>#REF!</v>
          </cell>
          <cell r="S307" t="e">
            <v>#REF!</v>
          </cell>
          <cell r="T307" t="e">
            <v>#REF!</v>
          </cell>
          <cell r="U307" t="e">
            <v>#REF!</v>
          </cell>
          <cell r="V307" t="e">
            <v>#REF!</v>
          </cell>
          <cell r="W307" t="e">
            <v>#REF!</v>
          </cell>
          <cell r="X307" t="e">
            <v>#REF!</v>
          </cell>
          <cell r="Y307" t="e">
            <v>#REF!</v>
          </cell>
          <cell r="Z307" t="e">
            <v>#REF!</v>
          </cell>
          <cell r="AA307" t="e">
            <v>#REF!</v>
          </cell>
          <cell r="AB307" t="e">
            <v>#REF!</v>
          </cell>
          <cell r="AC307" t="e">
            <v>#REF!</v>
          </cell>
          <cell r="AD307" t="e">
            <v>#REF!</v>
          </cell>
          <cell r="AE307" t="e">
            <v>#REF!</v>
          </cell>
          <cell r="AF307" t="e">
            <v>#REF!</v>
          </cell>
          <cell r="AG307" t="e">
            <v>#REF!</v>
          </cell>
          <cell r="AH307" t="e">
            <v>#REF!</v>
          </cell>
          <cell r="AI307" t="e">
            <v>#REF!</v>
          </cell>
          <cell r="AJ307" t="e">
            <v>#REF!</v>
          </cell>
          <cell r="AK307" t="e">
            <v>#REF!</v>
          </cell>
          <cell r="AL307" t="e">
            <v>#REF!</v>
          </cell>
          <cell r="AM307" t="e">
            <v>#REF!</v>
          </cell>
          <cell r="AN307" t="e">
            <v>#REF!</v>
          </cell>
          <cell r="AO307" t="e">
            <v>#REF!</v>
          </cell>
          <cell r="AP307" t="e">
            <v>#REF!</v>
          </cell>
          <cell r="AQ307" t="e">
            <v>#REF!</v>
          </cell>
          <cell r="AR307" t="e">
            <v>#REF!</v>
          </cell>
          <cell r="AS307" t="e">
            <v>#REF!</v>
          </cell>
          <cell r="AT307" t="e">
            <v>#REF!</v>
          </cell>
          <cell r="AU307" t="e">
            <v>#REF!</v>
          </cell>
          <cell r="AV307" t="e">
            <v>#REF!</v>
          </cell>
          <cell r="AW307" t="e">
            <v>#REF!</v>
          </cell>
          <cell r="AX307" t="e">
            <v>#REF!</v>
          </cell>
          <cell r="AY307" t="e">
            <v>#REF!</v>
          </cell>
          <cell r="AZ307" t="e">
            <v>#REF!</v>
          </cell>
          <cell r="BA307" t="e">
            <v>#REF!</v>
          </cell>
          <cell r="BB307" t="e">
            <v>#REF!</v>
          </cell>
          <cell r="BC307" t="e">
            <v>#REF!</v>
          </cell>
          <cell r="BD307" t="e">
            <v>#REF!</v>
          </cell>
          <cell r="BE307" t="e">
            <v>#REF!</v>
          </cell>
          <cell r="BF307" t="e">
            <v>#REF!</v>
          </cell>
          <cell r="BG307" t="e">
            <v>#REF!</v>
          </cell>
          <cell r="BH307" t="e">
            <v>#REF!</v>
          </cell>
          <cell r="BI307" t="e">
            <v>#REF!</v>
          </cell>
          <cell r="BJ307" t="e">
            <v>#REF!</v>
          </cell>
          <cell r="BK307" t="e">
            <v>#REF!</v>
          </cell>
          <cell r="BL307" t="e">
            <v>#REF!</v>
          </cell>
          <cell r="BM307" t="e">
            <v>#REF!</v>
          </cell>
          <cell r="BN307" t="e">
            <v>#REF!</v>
          </cell>
          <cell r="BO307" t="e">
            <v>#REF!</v>
          </cell>
          <cell r="BP307" t="e">
            <v>#REF!</v>
          </cell>
          <cell r="BQ307" t="e">
            <v>#REF!</v>
          </cell>
          <cell r="BR307" t="e">
            <v>#REF!</v>
          </cell>
          <cell r="BS307" t="e">
            <v>#REF!</v>
          </cell>
          <cell r="BT307" t="e">
            <v>#REF!</v>
          </cell>
          <cell r="BU307" t="e">
            <v>#REF!</v>
          </cell>
        </row>
        <row r="308">
          <cell r="A308" t="str">
            <v>20805RET</v>
          </cell>
          <cell r="B308">
            <v>20805</v>
          </cell>
          <cell r="C308" t="str">
            <v>RET</v>
          </cell>
          <cell r="D308" t="e">
            <v>#REF!</v>
          </cell>
          <cell r="E308" t="e">
            <v>#REF!</v>
          </cell>
          <cell r="F308" t="e">
            <v>#REF!</v>
          </cell>
          <cell r="G308" t="str">
            <v>Y</v>
          </cell>
          <cell r="M308" t="e">
            <v>#REF!</v>
          </cell>
          <cell r="N308" t="e">
            <v>#REF!</v>
          </cell>
          <cell r="O308" t="e">
            <v>#REF!</v>
          </cell>
          <cell r="P308" t="e">
            <v>#REF!</v>
          </cell>
          <cell r="Q308" t="e">
            <v>#REF!</v>
          </cell>
          <cell r="R308" t="e">
            <v>#REF!</v>
          </cell>
          <cell r="S308" t="e">
            <v>#REF!</v>
          </cell>
          <cell r="T308" t="e">
            <v>#REF!</v>
          </cell>
          <cell r="U308" t="e">
            <v>#REF!</v>
          </cell>
          <cell r="V308" t="e">
            <v>#REF!</v>
          </cell>
          <cell r="W308" t="e">
            <v>#REF!</v>
          </cell>
          <cell r="X308" t="e">
            <v>#REF!</v>
          </cell>
          <cell r="Y308" t="e">
            <v>#REF!</v>
          </cell>
          <cell r="Z308" t="e">
            <v>#REF!</v>
          </cell>
          <cell r="AA308" t="e">
            <v>#REF!</v>
          </cell>
          <cell r="AB308" t="e">
            <v>#REF!</v>
          </cell>
          <cell r="AC308" t="e">
            <v>#REF!</v>
          </cell>
          <cell r="AD308" t="e">
            <v>#REF!</v>
          </cell>
          <cell r="AE308" t="e">
            <v>#REF!</v>
          </cell>
          <cell r="AF308" t="e">
            <v>#REF!</v>
          </cell>
          <cell r="AG308" t="e">
            <v>#REF!</v>
          </cell>
          <cell r="AH308" t="e">
            <v>#REF!</v>
          </cell>
          <cell r="AI308" t="e">
            <v>#REF!</v>
          </cell>
          <cell r="AJ308" t="e">
            <v>#REF!</v>
          </cell>
          <cell r="AK308" t="e">
            <v>#REF!</v>
          </cell>
          <cell r="AL308" t="e">
            <v>#REF!</v>
          </cell>
          <cell r="AM308" t="e">
            <v>#REF!</v>
          </cell>
          <cell r="AN308" t="e">
            <v>#REF!</v>
          </cell>
          <cell r="AO308" t="e">
            <v>#REF!</v>
          </cell>
          <cell r="AP308" t="e">
            <v>#REF!</v>
          </cell>
          <cell r="AQ308" t="e">
            <v>#REF!</v>
          </cell>
          <cell r="AR308" t="e">
            <v>#REF!</v>
          </cell>
          <cell r="AS308" t="e">
            <v>#REF!</v>
          </cell>
          <cell r="AT308" t="e">
            <v>#REF!</v>
          </cell>
          <cell r="AU308" t="e">
            <v>#REF!</v>
          </cell>
          <cell r="AV308" t="e">
            <v>#REF!</v>
          </cell>
          <cell r="AW308" t="e">
            <v>#REF!</v>
          </cell>
          <cell r="AX308" t="e">
            <v>#REF!</v>
          </cell>
          <cell r="AY308" t="e">
            <v>#REF!</v>
          </cell>
          <cell r="AZ308" t="e">
            <v>#REF!</v>
          </cell>
          <cell r="BA308" t="e">
            <v>#REF!</v>
          </cell>
          <cell r="BB308" t="e">
            <v>#REF!</v>
          </cell>
          <cell r="BC308" t="e">
            <v>#REF!</v>
          </cell>
          <cell r="BD308" t="e">
            <v>#REF!</v>
          </cell>
          <cell r="BE308" t="e">
            <v>#REF!</v>
          </cell>
          <cell r="BF308" t="e">
            <v>#REF!</v>
          </cell>
          <cell r="BG308" t="e">
            <v>#REF!</v>
          </cell>
          <cell r="BH308" t="e">
            <v>#REF!</v>
          </cell>
          <cell r="BI308" t="e">
            <v>#REF!</v>
          </cell>
          <cell r="BJ308" t="e">
            <v>#REF!</v>
          </cell>
          <cell r="BK308" t="e">
            <v>#REF!</v>
          </cell>
          <cell r="BL308" t="e">
            <v>#REF!</v>
          </cell>
          <cell r="BM308" t="e">
            <v>#REF!</v>
          </cell>
          <cell r="BN308" t="e">
            <v>#REF!</v>
          </cell>
          <cell r="BO308" t="e">
            <v>#REF!</v>
          </cell>
          <cell r="BP308" t="e">
            <v>#REF!</v>
          </cell>
          <cell r="BQ308" t="e">
            <v>#REF!</v>
          </cell>
          <cell r="BR308" t="e">
            <v>#REF!</v>
          </cell>
          <cell r="BS308" t="e">
            <v>#REF!</v>
          </cell>
          <cell r="BT308" t="e">
            <v>#REF!</v>
          </cell>
          <cell r="BU308" t="e">
            <v>#REF!</v>
          </cell>
        </row>
        <row r="309">
          <cell r="A309" t="str">
            <v>20806MD</v>
          </cell>
          <cell r="B309">
            <v>20806</v>
          </cell>
          <cell r="C309" t="str">
            <v>MD</v>
          </cell>
          <cell r="D309" t="str">
            <v>Refrigeration</v>
          </cell>
          <cell r="E309" t="str">
            <v>Evaporator Fan Motor Replacement</v>
          </cell>
          <cell r="F309" t="str">
            <v>C</v>
          </cell>
          <cell r="G309" t="str">
            <v>Y</v>
          </cell>
          <cell r="M309" t="str">
            <v>NC, RENO, REPL</v>
          </cell>
          <cell r="N309" t="str">
            <v>PSC evaporator fan motor in refrigerated/freezer display cases or walk-in coolers</v>
          </cell>
          <cell r="O309">
            <v>2021</v>
          </cell>
          <cell r="P309">
            <v>2030</v>
          </cell>
          <cell r="Q309" t="str">
            <v>Large Grocery</v>
          </cell>
          <cell r="R309" t="str">
            <v/>
          </cell>
          <cell r="S309">
            <v>0</v>
          </cell>
          <cell r="T309">
            <v>0</v>
          </cell>
          <cell r="U309">
            <v>0</v>
          </cell>
          <cell r="V309">
            <v>0</v>
          </cell>
          <cell r="W309">
            <v>0.3370393956406818</v>
          </cell>
          <cell r="X309" t="str">
            <v>-</v>
          </cell>
          <cell r="Y309" t="str">
            <v>3,8</v>
          </cell>
          <cell r="Z309" t="str">
            <v>3,8</v>
          </cell>
          <cell r="AA309">
            <v>0</v>
          </cell>
          <cell r="AB309">
            <v>0</v>
          </cell>
          <cell r="AC309">
            <v>0</v>
          </cell>
          <cell r="AD309">
            <v>0.43606098635263002</v>
          </cell>
          <cell r="AE309">
            <v>8</v>
          </cell>
          <cell r="AF309">
            <v>8</v>
          </cell>
          <cell r="AG309">
            <v>0</v>
          </cell>
          <cell r="AH309">
            <v>0</v>
          </cell>
          <cell r="AI309">
            <v>0</v>
          </cell>
          <cell r="AJ309">
            <v>0</v>
          </cell>
          <cell r="AK309">
            <v>0</v>
          </cell>
          <cell r="AL309" t="str">
            <v>-</v>
          </cell>
          <cell r="AM309" t="str">
            <v>-</v>
          </cell>
          <cell r="AN309" t="str">
            <v/>
          </cell>
          <cell r="AO309">
            <v>0</v>
          </cell>
          <cell r="AP309" t="str">
            <v>-</v>
          </cell>
          <cell r="AQ309">
            <v>0</v>
          </cell>
          <cell r="AR309" t="str">
            <v>-</v>
          </cell>
          <cell r="AS309">
            <v>0</v>
          </cell>
          <cell r="AT309" t="str">
            <v/>
          </cell>
          <cell r="AU309">
            <v>0</v>
          </cell>
          <cell r="AV309" t="str">
            <v>-</v>
          </cell>
          <cell r="AW309">
            <v>0</v>
          </cell>
          <cell r="AX309" t="str">
            <v>-</v>
          </cell>
          <cell r="AY309">
            <v>0</v>
          </cell>
          <cell r="AZ309" t="str">
            <v/>
          </cell>
          <cell r="BA309">
            <v>0</v>
          </cell>
          <cell r="BB309" t="str">
            <v>-</v>
          </cell>
          <cell r="BC309">
            <v>0</v>
          </cell>
          <cell r="BD309" t="str">
            <v>-</v>
          </cell>
          <cell r="BE309">
            <v>0</v>
          </cell>
          <cell r="BF309" t="str">
            <v/>
          </cell>
          <cell r="BG309">
            <v>0</v>
          </cell>
          <cell r="BH309" t="str">
            <v>-</v>
          </cell>
          <cell r="BI309">
            <v>0</v>
          </cell>
          <cell r="BJ309" t="str">
            <v>-</v>
          </cell>
          <cell r="BK309">
            <v>0</v>
          </cell>
          <cell r="BL309">
            <v>0</v>
          </cell>
          <cell r="BM309" t="str">
            <v>-</v>
          </cell>
          <cell r="BN309">
            <v>15</v>
          </cell>
          <cell r="BO309" t="str">
            <v/>
          </cell>
          <cell r="BP309">
            <v>0</v>
          </cell>
          <cell r="BQ309">
            <v>0</v>
          </cell>
          <cell r="BR309" t="str">
            <v>-</v>
          </cell>
          <cell r="BS309">
            <v>0</v>
          </cell>
          <cell r="BT309">
            <v>0</v>
          </cell>
          <cell r="BU309" t="str">
            <v>-</v>
          </cell>
        </row>
        <row r="310">
          <cell r="A310" t="str">
            <v>20806RET</v>
          </cell>
          <cell r="B310">
            <v>20806</v>
          </cell>
          <cell r="C310" t="str">
            <v>RET</v>
          </cell>
          <cell r="D310" t="str">
            <v>Refrigeration</v>
          </cell>
          <cell r="E310" t="str">
            <v>Evaporator Fan Motor Replacement</v>
          </cell>
          <cell r="F310" t="str">
            <v>C</v>
          </cell>
          <cell r="G310" t="str">
            <v>Y</v>
          </cell>
          <cell r="M310" t="str">
            <v>RET</v>
          </cell>
          <cell r="N310" t="str">
            <v>Existing, working standard-efficiency shaded-pole evaporator fan motor in refrigerated/freezer display cases or walk-in coolers</v>
          </cell>
          <cell r="O310">
            <v>2021</v>
          </cell>
          <cell r="P310">
            <v>2030</v>
          </cell>
          <cell r="Q310" t="str">
            <v>Large Grocery</v>
          </cell>
          <cell r="R310" t="str">
            <v/>
          </cell>
          <cell r="S310">
            <v>0</v>
          </cell>
          <cell r="T310">
            <v>0</v>
          </cell>
          <cell r="U310">
            <v>0</v>
          </cell>
          <cell r="V310">
            <v>0</v>
          </cell>
          <cell r="W310">
            <v>0.58717081324139297</v>
          </cell>
          <cell r="X310" t="str">
            <v>-</v>
          </cell>
          <cell r="Y310" t="str">
            <v>3,8</v>
          </cell>
          <cell r="Z310" t="str">
            <v>3,8</v>
          </cell>
          <cell r="AA310">
            <v>0</v>
          </cell>
          <cell r="AB310">
            <v>0</v>
          </cell>
          <cell r="AC310">
            <v>0</v>
          </cell>
          <cell r="AD310">
            <v>0.18509515622919862</v>
          </cell>
          <cell r="AE310">
            <v>8</v>
          </cell>
          <cell r="AF310">
            <v>8</v>
          </cell>
          <cell r="AG310">
            <v>0</v>
          </cell>
          <cell r="AH310">
            <v>0</v>
          </cell>
          <cell r="AI310">
            <v>0</v>
          </cell>
          <cell r="AJ310">
            <v>0</v>
          </cell>
          <cell r="AK310">
            <v>0</v>
          </cell>
          <cell r="AL310" t="str">
            <v>-</v>
          </cell>
          <cell r="AM310" t="str">
            <v>-</v>
          </cell>
          <cell r="AN310" t="str">
            <v/>
          </cell>
          <cell r="AO310">
            <v>0</v>
          </cell>
          <cell r="AP310" t="str">
            <v>-</v>
          </cell>
          <cell r="AQ310">
            <v>0</v>
          </cell>
          <cell r="AR310" t="str">
            <v>-</v>
          </cell>
          <cell r="AS310">
            <v>0</v>
          </cell>
          <cell r="AT310" t="str">
            <v/>
          </cell>
          <cell r="AU310">
            <v>0</v>
          </cell>
          <cell r="AV310" t="str">
            <v>-</v>
          </cell>
          <cell r="AW310">
            <v>0</v>
          </cell>
          <cell r="AX310" t="str">
            <v>-</v>
          </cell>
          <cell r="AY310">
            <v>0</v>
          </cell>
          <cell r="AZ310" t="str">
            <v/>
          </cell>
          <cell r="BA310">
            <v>0</v>
          </cell>
          <cell r="BB310" t="str">
            <v>-</v>
          </cell>
          <cell r="BC310">
            <v>0</v>
          </cell>
          <cell r="BD310" t="str">
            <v>-</v>
          </cell>
          <cell r="BE310">
            <v>0</v>
          </cell>
          <cell r="BF310" t="str">
            <v/>
          </cell>
          <cell r="BG310">
            <v>0</v>
          </cell>
          <cell r="BH310" t="str">
            <v>-</v>
          </cell>
          <cell r="BI310">
            <v>0</v>
          </cell>
          <cell r="BJ310" t="str">
            <v>-</v>
          </cell>
          <cell r="BK310">
            <v>0</v>
          </cell>
          <cell r="BL310">
            <v>0</v>
          </cell>
          <cell r="BM310" t="str">
            <v>-</v>
          </cell>
          <cell r="BN310">
            <v>15</v>
          </cell>
          <cell r="BO310" t="str">
            <v/>
          </cell>
          <cell r="BP310">
            <v>0</v>
          </cell>
          <cell r="BQ310">
            <v>0</v>
          </cell>
          <cell r="BR310" t="str">
            <v>-</v>
          </cell>
          <cell r="BS310">
            <v>0</v>
          </cell>
          <cell r="BT310">
            <v>0</v>
          </cell>
          <cell r="BU310" t="str">
            <v>-</v>
          </cell>
        </row>
        <row r="311">
          <cell r="A311" t="str">
            <v>20807MD</v>
          </cell>
          <cell r="B311">
            <v>20807</v>
          </cell>
          <cell r="C311" t="str">
            <v>MD</v>
          </cell>
          <cell r="D311" t="e">
            <v>#REF!</v>
          </cell>
          <cell r="E311" t="e">
            <v>#REF!</v>
          </cell>
          <cell r="F311" t="e">
            <v>#REF!</v>
          </cell>
          <cell r="G311" t="str">
            <v>Y</v>
          </cell>
          <cell r="M311" t="e">
            <v>#REF!</v>
          </cell>
          <cell r="N311" t="e">
            <v>#REF!</v>
          </cell>
          <cell r="O311" t="e">
            <v>#REF!</v>
          </cell>
          <cell r="P311" t="e">
            <v>#REF!</v>
          </cell>
          <cell r="Q311" t="e">
            <v>#REF!</v>
          </cell>
          <cell r="R311" t="e">
            <v>#REF!</v>
          </cell>
          <cell r="S311" t="e">
            <v>#REF!</v>
          </cell>
          <cell r="T311" t="e">
            <v>#REF!</v>
          </cell>
          <cell r="U311" t="e">
            <v>#REF!</v>
          </cell>
          <cell r="V311" t="e">
            <v>#REF!</v>
          </cell>
          <cell r="W311" t="e">
            <v>#REF!</v>
          </cell>
          <cell r="X311" t="e">
            <v>#REF!</v>
          </cell>
          <cell r="Y311" t="e">
            <v>#REF!</v>
          </cell>
          <cell r="Z311" t="e">
            <v>#REF!</v>
          </cell>
          <cell r="AA311" t="e">
            <v>#REF!</v>
          </cell>
          <cell r="AB311" t="e">
            <v>#REF!</v>
          </cell>
          <cell r="AC311" t="e">
            <v>#REF!</v>
          </cell>
          <cell r="AD311" t="e">
            <v>#REF!</v>
          </cell>
          <cell r="AE311" t="e">
            <v>#REF!</v>
          </cell>
          <cell r="AF311" t="e">
            <v>#REF!</v>
          </cell>
          <cell r="AG311" t="e">
            <v>#REF!</v>
          </cell>
          <cell r="AH311" t="e">
            <v>#REF!</v>
          </cell>
          <cell r="AI311" t="e">
            <v>#REF!</v>
          </cell>
          <cell r="AJ311" t="e">
            <v>#REF!</v>
          </cell>
          <cell r="AK311" t="e">
            <v>#REF!</v>
          </cell>
          <cell r="AL311" t="e">
            <v>#REF!</v>
          </cell>
          <cell r="AM311" t="e">
            <v>#REF!</v>
          </cell>
          <cell r="AN311" t="e">
            <v>#REF!</v>
          </cell>
          <cell r="AO311" t="e">
            <v>#REF!</v>
          </cell>
          <cell r="AP311" t="e">
            <v>#REF!</v>
          </cell>
          <cell r="AQ311" t="e">
            <v>#REF!</v>
          </cell>
          <cell r="AR311" t="e">
            <v>#REF!</v>
          </cell>
          <cell r="AS311" t="e">
            <v>#REF!</v>
          </cell>
          <cell r="AT311" t="e">
            <v>#REF!</v>
          </cell>
          <cell r="AU311" t="e">
            <v>#REF!</v>
          </cell>
          <cell r="AV311" t="e">
            <v>#REF!</v>
          </cell>
          <cell r="AW311" t="e">
            <v>#REF!</v>
          </cell>
          <cell r="AX311" t="e">
            <v>#REF!</v>
          </cell>
          <cell r="AY311" t="e">
            <v>#REF!</v>
          </cell>
          <cell r="AZ311" t="e">
            <v>#REF!</v>
          </cell>
          <cell r="BA311" t="e">
            <v>#REF!</v>
          </cell>
          <cell r="BB311" t="e">
            <v>#REF!</v>
          </cell>
          <cell r="BC311" t="e">
            <v>#REF!</v>
          </cell>
          <cell r="BD311" t="e">
            <v>#REF!</v>
          </cell>
          <cell r="BE311" t="e">
            <v>#REF!</v>
          </cell>
          <cell r="BF311" t="e">
            <v>#REF!</v>
          </cell>
          <cell r="BG311" t="e">
            <v>#REF!</v>
          </cell>
          <cell r="BH311" t="e">
            <v>#REF!</v>
          </cell>
          <cell r="BI311" t="e">
            <v>#REF!</v>
          </cell>
          <cell r="BJ311" t="e">
            <v>#REF!</v>
          </cell>
          <cell r="BK311" t="e">
            <v>#REF!</v>
          </cell>
          <cell r="BL311" t="e">
            <v>#REF!</v>
          </cell>
          <cell r="BM311" t="e">
            <v>#REF!</v>
          </cell>
          <cell r="BN311" t="e">
            <v>#REF!</v>
          </cell>
          <cell r="BO311" t="e">
            <v>#REF!</v>
          </cell>
          <cell r="BP311" t="e">
            <v>#REF!</v>
          </cell>
          <cell r="BQ311" t="e">
            <v>#REF!</v>
          </cell>
          <cell r="BR311" t="e">
            <v>#REF!</v>
          </cell>
          <cell r="BS311" t="e">
            <v>#REF!</v>
          </cell>
          <cell r="BT311" t="e">
            <v>#REF!</v>
          </cell>
          <cell r="BU311" t="e">
            <v>#REF!</v>
          </cell>
        </row>
        <row r="312">
          <cell r="A312" t="str">
            <v>20807RET</v>
          </cell>
          <cell r="B312">
            <v>20807</v>
          </cell>
          <cell r="C312" t="str">
            <v>RET</v>
          </cell>
          <cell r="D312" t="e">
            <v>#REF!</v>
          </cell>
          <cell r="E312" t="e">
            <v>#REF!</v>
          </cell>
          <cell r="F312" t="e">
            <v>#REF!</v>
          </cell>
          <cell r="G312" t="str">
            <v>Y</v>
          </cell>
          <cell r="M312" t="e">
            <v>#REF!</v>
          </cell>
          <cell r="N312" t="e">
            <v>#REF!</v>
          </cell>
          <cell r="O312" t="e">
            <v>#REF!</v>
          </cell>
          <cell r="P312" t="e">
            <v>#REF!</v>
          </cell>
          <cell r="Q312" t="e">
            <v>#REF!</v>
          </cell>
          <cell r="R312" t="e">
            <v>#REF!</v>
          </cell>
          <cell r="S312" t="e">
            <v>#REF!</v>
          </cell>
          <cell r="T312" t="e">
            <v>#REF!</v>
          </cell>
          <cell r="U312" t="e">
            <v>#REF!</v>
          </cell>
          <cell r="V312" t="e">
            <v>#REF!</v>
          </cell>
          <cell r="W312" t="e">
            <v>#REF!</v>
          </cell>
          <cell r="X312" t="e">
            <v>#REF!</v>
          </cell>
          <cell r="Y312" t="e">
            <v>#REF!</v>
          </cell>
          <cell r="Z312" t="e">
            <v>#REF!</v>
          </cell>
          <cell r="AA312" t="e">
            <v>#REF!</v>
          </cell>
          <cell r="AB312" t="e">
            <v>#REF!</v>
          </cell>
          <cell r="AC312" t="e">
            <v>#REF!</v>
          </cell>
          <cell r="AD312" t="e">
            <v>#REF!</v>
          </cell>
          <cell r="AE312" t="e">
            <v>#REF!</v>
          </cell>
          <cell r="AF312" t="e">
            <v>#REF!</v>
          </cell>
          <cell r="AG312" t="e">
            <v>#REF!</v>
          </cell>
          <cell r="AH312" t="e">
            <v>#REF!</v>
          </cell>
          <cell r="AI312" t="e">
            <v>#REF!</v>
          </cell>
          <cell r="AJ312" t="e">
            <v>#REF!</v>
          </cell>
          <cell r="AK312" t="e">
            <v>#REF!</v>
          </cell>
          <cell r="AL312" t="e">
            <v>#REF!</v>
          </cell>
          <cell r="AM312" t="e">
            <v>#REF!</v>
          </cell>
          <cell r="AN312" t="e">
            <v>#REF!</v>
          </cell>
          <cell r="AO312" t="e">
            <v>#REF!</v>
          </cell>
          <cell r="AP312" t="e">
            <v>#REF!</v>
          </cell>
          <cell r="AQ312" t="e">
            <v>#REF!</v>
          </cell>
          <cell r="AR312" t="e">
            <v>#REF!</v>
          </cell>
          <cell r="AS312" t="e">
            <v>#REF!</v>
          </cell>
          <cell r="AT312" t="e">
            <v>#REF!</v>
          </cell>
          <cell r="AU312" t="e">
            <v>#REF!</v>
          </cell>
          <cell r="AV312" t="e">
            <v>#REF!</v>
          </cell>
          <cell r="AW312" t="e">
            <v>#REF!</v>
          </cell>
          <cell r="AX312" t="e">
            <v>#REF!</v>
          </cell>
          <cell r="AY312" t="e">
            <v>#REF!</v>
          </cell>
          <cell r="AZ312" t="e">
            <v>#REF!</v>
          </cell>
          <cell r="BA312" t="e">
            <v>#REF!</v>
          </cell>
          <cell r="BB312" t="e">
            <v>#REF!</v>
          </cell>
          <cell r="BC312" t="e">
            <v>#REF!</v>
          </cell>
          <cell r="BD312" t="e">
            <v>#REF!</v>
          </cell>
          <cell r="BE312" t="e">
            <v>#REF!</v>
          </cell>
          <cell r="BF312" t="e">
            <v>#REF!</v>
          </cell>
          <cell r="BG312" t="e">
            <v>#REF!</v>
          </cell>
          <cell r="BH312" t="e">
            <v>#REF!</v>
          </cell>
          <cell r="BI312" t="e">
            <v>#REF!</v>
          </cell>
          <cell r="BJ312" t="e">
            <v>#REF!</v>
          </cell>
          <cell r="BK312" t="e">
            <v>#REF!</v>
          </cell>
          <cell r="BL312" t="e">
            <v>#REF!</v>
          </cell>
          <cell r="BM312" t="e">
            <v>#REF!</v>
          </cell>
          <cell r="BN312" t="e">
            <v>#REF!</v>
          </cell>
          <cell r="BO312" t="e">
            <v>#REF!</v>
          </cell>
          <cell r="BP312" t="e">
            <v>#REF!</v>
          </cell>
          <cell r="BQ312" t="e">
            <v>#REF!</v>
          </cell>
          <cell r="BR312" t="e">
            <v>#REF!</v>
          </cell>
          <cell r="BS312" t="e">
            <v>#REF!</v>
          </cell>
          <cell r="BT312" t="e">
            <v>#REF!</v>
          </cell>
          <cell r="BU312" t="e">
            <v>#REF!</v>
          </cell>
        </row>
        <row r="313">
          <cell r="A313" t="str">
            <v>20808RET</v>
          </cell>
          <cell r="B313">
            <v>20808</v>
          </cell>
          <cell r="C313" t="str">
            <v>RET</v>
          </cell>
          <cell r="D313" t="str">
            <v>Refrigeration</v>
          </cell>
          <cell r="E313" t="str">
            <v>Evaporator Coil Defrost Control</v>
          </cell>
          <cell r="F313" t="str">
            <v>C</v>
          </cell>
          <cell r="G313" t="str">
            <v>Y</v>
          </cell>
          <cell r="M313" t="str">
            <v>RET</v>
          </cell>
          <cell r="N313" t="str">
            <v>Freezer refrigeration system with no defrost controls</v>
          </cell>
          <cell r="O313">
            <v>2021</v>
          </cell>
          <cell r="P313">
            <v>2030</v>
          </cell>
          <cell r="Q313" t="str">
            <v>Large Grocery</v>
          </cell>
          <cell r="R313" t="str">
            <v/>
          </cell>
          <cell r="S313">
            <v>0</v>
          </cell>
          <cell r="T313">
            <v>0</v>
          </cell>
          <cell r="U313">
            <v>0</v>
          </cell>
          <cell r="V313">
            <v>195.26264999999998</v>
          </cell>
          <cell r="W313">
            <v>0.44549999999999995</v>
          </cell>
          <cell r="X313" t="str">
            <v>-</v>
          </cell>
          <cell r="Y313">
            <v>3</v>
          </cell>
          <cell r="Z313">
            <v>3</v>
          </cell>
          <cell r="AA313">
            <v>0</v>
          </cell>
          <cell r="AB313">
            <v>0</v>
          </cell>
          <cell r="AC313">
            <v>63</v>
          </cell>
          <cell r="AD313">
            <v>0.32264234865193114</v>
          </cell>
          <cell r="AE313">
            <v>12</v>
          </cell>
          <cell r="AF313">
            <v>12</v>
          </cell>
          <cell r="AG313">
            <v>0</v>
          </cell>
          <cell r="AH313">
            <v>0</v>
          </cell>
          <cell r="AI313">
            <v>0</v>
          </cell>
          <cell r="AJ313">
            <v>0</v>
          </cell>
          <cell r="AK313">
            <v>0</v>
          </cell>
          <cell r="AL313" t="str">
            <v>-</v>
          </cell>
          <cell r="AM313" t="str">
            <v>-</v>
          </cell>
          <cell r="AN313" t="str">
            <v/>
          </cell>
          <cell r="AO313">
            <v>0</v>
          </cell>
          <cell r="AP313" t="str">
            <v>-</v>
          </cell>
          <cell r="AQ313">
            <v>0</v>
          </cell>
          <cell r="AR313" t="str">
            <v>-</v>
          </cell>
          <cell r="AS313">
            <v>0</v>
          </cell>
          <cell r="AT313" t="str">
            <v/>
          </cell>
          <cell r="AU313">
            <v>0</v>
          </cell>
          <cell r="AV313" t="str">
            <v>-</v>
          </cell>
          <cell r="AW313">
            <v>0</v>
          </cell>
          <cell r="AX313" t="str">
            <v>-</v>
          </cell>
          <cell r="AY313">
            <v>0</v>
          </cell>
          <cell r="AZ313" t="str">
            <v/>
          </cell>
          <cell r="BA313">
            <v>0</v>
          </cell>
          <cell r="BB313" t="str">
            <v>-</v>
          </cell>
          <cell r="BC313">
            <v>0</v>
          </cell>
          <cell r="BD313" t="str">
            <v>-</v>
          </cell>
          <cell r="BE313">
            <v>0</v>
          </cell>
          <cell r="BF313" t="str">
            <v/>
          </cell>
          <cell r="BG313">
            <v>0</v>
          </cell>
          <cell r="BH313" t="str">
            <v>-</v>
          </cell>
          <cell r="BI313">
            <v>0</v>
          </cell>
          <cell r="BJ313" t="str">
            <v>-</v>
          </cell>
          <cell r="BK313">
            <v>0</v>
          </cell>
          <cell r="BL313">
            <v>0</v>
          </cell>
          <cell r="BM313" t="str">
            <v>-</v>
          </cell>
          <cell r="BN313">
            <v>10</v>
          </cell>
          <cell r="BO313" t="str">
            <v/>
          </cell>
          <cell r="BP313">
            <v>0</v>
          </cell>
          <cell r="BQ313">
            <v>0</v>
          </cell>
          <cell r="BR313" t="str">
            <v>-</v>
          </cell>
          <cell r="BS313">
            <v>0</v>
          </cell>
          <cell r="BT313">
            <v>0</v>
          </cell>
          <cell r="BU313" t="str">
            <v>-</v>
          </cell>
        </row>
        <row r="314">
          <cell r="A314" t="str">
            <v>20809RET</v>
          </cell>
          <cell r="B314">
            <v>20809</v>
          </cell>
          <cell r="C314" t="str">
            <v>RET</v>
          </cell>
          <cell r="D314" t="e">
            <v>#REF!</v>
          </cell>
          <cell r="E314" t="e">
            <v>#REF!</v>
          </cell>
          <cell r="F314" t="e">
            <v>#REF!</v>
          </cell>
          <cell r="G314" t="str">
            <v>Y</v>
          </cell>
          <cell r="M314" t="e">
            <v>#REF!</v>
          </cell>
          <cell r="N314" t="e">
            <v>#REF!</v>
          </cell>
          <cell r="O314" t="e">
            <v>#REF!</v>
          </cell>
          <cell r="P314" t="e">
            <v>#REF!</v>
          </cell>
          <cell r="Q314" t="e">
            <v>#REF!</v>
          </cell>
          <cell r="R314" t="e">
            <v>#REF!</v>
          </cell>
          <cell r="S314" t="e">
            <v>#REF!</v>
          </cell>
          <cell r="T314" t="e">
            <v>#REF!</v>
          </cell>
          <cell r="U314" t="e">
            <v>#REF!</v>
          </cell>
          <cell r="V314" t="e">
            <v>#REF!</v>
          </cell>
          <cell r="W314" t="e">
            <v>#REF!</v>
          </cell>
          <cell r="X314" t="e">
            <v>#REF!</v>
          </cell>
          <cell r="Y314" t="e">
            <v>#REF!</v>
          </cell>
          <cell r="Z314" t="e">
            <v>#REF!</v>
          </cell>
          <cell r="AA314" t="e">
            <v>#REF!</v>
          </cell>
          <cell r="AB314" t="e">
            <v>#REF!</v>
          </cell>
          <cell r="AC314" t="e">
            <v>#REF!</v>
          </cell>
          <cell r="AD314" t="e">
            <v>#REF!</v>
          </cell>
          <cell r="AE314" t="e">
            <v>#REF!</v>
          </cell>
          <cell r="AF314" t="e">
            <v>#REF!</v>
          </cell>
          <cell r="AG314" t="e">
            <v>#REF!</v>
          </cell>
          <cell r="AH314" t="e">
            <v>#REF!</v>
          </cell>
          <cell r="AI314" t="e">
            <v>#REF!</v>
          </cell>
          <cell r="AJ314" t="e">
            <v>#REF!</v>
          </cell>
          <cell r="AK314" t="e">
            <v>#REF!</v>
          </cell>
          <cell r="AL314" t="e">
            <v>#REF!</v>
          </cell>
          <cell r="AM314" t="e">
            <v>#REF!</v>
          </cell>
          <cell r="AN314" t="e">
            <v>#REF!</v>
          </cell>
          <cell r="AO314" t="e">
            <v>#REF!</v>
          </cell>
          <cell r="AP314" t="e">
            <v>#REF!</v>
          </cell>
          <cell r="AQ314" t="e">
            <v>#REF!</v>
          </cell>
          <cell r="AR314" t="e">
            <v>#REF!</v>
          </cell>
          <cell r="AS314" t="e">
            <v>#REF!</v>
          </cell>
          <cell r="AT314" t="e">
            <v>#REF!</v>
          </cell>
          <cell r="AU314" t="e">
            <v>#REF!</v>
          </cell>
          <cell r="AV314" t="e">
            <v>#REF!</v>
          </cell>
          <cell r="AW314" t="e">
            <v>#REF!</v>
          </cell>
          <cell r="AX314" t="e">
            <v>#REF!</v>
          </cell>
          <cell r="AY314" t="e">
            <v>#REF!</v>
          </cell>
          <cell r="AZ314" t="e">
            <v>#REF!</v>
          </cell>
          <cell r="BA314" t="e">
            <v>#REF!</v>
          </cell>
          <cell r="BB314" t="e">
            <v>#REF!</v>
          </cell>
          <cell r="BC314" t="e">
            <v>#REF!</v>
          </cell>
          <cell r="BD314" t="e">
            <v>#REF!</v>
          </cell>
          <cell r="BE314" t="e">
            <v>#REF!</v>
          </cell>
          <cell r="BF314" t="e">
            <v>#REF!</v>
          </cell>
          <cell r="BG314" t="e">
            <v>#REF!</v>
          </cell>
          <cell r="BH314" t="e">
            <v>#REF!</v>
          </cell>
          <cell r="BI314" t="e">
            <v>#REF!</v>
          </cell>
          <cell r="BJ314" t="e">
            <v>#REF!</v>
          </cell>
          <cell r="BK314" t="e">
            <v>#REF!</v>
          </cell>
          <cell r="BL314" t="e">
            <v>#REF!</v>
          </cell>
          <cell r="BM314" t="e">
            <v>#REF!</v>
          </cell>
          <cell r="BN314" t="e">
            <v>#REF!</v>
          </cell>
          <cell r="BO314" t="e">
            <v>#REF!</v>
          </cell>
          <cell r="BP314" t="e">
            <v>#REF!</v>
          </cell>
          <cell r="BQ314" t="e">
            <v>#REF!</v>
          </cell>
          <cell r="BR314" t="e">
            <v>#REF!</v>
          </cell>
          <cell r="BS314" t="e">
            <v>#REF!</v>
          </cell>
          <cell r="BT314" t="e">
            <v>#REF!</v>
          </cell>
          <cell r="BU314" t="e">
            <v>#REF!</v>
          </cell>
        </row>
        <row r="315">
          <cell r="A315" t="str">
            <v>20810RET</v>
          </cell>
          <cell r="B315">
            <v>20810</v>
          </cell>
          <cell r="C315" t="str">
            <v>RET</v>
          </cell>
          <cell r="D315" t="str">
            <v>Refrigeration</v>
          </cell>
          <cell r="E315" t="str">
            <v>Suction Pipe Insulation for Walk-In Coolers and Freezers</v>
          </cell>
          <cell r="F315" t="str">
            <v>C</v>
          </cell>
          <cell r="G315" t="str">
            <v>Y</v>
          </cell>
          <cell r="M315" t="str">
            <v>RET</v>
          </cell>
          <cell r="N315" t="str">
            <v>Existing bare suction lines</v>
          </cell>
          <cell r="O315">
            <v>2021</v>
          </cell>
          <cell r="P315">
            <v>2030</v>
          </cell>
          <cell r="Q315" t="str">
            <v>Large Grocery</v>
          </cell>
          <cell r="R315" t="str">
            <v/>
          </cell>
          <cell r="S315">
            <v>0</v>
          </cell>
          <cell r="T315">
            <v>0</v>
          </cell>
          <cell r="U315">
            <v>0</v>
          </cell>
          <cell r="V315">
            <v>94.196623529411767</v>
          </cell>
          <cell r="W315">
            <v>0.92161937332470656</v>
          </cell>
          <cell r="X315" t="str">
            <v>-</v>
          </cell>
          <cell r="Y315">
            <v>3</v>
          </cell>
          <cell r="Z315">
            <v>3</v>
          </cell>
          <cell r="AA315">
            <v>0</v>
          </cell>
          <cell r="AB315">
            <v>0</v>
          </cell>
          <cell r="AC315">
            <v>0.90999999999999992</v>
          </cell>
          <cell r="AD315">
            <v>9.6606435125125619E-3</v>
          </cell>
          <cell r="AE315">
            <v>45</v>
          </cell>
          <cell r="AF315">
            <v>45</v>
          </cell>
          <cell r="AG315">
            <v>0</v>
          </cell>
          <cell r="AH315">
            <v>0</v>
          </cell>
          <cell r="AI315">
            <v>0</v>
          </cell>
          <cell r="AJ315">
            <v>0</v>
          </cell>
          <cell r="AK315">
            <v>0</v>
          </cell>
          <cell r="AL315" t="str">
            <v>-</v>
          </cell>
          <cell r="AM315" t="str">
            <v>-</v>
          </cell>
          <cell r="AN315" t="str">
            <v/>
          </cell>
          <cell r="AO315">
            <v>0</v>
          </cell>
          <cell r="AP315" t="str">
            <v>-</v>
          </cell>
          <cell r="AQ315">
            <v>0</v>
          </cell>
          <cell r="AR315" t="str">
            <v>-</v>
          </cell>
          <cell r="AS315">
            <v>0</v>
          </cell>
          <cell r="AT315" t="str">
            <v/>
          </cell>
          <cell r="AU315">
            <v>0</v>
          </cell>
          <cell r="AV315" t="str">
            <v>-</v>
          </cell>
          <cell r="AW315">
            <v>0</v>
          </cell>
          <cell r="AX315" t="str">
            <v>-</v>
          </cell>
          <cell r="AY315">
            <v>0</v>
          </cell>
          <cell r="AZ315" t="str">
            <v/>
          </cell>
          <cell r="BA315">
            <v>0</v>
          </cell>
          <cell r="BB315" t="str">
            <v>-</v>
          </cell>
          <cell r="BC315">
            <v>0</v>
          </cell>
          <cell r="BD315" t="str">
            <v>-</v>
          </cell>
          <cell r="BE315">
            <v>0</v>
          </cell>
          <cell r="BF315" t="str">
            <v/>
          </cell>
          <cell r="BG315">
            <v>0</v>
          </cell>
          <cell r="BH315" t="str">
            <v>-</v>
          </cell>
          <cell r="BI315">
            <v>0</v>
          </cell>
          <cell r="BJ315" t="str">
            <v>-</v>
          </cell>
          <cell r="BK315">
            <v>0</v>
          </cell>
          <cell r="BL315">
            <v>0</v>
          </cell>
          <cell r="BM315" t="str">
            <v>-</v>
          </cell>
          <cell r="BN315">
            <v>11</v>
          </cell>
          <cell r="BO315" t="str">
            <v/>
          </cell>
          <cell r="BP315">
            <v>0</v>
          </cell>
          <cell r="BQ315">
            <v>0</v>
          </cell>
          <cell r="BR315" t="str">
            <v>-</v>
          </cell>
          <cell r="BS315">
            <v>0</v>
          </cell>
          <cell r="BT315">
            <v>0</v>
          </cell>
          <cell r="BU315" t="str">
            <v>-</v>
          </cell>
        </row>
        <row r="316">
          <cell r="A316" t="str">
            <v>20811MD</v>
          </cell>
          <cell r="B316">
            <v>20811</v>
          </cell>
          <cell r="C316" t="str">
            <v>MD</v>
          </cell>
          <cell r="D316" t="str">
            <v>Refrigeration</v>
          </cell>
          <cell r="E316" t="str">
            <v>Anti Sweat Heat Control</v>
          </cell>
          <cell r="F316" t="str">
            <v>C</v>
          </cell>
          <cell r="G316" t="str">
            <v>Y</v>
          </cell>
          <cell r="M316" t="str">
            <v>NC, RENO</v>
          </cell>
          <cell r="N316" t="str">
            <v>Reach-in coolers and freezers with standard, low, or no-heat doors</v>
          </cell>
          <cell r="O316">
            <v>2021</v>
          </cell>
          <cell r="P316">
            <v>2030</v>
          </cell>
          <cell r="Q316" t="str">
            <v>Large Grocery</v>
          </cell>
          <cell r="R316" t="str">
            <v/>
          </cell>
          <cell r="S316">
            <v>0</v>
          </cell>
          <cell r="T316">
            <v>0</v>
          </cell>
          <cell r="U316">
            <v>0</v>
          </cell>
          <cell r="V316">
            <v>0</v>
          </cell>
          <cell r="W316">
            <v>0.57194707879639395</v>
          </cell>
          <cell r="X316" t="str">
            <v>-</v>
          </cell>
          <cell r="Y316">
            <v>3</v>
          </cell>
          <cell r="Z316">
            <v>3</v>
          </cell>
          <cell r="AA316">
            <v>0</v>
          </cell>
          <cell r="AB316">
            <v>0</v>
          </cell>
          <cell r="AC316">
            <v>0</v>
          </cell>
          <cell r="AD316">
            <v>0.42841389989651368</v>
          </cell>
          <cell r="AE316">
            <v>8</v>
          </cell>
          <cell r="AF316">
            <v>8</v>
          </cell>
          <cell r="AG316">
            <v>0</v>
          </cell>
          <cell r="AH316">
            <v>0</v>
          </cell>
          <cell r="AI316">
            <v>0</v>
          </cell>
          <cell r="AJ316">
            <v>0</v>
          </cell>
          <cell r="AK316">
            <v>0</v>
          </cell>
          <cell r="AL316" t="str">
            <v>-</v>
          </cell>
          <cell r="AM316" t="str">
            <v>-</v>
          </cell>
          <cell r="AN316" t="str">
            <v/>
          </cell>
          <cell r="AO316">
            <v>0</v>
          </cell>
          <cell r="AP316" t="str">
            <v>-</v>
          </cell>
          <cell r="AQ316">
            <v>0</v>
          </cell>
          <cell r="AR316" t="str">
            <v>-</v>
          </cell>
          <cell r="AS316">
            <v>0</v>
          </cell>
          <cell r="AT316" t="str">
            <v/>
          </cell>
          <cell r="AU316">
            <v>0</v>
          </cell>
          <cell r="AV316" t="str">
            <v>-</v>
          </cell>
          <cell r="AW316">
            <v>0</v>
          </cell>
          <cell r="AX316" t="str">
            <v>-</v>
          </cell>
          <cell r="AY316">
            <v>0</v>
          </cell>
          <cell r="AZ316" t="str">
            <v/>
          </cell>
          <cell r="BA316">
            <v>0</v>
          </cell>
          <cell r="BB316" t="str">
            <v>-</v>
          </cell>
          <cell r="BC316">
            <v>0</v>
          </cell>
          <cell r="BD316" t="str">
            <v>-</v>
          </cell>
          <cell r="BE316">
            <v>0</v>
          </cell>
          <cell r="BF316" t="str">
            <v/>
          </cell>
          <cell r="BG316">
            <v>0</v>
          </cell>
          <cell r="BH316" t="str">
            <v>-</v>
          </cell>
          <cell r="BI316">
            <v>0</v>
          </cell>
          <cell r="BJ316" t="str">
            <v>-</v>
          </cell>
          <cell r="BK316">
            <v>0</v>
          </cell>
          <cell r="BL316">
            <v>0</v>
          </cell>
          <cell r="BM316" t="str">
            <v>-</v>
          </cell>
          <cell r="BN316">
            <v>12</v>
          </cell>
          <cell r="BO316" t="str">
            <v/>
          </cell>
          <cell r="BP316">
            <v>0</v>
          </cell>
          <cell r="BQ316">
            <v>0</v>
          </cell>
          <cell r="BR316" t="str">
            <v>-</v>
          </cell>
          <cell r="BS316">
            <v>0</v>
          </cell>
          <cell r="BT316">
            <v>0</v>
          </cell>
          <cell r="BU316" t="str">
            <v>-</v>
          </cell>
        </row>
        <row r="317">
          <cell r="A317" t="str">
            <v>20811RET</v>
          </cell>
          <cell r="B317">
            <v>20811</v>
          </cell>
          <cell r="C317" t="str">
            <v>RET</v>
          </cell>
          <cell r="D317" t="str">
            <v>Refrigeration</v>
          </cell>
          <cell r="E317" t="str">
            <v>Anti Sweat Heat Control</v>
          </cell>
          <cell r="F317" t="str">
            <v>C</v>
          </cell>
          <cell r="G317" t="str">
            <v>Y</v>
          </cell>
          <cell r="M317" t="str">
            <v>RET</v>
          </cell>
          <cell r="N317" t="str">
            <v>Reach-in coolers and freezers with standard, low, or no-heat doors</v>
          </cell>
          <cell r="O317">
            <v>2021</v>
          </cell>
          <cell r="P317">
            <v>2030</v>
          </cell>
          <cell r="Q317" t="str">
            <v>Large Grocery</v>
          </cell>
          <cell r="R317" t="str">
            <v/>
          </cell>
          <cell r="S317">
            <v>0</v>
          </cell>
          <cell r="T317">
            <v>0</v>
          </cell>
          <cell r="U317">
            <v>0</v>
          </cell>
          <cell r="V317">
            <v>0</v>
          </cell>
          <cell r="W317">
            <v>0.57194707879639395</v>
          </cell>
          <cell r="X317" t="str">
            <v>-</v>
          </cell>
          <cell r="Y317">
            <v>3</v>
          </cell>
          <cell r="Z317">
            <v>3</v>
          </cell>
          <cell r="AA317">
            <v>0</v>
          </cell>
          <cell r="AB317">
            <v>0</v>
          </cell>
          <cell r="AC317">
            <v>0</v>
          </cell>
          <cell r="AD317">
            <v>0.42841389989651368</v>
          </cell>
          <cell r="AE317">
            <v>8</v>
          </cell>
          <cell r="AF317">
            <v>8</v>
          </cell>
          <cell r="AG317">
            <v>0</v>
          </cell>
          <cell r="AH317">
            <v>0</v>
          </cell>
          <cell r="AI317">
            <v>0</v>
          </cell>
          <cell r="AJ317">
            <v>0</v>
          </cell>
          <cell r="AK317">
            <v>0</v>
          </cell>
          <cell r="AL317" t="str">
            <v>-</v>
          </cell>
          <cell r="AM317" t="str">
            <v>-</v>
          </cell>
          <cell r="AN317" t="str">
            <v/>
          </cell>
          <cell r="AO317">
            <v>0</v>
          </cell>
          <cell r="AP317" t="str">
            <v>-</v>
          </cell>
          <cell r="AQ317">
            <v>0</v>
          </cell>
          <cell r="AR317" t="str">
            <v>-</v>
          </cell>
          <cell r="AS317">
            <v>0</v>
          </cell>
          <cell r="AT317" t="str">
            <v/>
          </cell>
          <cell r="AU317">
            <v>0</v>
          </cell>
          <cell r="AV317" t="str">
            <v>-</v>
          </cell>
          <cell r="AW317">
            <v>0</v>
          </cell>
          <cell r="AX317" t="str">
            <v>-</v>
          </cell>
          <cell r="AY317">
            <v>0</v>
          </cell>
          <cell r="AZ317" t="str">
            <v/>
          </cell>
          <cell r="BA317">
            <v>0</v>
          </cell>
          <cell r="BB317" t="str">
            <v>-</v>
          </cell>
          <cell r="BC317">
            <v>0</v>
          </cell>
          <cell r="BD317" t="str">
            <v>-</v>
          </cell>
          <cell r="BE317">
            <v>0</v>
          </cell>
          <cell r="BF317" t="str">
            <v/>
          </cell>
          <cell r="BG317">
            <v>0</v>
          </cell>
          <cell r="BH317" t="str">
            <v>-</v>
          </cell>
          <cell r="BI317">
            <v>0</v>
          </cell>
          <cell r="BJ317" t="str">
            <v>-</v>
          </cell>
          <cell r="BK317">
            <v>0</v>
          </cell>
          <cell r="BL317">
            <v>0</v>
          </cell>
          <cell r="BM317" t="str">
            <v>-</v>
          </cell>
          <cell r="BN317">
            <v>12</v>
          </cell>
          <cell r="BO317" t="str">
            <v/>
          </cell>
          <cell r="BP317">
            <v>0</v>
          </cell>
          <cell r="BQ317">
            <v>0</v>
          </cell>
          <cell r="BR317" t="str">
            <v>-</v>
          </cell>
          <cell r="BS317">
            <v>0</v>
          </cell>
          <cell r="BT317">
            <v>0</v>
          </cell>
          <cell r="BU317" t="str">
            <v>-</v>
          </cell>
        </row>
        <row r="318">
          <cell r="A318" t="str">
            <v>20812RET</v>
          </cell>
          <cell r="B318">
            <v>20812</v>
          </cell>
          <cell r="C318" t="str">
            <v>RET</v>
          </cell>
          <cell r="D318" t="str">
            <v>Refrigeration</v>
          </cell>
          <cell r="E318" t="str">
            <v>Refrigerator or Freezer Door Gasket Replacement</v>
          </cell>
          <cell r="F318" t="str">
            <v>C</v>
          </cell>
          <cell r="G318" t="str">
            <v>Y</v>
          </cell>
          <cell r="M318" t="str">
            <v>RET</v>
          </cell>
          <cell r="N318" t="str">
            <v>Worn or damage door gasket</v>
          </cell>
          <cell r="O318">
            <v>2021</v>
          </cell>
          <cell r="P318">
            <v>2030</v>
          </cell>
          <cell r="Q318" t="str">
            <v>Large Grocery</v>
          </cell>
          <cell r="R318" t="str">
            <v/>
          </cell>
          <cell r="S318">
            <v>0</v>
          </cell>
          <cell r="T318">
            <v>0</v>
          </cell>
          <cell r="U318">
            <v>0</v>
          </cell>
          <cell r="V318">
            <v>275.5</v>
          </cell>
          <cell r="W318">
            <v>1.1127555774817739E-2</v>
          </cell>
          <cell r="X318" t="str">
            <v>-</v>
          </cell>
          <cell r="Y318" t="str">
            <v>3,12</v>
          </cell>
          <cell r="Z318" t="str">
            <v>3,12</v>
          </cell>
          <cell r="AA318">
            <v>0</v>
          </cell>
          <cell r="AB318">
            <v>0</v>
          </cell>
          <cell r="AC318">
            <v>155.04135000000002</v>
          </cell>
          <cell r="AD318">
            <v>0.56276352087114345</v>
          </cell>
          <cell r="AE318">
            <v>12</v>
          </cell>
          <cell r="AF318">
            <v>12</v>
          </cell>
          <cell r="AG318">
            <v>0</v>
          </cell>
          <cell r="AH318">
            <v>0</v>
          </cell>
          <cell r="AI318">
            <v>0</v>
          </cell>
          <cell r="AJ318">
            <v>0</v>
          </cell>
          <cell r="AK318">
            <v>0</v>
          </cell>
          <cell r="AL318" t="str">
            <v>-</v>
          </cell>
          <cell r="AM318" t="str">
            <v>-</v>
          </cell>
          <cell r="AN318" t="str">
            <v/>
          </cell>
          <cell r="AO318">
            <v>0</v>
          </cell>
          <cell r="AP318" t="str">
            <v>-</v>
          </cell>
          <cell r="AQ318">
            <v>0</v>
          </cell>
          <cell r="AR318" t="str">
            <v>-</v>
          </cell>
          <cell r="AS318">
            <v>0</v>
          </cell>
          <cell r="AT318" t="str">
            <v/>
          </cell>
          <cell r="AU318">
            <v>0</v>
          </cell>
          <cell r="AV318" t="str">
            <v>-</v>
          </cell>
          <cell r="AW318">
            <v>0</v>
          </cell>
          <cell r="AX318" t="str">
            <v>-</v>
          </cell>
          <cell r="AY318">
            <v>0</v>
          </cell>
          <cell r="AZ318" t="str">
            <v/>
          </cell>
          <cell r="BA318">
            <v>0</v>
          </cell>
          <cell r="BB318" t="str">
            <v>-</v>
          </cell>
          <cell r="BC318">
            <v>0</v>
          </cell>
          <cell r="BD318" t="str">
            <v>-</v>
          </cell>
          <cell r="BE318">
            <v>0</v>
          </cell>
          <cell r="BF318" t="str">
            <v/>
          </cell>
          <cell r="BG318">
            <v>0</v>
          </cell>
          <cell r="BH318" t="str">
            <v>-</v>
          </cell>
          <cell r="BI318">
            <v>0</v>
          </cell>
          <cell r="BJ318" t="str">
            <v>-</v>
          </cell>
          <cell r="BK318">
            <v>0</v>
          </cell>
          <cell r="BL318">
            <v>0</v>
          </cell>
          <cell r="BM318" t="str">
            <v>-</v>
          </cell>
          <cell r="BN318">
            <v>4</v>
          </cell>
          <cell r="BO318" t="str">
            <v/>
          </cell>
          <cell r="BP318">
            <v>0</v>
          </cell>
          <cell r="BQ318">
            <v>0</v>
          </cell>
          <cell r="BR318" t="str">
            <v>-</v>
          </cell>
          <cell r="BS318">
            <v>0</v>
          </cell>
          <cell r="BT318">
            <v>0</v>
          </cell>
          <cell r="BU318" t="str">
            <v>-</v>
          </cell>
        </row>
        <row r="319">
          <cell r="A319" t="str">
            <v>20813RET</v>
          </cell>
          <cell r="B319">
            <v>20813</v>
          </cell>
          <cell r="C319" t="str">
            <v>RET</v>
          </cell>
          <cell r="D319" t="e">
            <v>#REF!</v>
          </cell>
          <cell r="E319" t="e">
            <v>#REF!</v>
          </cell>
          <cell r="F319" t="e">
            <v>#REF!</v>
          </cell>
          <cell r="G319" t="str">
            <v>Y</v>
          </cell>
          <cell r="M319" t="e">
            <v>#REF!</v>
          </cell>
          <cell r="N319" t="e">
            <v>#REF!</v>
          </cell>
          <cell r="O319" t="e">
            <v>#REF!</v>
          </cell>
          <cell r="P319" t="e">
            <v>#REF!</v>
          </cell>
          <cell r="Q319" t="e">
            <v>#REF!</v>
          </cell>
          <cell r="R319" t="e">
            <v>#REF!</v>
          </cell>
          <cell r="S319" t="e">
            <v>#REF!</v>
          </cell>
          <cell r="T319" t="e">
            <v>#REF!</v>
          </cell>
          <cell r="U319" t="e">
            <v>#REF!</v>
          </cell>
          <cell r="V319" t="e">
            <v>#REF!</v>
          </cell>
          <cell r="W319" t="e">
            <v>#REF!</v>
          </cell>
          <cell r="X319" t="e">
            <v>#REF!</v>
          </cell>
          <cell r="Y319" t="e">
            <v>#REF!</v>
          </cell>
          <cell r="Z319" t="e">
            <v>#REF!</v>
          </cell>
          <cell r="AA319" t="e">
            <v>#REF!</v>
          </cell>
          <cell r="AB319" t="e">
            <v>#REF!</v>
          </cell>
          <cell r="AC319" t="e">
            <v>#REF!</v>
          </cell>
          <cell r="AD319" t="e">
            <v>#REF!</v>
          </cell>
          <cell r="AE319" t="e">
            <v>#REF!</v>
          </cell>
          <cell r="AF319" t="e">
            <v>#REF!</v>
          </cell>
          <cell r="AG319" t="e">
            <v>#REF!</v>
          </cell>
          <cell r="AH319" t="e">
            <v>#REF!</v>
          </cell>
          <cell r="AI319" t="e">
            <v>#REF!</v>
          </cell>
          <cell r="AJ319" t="e">
            <v>#REF!</v>
          </cell>
          <cell r="AK319" t="e">
            <v>#REF!</v>
          </cell>
          <cell r="AL319" t="e">
            <v>#REF!</v>
          </cell>
          <cell r="AM319" t="e">
            <v>#REF!</v>
          </cell>
          <cell r="AN319" t="e">
            <v>#REF!</v>
          </cell>
          <cell r="AO319" t="e">
            <v>#REF!</v>
          </cell>
          <cell r="AP319" t="e">
            <v>#REF!</v>
          </cell>
          <cell r="AQ319" t="e">
            <v>#REF!</v>
          </cell>
          <cell r="AR319" t="e">
            <v>#REF!</v>
          </cell>
          <cell r="AS319" t="e">
            <v>#REF!</v>
          </cell>
          <cell r="AT319" t="e">
            <v>#REF!</v>
          </cell>
          <cell r="AU319" t="e">
            <v>#REF!</v>
          </cell>
          <cell r="AV319" t="e">
            <v>#REF!</v>
          </cell>
          <cell r="AW319" t="e">
            <v>#REF!</v>
          </cell>
          <cell r="AX319" t="e">
            <v>#REF!</v>
          </cell>
          <cell r="AY319" t="e">
            <v>#REF!</v>
          </cell>
          <cell r="AZ319" t="e">
            <v>#REF!</v>
          </cell>
          <cell r="BA319" t="e">
            <v>#REF!</v>
          </cell>
          <cell r="BB319" t="e">
            <v>#REF!</v>
          </cell>
          <cell r="BC319" t="e">
            <v>#REF!</v>
          </cell>
          <cell r="BD319" t="e">
            <v>#REF!</v>
          </cell>
          <cell r="BE319" t="e">
            <v>#REF!</v>
          </cell>
          <cell r="BF319" t="e">
            <v>#REF!</v>
          </cell>
          <cell r="BG319" t="e">
            <v>#REF!</v>
          </cell>
          <cell r="BH319" t="e">
            <v>#REF!</v>
          </cell>
          <cell r="BI319" t="e">
            <v>#REF!</v>
          </cell>
          <cell r="BJ319" t="e">
            <v>#REF!</v>
          </cell>
          <cell r="BK319" t="e">
            <v>#REF!</v>
          </cell>
          <cell r="BL319" t="e">
            <v>#REF!</v>
          </cell>
          <cell r="BM319" t="e">
            <v>#REF!</v>
          </cell>
          <cell r="BN319" t="e">
            <v>#REF!</v>
          </cell>
          <cell r="BO319" t="e">
            <v>#REF!</v>
          </cell>
          <cell r="BP319" t="e">
            <v>#REF!</v>
          </cell>
          <cell r="BQ319" t="e">
            <v>#REF!</v>
          </cell>
          <cell r="BR319" t="e">
            <v>#REF!</v>
          </cell>
          <cell r="BS319" t="e">
            <v>#REF!</v>
          </cell>
          <cell r="BT319" t="e">
            <v>#REF!</v>
          </cell>
          <cell r="BU319" t="e">
            <v>#REF!</v>
          </cell>
        </row>
        <row r="320">
          <cell r="A320" t="str">
            <v>20814RET</v>
          </cell>
          <cell r="B320">
            <v>20814</v>
          </cell>
          <cell r="C320" t="str">
            <v>RET</v>
          </cell>
          <cell r="D320" t="e">
            <v>#REF!</v>
          </cell>
          <cell r="E320" t="e">
            <v>#REF!</v>
          </cell>
          <cell r="F320" t="e">
            <v>#REF!</v>
          </cell>
          <cell r="G320" t="str">
            <v>Y</v>
          </cell>
          <cell r="M320" t="e">
            <v>#REF!</v>
          </cell>
          <cell r="N320" t="e">
            <v>#REF!</v>
          </cell>
          <cell r="O320" t="e">
            <v>#REF!</v>
          </cell>
          <cell r="P320" t="e">
            <v>#REF!</v>
          </cell>
          <cell r="Q320" t="e">
            <v>#REF!</v>
          </cell>
          <cell r="R320" t="e">
            <v>#REF!</v>
          </cell>
          <cell r="S320" t="e">
            <v>#REF!</v>
          </cell>
          <cell r="T320" t="e">
            <v>#REF!</v>
          </cell>
          <cell r="U320" t="e">
            <v>#REF!</v>
          </cell>
          <cell r="V320" t="e">
            <v>#REF!</v>
          </cell>
          <cell r="W320" t="e">
            <v>#REF!</v>
          </cell>
          <cell r="X320" t="e">
            <v>#REF!</v>
          </cell>
          <cell r="Y320" t="e">
            <v>#REF!</v>
          </cell>
          <cell r="Z320" t="e">
            <v>#REF!</v>
          </cell>
          <cell r="AA320" t="e">
            <v>#REF!</v>
          </cell>
          <cell r="AB320" t="e">
            <v>#REF!</v>
          </cell>
          <cell r="AC320" t="e">
            <v>#REF!</v>
          </cell>
          <cell r="AD320" t="e">
            <v>#REF!</v>
          </cell>
          <cell r="AE320" t="e">
            <v>#REF!</v>
          </cell>
          <cell r="AF320" t="e">
            <v>#REF!</v>
          </cell>
          <cell r="AG320" t="e">
            <v>#REF!</v>
          </cell>
          <cell r="AH320" t="e">
            <v>#REF!</v>
          </cell>
          <cell r="AI320" t="e">
            <v>#REF!</v>
          </cell>
          <cell r="AJ320" t="e">
            <v>#REF!</v>
          </cell>
          <cell r="AK320" t="e">
            <v>#REF!</v>
          </cell>
          <cell r="AL320" t="e">
            <v>#REF!</v>
          </cell>
          <cell r="AM320" t="e">
            <v>#REF!</v>
          </cell>
          <cell r="AN320" t="e">
            <v>#REF!</v>
          </cell>
          <cell r="AO320" t="e">
            <v>#REF!</v>
          </cell>
          <cell r="AP320" t="e">
            <v>#REF!</v>
          </cell>
          <cell r="AQ320" t="e">
            <v>#REF!</v>
          </cell>
          <cell r="AR320" t="e">
            <v>#REF!</v>
          </cell>
          <cell r="AS320" t="e">
            <v>#REF!</v>
          </cell>
          <cell r="AT320" t="e">
            <v>#REF!</v>
          </cell>
          <cell r="AU320" t="e">
            <v>#REF!</v>
          </cell>
          <cell r="AV320" t="e">
            <v>#REF!</v>
          </cell>
          <cell r="AW320" t="e">
            <v>#REF!</v>
          </cell>
          <cell r="AX320" t="e">
            <v>#REF!</v>
          </cell>
          <cell r="AY320" t="e">
            <v>#REF!</v>
          </cell>
          <cell r="AZ320" t="e">
            <v>#REF!</v>
          </cell>
          <cell r="BA320" t="e">
            <v>#REF!</v>
          </cell>
          <cell r="BB320" t="e">
            <v>#REF!</v>
          </cell>
          <cell r="BC320" t="e">
            <v>#REF!</v>
          </cell>
          <cell r="BD320" t="e">
            <v>#REF!</v>
          </cell>
          <cell r="BE320" t="e">
            <v>#REF!</v>
          </cell>
          <cell r="BF320" t="e">
            <v>#REF!</v>
          </cell>
          <cell r="BG320" t="e">
            <v>#REF!</v>
          </cell>
          <cell r="BH320" t="e">
            <v>#REF!</v>
          </cell>
          <cell r="BI320" t="e">
            <v>#REF!</v>
          </cell>
          <cell r="BJ320" t="e">
            <v>#REF!</v>
          </cell>
          <cell r="BK320" t="e">
            <v>#REF!</v>
          </cell>
          <cell r="BL320" t="e">
            <v>#REF!</v>
          </cell>
          <cell r="BM320" t="e">
            <v>#REF!</v>
          </cell>
          <cell r="BN320" t="e">
            <v>#REF!</v>
          </cell>
          <cell r="BO320" t="e">
            <v>#REF!</v>
          </cell>
          <cell r="BP320" t="e">
            <v>#REF!</v>
          </cell>
          <cell r="BQ320" t="e">
            <v>#REF!</v>
          </cell>
          <cell r="BR320" t="e">
            <v>#REF!</v>
          </cell>
          <cell r="BS320" t="e">
            <v>#REF!</v>
          </cell>
          <cell r="BT320" t="e">
            <v>#REF!</v>
          </cell>
          <cell r="BU320" t="e">
            <v>#REF!</v>
          </cell>
        </row>
        <row r="321">
          <cell r="A321" t="str">
            <v>20815RET</v>
          </cell>
          <cell r="B321">
            <v>20815</v>
          </cell>
          <cell r="C321" t="str">
            <v>RET</v>
          </cell>
          <cell r="D321" t="str">
            <v>Refrigeration</v>
          </cell>
          <cell r="E321" t="str">
            <v>Refrigerated Display Case with Doors Replacing Open Cases</v>
          </cell>
          <cell r="F321" t="str">
            <v>C</v>
          </cell>
          <cell r="G321" t="str">
            <v>Y</v>
          </cell>
          <cell r="M321" t="str">
            <v>RET</v>
          </cell>
          <cell r="N321" t="str">
            <v>Open Refrigerated  Vertical Display Case</v>
          </cell>
          <cell r="O321">
            <v>2021</v>
          </cell>
          <cell r="P321">
            <v>2030</v>
          </cell>
          <cell r="Q321" t="str">
            <v>Large Grocery</v>
          </cell>
          <cell r="R321" t="str">
            <v/>
          </cell>
          <cell r="S321">
            <v>0</v>
          </cell>
          <cell r="T321">
            <v>0</v>
          </cell>
          <cell r="U321">
            <v>0</v>
          </cell>
          <cell r="V321">
            <v>404.4</v>
          </cell>
          <cell r="W321">
            <v>0.50062578222778475</v>
          </cell>
          <cell r="X321" t="str">
            <v>-</v>
          </cell>
          <cell r="Y321">
            <v>3</v>
          </cell>
          <cell r="Z321">
            <v>3</v>
          </cell>
          <cell r="AA321">
            <v>0</v>
          </cell>
          <cell r="AB321">
            <v>0</v>
          </cell>
          <cell r="AC321">
            <v>613.99538461538464</v>
          </cell>
          <cell r="AD321">
            <v>1.5182873012249869</v>
          </cell>
          <cell r="AE321">
            <v>22</v>
          </cell>
          <cell r="AF321">
            <v>22</v>
          </cell>
          <cell r="AG321">
            <v>0</v>
          </cell>
          <cell r="AH321">
            <v>0</v>
          </cell>
          <cell r="AI321">
            <v>0</v>
          </cell>
          <cell r="AJ321">
            <v>0</v>
          </cell>
          <cell r="AK321">
            <v>0</v>
          </cell>
          <cell r="AL321" t="str">
            <v>-</v>
          </cell>
          <cell r="AM321" t="str">
            <v>-</v>
          </cell>
          <cell r="AN321" t="str">
            <v/>
          </cell>
          <cell r="AO321">
            <v>0</v>
          </cell>
          <cell r="AP321" t="str">
            <v>-</v>
          </cell>
          <cell r="AQ321">
            <v>0</v>
          </cell>
          <cell r="AR321" t="str">
            <v>-</v>
          </cell>
          <cell r="AS321">
            <v>0</v>
          </cell>
          <cell r="AT321" t="str">
            <v/>
          </cell>
          <cell r="AU321">
            <v>0</v>
          </cell>
          <cell r="AV321" t="str">
            <v>-</v>
          </cell>
          <cell r="AW321">
            <v>0</v>
          </cell>
          <cell r="AX321" t="str">
            <v>-</v>
          </cell>
          <cell r="AY321">
            <v>0</v>
          </cell>
          <cell r="AZ321" t="str">
            <v/>
          </cell>
          <cell r="BA321">
            <v>0</v>
          </cell>
          <cell r="BB321" t="str">
            <v>-</v>
          </cell>
          <cell r="BC321">
            <v>0</v>
          </cell>
          <cell r="BD321" t="str">
            <v>-</v>
          </cell>
          <cell r="BE321">
            <v>0</v>
          </cell>
          <cell r="BF321" t="str">
            <v/>
          </cell>
          <cell r="BG321">
            <v>0</v>
          </cell>
          <cell r="BH321" t="str">
            <v>-</v>
          </cell>
          <cell r="BI321">
            <v>0</v>
          </cell>
          <cell r="BJ321" t="str">
            <v>-</v>
          </cell>
          <cell r="BK321">
            <v>0</v>
          </cell>
          <cell r="BL321">
            <v>0</v>
          </cell>
          <cell r="BM321" t="str">
            <v>-</v>
          </cell>
          <cell r="BN321">
            <v>12</v>
          </cell>
          <cell r="BO321" t="str">
            <v/>
          </cell>
          <cell r="BP321">
            <v>0</v>
          </cell>
          <cell r="BQ321">
            <v>0</v>
          </cell>
          <cell r="BR321" t="str">
            <v>-</v>
          </cell>
          <cell r="BS321">
            <v>0</v>
          </cell>
          <cell r="BT321">
            <v>0</v>
          </cell>
          <cell r="BU321" t="str">
            <v>-</v>
          </cell>
        </row>
        <row r="322">
          <cell r="A322" t="str">
            <v>20816RET</v>
          </cell>
          <cell r="B322">
            <v>20816</v>
          </cell>
          <cell r="C322" t="str">
            <v>RET</v>
          </cell>
          <cell r="D322" t="e">
            <v>#REF!</v>
          </cell>
          <cell r="E322" t="e">
            <v>#REF!</v>
          </cell>
          <cell r="F322" t="e">
            <v>#REF!</v>
          </cell>
          <cell r="G322" t="str">
            <v>Y</v>
          </cell>
          <cell r="M322" t="e">
            <v>#REF!</v>
          </cell>
          <cell r="N322" t="e">
            <v>#REF!</v>
          </cell>
          <cell r="O322" t="e">
            <v>#REF!</v>
          </cell>
          <cell r="P322" t="e">
            <v>#REF!</v>
          </cell>
          <cell r="Q322" t="e">
            <v>#REF!</v>
          </cell>
          <cell r="R322" t="e">
            <v>#REF!</v>
          </cell>
          <cell r="S322" t="e">
            <v>#REF!</v>
          </cell>
          <cell r="T322" t="e">
            <v>#REF!</v>
          </cell>
          <cell r="U322" t="e">
            <v>#REF!</v>
          </cell>
          <cell r="V322" t="e">
            <v>#REF!</v>
          </cell>
          <cell r="W322" t="e">
            <v>#REF!</v>
          </cell>
          <cell r="X322" t="e">
            <v>#REF!</v>
          </cell>
          <cell r="Y322" t="e">
            <v>#REF!</v>
          </cell>
          <cell r="Z322" t="e">
            <v>#REF!</v>
          </cell>
          <cell r="AA322" t="e">
            <v>#REF!</v>
          </cell>
          <cell r="AB322" t="e">
            <v>#REF!</v>
          </cell>
          <cell r="AC322" t="e">
            <v>#REF!</v>
          </cell>
          <cell r="AD322" t="e">
            <v>#REF!</v>
          </cell>
          <cell r="AE322" t="e">
            <v>#REF!</v>
          </cell>
          <cell r="AF322" t="e">
            <v>#REF!</v>
          </cell>
          <cell r="AG322" t="e">
            <v>#REF!</v>
          </cell>
          <cell r="AH322" t="e">
            <v>#REF!</v>
          </cell>
          <cell r="AI322" t="e">
            <v>#REF!</v>
          </cell>
          <cell r="AJ322" t="e">
            <v>#REF!</v>
          </cell>
          <cell r="AK322" t="e">
            <v>#REF!</v>
          </cell>
          <cell r="AL322" t="e">
            <v>#REF!</v>
          </cell>
          <cell r="AM322" t="e">
            <v>#REF!</v>
          </cell>
          <cell r="AN322" t="e">
            <v>#REF!</v>
          </cell>
          <cell r="AO322" t="e">
            <v>#REF!</v>
          </cell>
          <cell r="AP322" t="e">
            <v>#REF!</v>
          </cell>
          <cell r="AQ322" t="e">
            <v>#REF!</v>
          </cell>
          <cell r="AR322" t="e">
            <v>#REF!</v>
          </cell>
          <cell r="AS322" t="e">
            <v>#REF!</v>
          </cell>
          <cell r="AT322" t="e">
            <v>#REF!</v>
          </cell>
          <cell r="AU322" t="e">
            <v>#REF!</v>
          </cell>
          <cell r="AV322" t="e">
            <v>#REF!</v>
          </cell>
          <cell r="AW322" t="e">
            <v>#REF!</v>
          </cell>
          <cell r="AX322" t="e">
            <v>#REF!</v>
          </cell>
          <cell r="AY322" t="e">
            <v>#REF!</v>
          </cell>
          <cell r="AZ322" t="e">
            <v>#REF!</v>
          </cell>
          <cell r="BA322" t="e">
            <v>#REF!</v>
          </cell>
          <cell r="BB322" t="e">
            <v>#REF!</v>
          </cell>
          <cell r="BC322" t="e">
            <v>#REF!</v>
          </cell>
          <cell r="BD322" t="e">
            <v>#REF!</v>
          </cell>
          <cell r="BE322" t="e">
            <v>#REF!</v>
          </cell>
          <cell r="BF322" t="e">
            <v>#REF!</v>
          </cell>
          <cell r="BG322" t="e">
            <v>#REF!</v>
          </cell>
          <cell r="BH322" t="e">
            <v>#REF!</v>
          </cell>
          <cell r="BI322" t="e">
            <v>#REF!</v>
          </cell>
          <cell r="BJ322" t="e">
            <v>#REF!</v>
          </cell>
          <cell r="BK322" t="e">
            <v>#REF!</v>
          </cell>
          <cell r="BL322" t="e">
            <v>#REF!</v>
          </cell>
          <cell r="BM322" t="e">
            <v>#REF!</v>
          </cell>
          <cell r="BN322" t="e">
            <v>#REF!</v>
          </cell>
          <cell r="BO322" t="e">
            <v>#REF!</v>
          </cell>
          <cell r="BP322" t="e">
            <v>#REF!</v>
          </cell>
          <cell r="BQ322" t="e">
            <v>#REF!</v>
          </cell>
          <cell r="BR322" t="e">
            <v>#REF!</v>
          </cell>
          <cell r="BS322" t="e">
            <v>#REF!</v>
          </cell>
          <cell r="BT322" t="e">
            <v>#REF!</v>
          </cell>
          <cell r="BU322" t="e">
            <v>#REF!</v>
          </cell>
        </row>
        <row r="323">
          <cell r="A323" t="str">
            <v>20817RET</v>
          </cell>
          <cell r="B323">
            <v>20817</v>
          </cell>
          <cell r="C323" t="str">
            <v>RET</v>
          </cell>
          <cell r="D323" t="e">
            <v>#REF!</v>
          </cell>
          <cell r="E323" t="e">
            <v>#REF!</v>
          </cell>
          <cell r="F323" t="e">
            <v>#REF!</v>
          </cell>
          <cell r="G323" t="str">
            <v>Y</v>
          </cell>
          <cell r="M323" t="e">
            <v>#REF!</v>
          </cell>
          <cell r="N323" t="e">
            <v>#REF!</v>
          </cell>
          <cell r="O323" t="e">
            <v>#REF!</v>
          </cell>
          <cell r="P323" t="e">
            <v>#REF!</v>
          </cell>
          <cell r="Q323" t="e">
            <v>#REF!</v>
          </cell>
          <cell r="R323" t="e">
            <v>#REF!</v>
          </cell>
          <cell r="S323" t="e">
            <v>#REF!</v>
          </cell>
          <cell r="T323" t="e">
            <v>#REF!</v>
          </cell>
          <cell r="U323" t="e">
            <v>#REF!</v>
          </cell>
          <cell r="V323" t="e">
            <v>#REF!</v>
          </cell>
          <cell r="W323" t="e">
            <v>#REF!</v>
          </cell>
          <cell r="X323" t="e">
            <v>#REF!</v>
          </cell>
          <cell r="Y323" t="e">
            <v>#REF!</v>
          </cell>
          <cell r="Z323" t="e">
            <v>#REF!</v>
          </cell>
          <cell r="AA323" t="e">
            <v>#REF!</v>
          </cell>
          <cell r="AB323" t="e">
            <v>#REF!</v>
          </cell>
          <cell r="AC323" t="e">
            <v>#REF!</v>
          </cell>
          <cell r="AD323" t="e">
            <v>#REF!</v>
          </cell>
          <cell r="AE323" t="e">
            <v>#REF!</v>
          </cell>
          <cell r="AF323" t="e">
            <v>#REF!</v>
          </cell>
          <cell r="AG323" t="e">
            <v>#REF!</v>
          </cell>
          <cell r="AH323" t="e">
            <v>#REF!</v>
          </cell>
          <cell r="AI323" t="e">
            <v>#REF!</v>
          </cell>
          <cell r="AJ323" t="e">
            <v>#REF!</v>
          </cell>
          <cell r="AK323" t="e">
            <v>#REF!</v>
          </cell>
          <cell r="AL323" t="e">
            <v>#REF!</v>
          </cell>
          <cell r="AM323" t="e">
            <v>#REF!</v>
          </cell>
          <cell r="AN323" t="e">
            <v>#REF!</v>
          </cell>
          <cell r="AO323" t="e">
            <v>#REF!</v>
          </cell>
          <cell r="AP323" t="e">
            <v>#REF!</v>
          </cell>
          <cell r="AQ323" t="e">
            <v>#REF!</v>
          </cell>
          <cell r="AR323" t="e">
            <v>#REF!</v>
          </cell>
          <cell r="AS323" t="e">
            <v>#REF!</v>
          </cell>
          <cell r="AT323" t="e">
            <v>#REF!</v>
          </cell>
          <cell r="AU323" t="e">
            <v>#REF!</v>
          </cell>
          <cell r="AV323" t="e">
            <v>#REF!</v>
          </cell>
          <cell r="AW323" t="e">
            <v>#REF!</v>
          </cell>
          <cell r="AX323" t="e">
            <v>#REF!</v>
          </cell>
          <cell r="AY323" t="e">
            <v>#REF!</v>
          </cell>
          <cell r="AZ323" t="e">
            <v>#REF!</v>
          </cell>
          <cell r="BA323" t="e">
            <v>#REF!</v>
          </cell>
          <cell r="BB323" t="e">
            <v>#REF!</v>
          </cell>
          <cell r="BC323" t="e">
            <v>#REF!</v>
          </cell>
          <cell r="BD323" t="e">
            <v>#REF!</v>
          </cell>
          <cell r="BE323" t="e">
            <v>#REF!</v>
          </cell>
          <cell r="BF323" t="e">
            <v>#REF!</v>
          </cell>
          <cell r="BG323" t="e">
            <v>#REF!</v>
          </cell>
          <cell r="BH323" t="e">
            <v>#REF!</v>
          </cell>
          <cell r="BI323" t="e">
            <v>#REF!</v>
          </cell>
          <cell r="BJ323" t="e">
            <v>#REF!</v>
          </cell>
          <cell r="BK323" t="e">
            <v>#REF!</v>
          </cell>
          <cell r="BL323" t="e">
            <v>#REF!</v>
          </cell>
          <cell r="BM323" t="e">
            <v>#REF!</v>
          </cell>
          <cell r="BN323" t="e">
            <v>#REF!</v>
          </cell>
          <cell r="BO323" t="e">
            <v>#REF!</v>
          </cell>
          <cell r="BP323" t="e">
            <v>#REF!</v>
          </cell>
          <cell r="BQ323" t="e">
            <v>#REF!</v>
          </cell>
          <cell r="BR323" t="e">
            <v>#REF!</v>
          </cell>
          <cell r="BS323" t="e">
            <v>#REF!</v>
          </cell>
          <cell r="BT323" t="e">
            <v>#REF!</v>
          </cell>
          <cell r="BU323" t="e">
            <v>#REF!</v>
          </cell>
        </row>
        <row r="324">
          <cell r="A324" t="str">
            <v>20818MD</v>
          </cell>
          <cell r="B324">
            <v>20818</v>
          </cell>
          <cell r="C324" t="str">
            <v>MD</v>
          </cell>
          <cell r="D324" t="str">
            <v>Refrigeration</v>
          </cell>
          <cell r="E324" t="str">
            <v>Low Heat and No Heat Doors</v>
          </cell>
          <cell r="F324" t="str">
            <v>C</v>
          </cell>
          <cell r="G324" t="str">
            <v>Y</v>
          </cell>
          <cell r="M324" t="str">
            <v>NC, RENO</v>
          </cell>
          <cell r="N324" t="str">
            <v>Standard refrigerated case doors with electric resistance heaters</v>
          </cell>
          <cell r="O324">
            <v>2021</v>
          </cell>
          <cell r="P324">
            <v>2030</v>
          </cell>
          <cell r="Q324" t="str">
            <v>Large Grocery</v>
          </cell>
          <cell r="R324" t="str">
            <v/>
          </cell>
          <cell r="S324">
            <v>0</v>
          </cell>
          <cell r="T324">
            <v>0</v>
          </cell>
          <cell r="U324">
            <v>0</v>
          </cell>
          <cell r="V324">
            <v>0</v>
          </cell>
          <cell r="W324">
            <v>0.41755421378054713</v>
          </cell>
          <cell r="X324" t="str">
            <v>-</v>
          </cell>
          <cell r="Y324">
            <v>3</v>
          </cell>
          <cell r="Z324">
            <v>3</v>
          </cell>
          <cell r="AA324">
            <v>0</v>
          </cell>
          <cell r="AB324">
            <v>0</v>
          </cell>
          <cell r="AC324">
            <v>0</v>
          </cell>
          <cell r="AD324">
            <v>0.17661552520837775</v>
          </cell>
          <cell r="AE324">
            <v>8</v>
          </cell>
          <cell r="AF324">
            <v>8</v>
          </cell>
          <cell r="AG324">
            <v>0</v>
          </cell>
          <cell r="AH324">
            <v>0</v>
          </cell>
          <cell r="AI324">
            <v>0</v>
          </cell>
          <cell r="AJ324">
            <v>0</v>
          </cell>
          <cell r="AK324">
            <v>0</v>
          </cell>
          <cell r="AL324" t="str">
            <v>-</v>
          </cell>
          <cell r="AM324" t="str">
            <v>-</v>
          </cell>
          <cell r="AN324" t="str">
            <v/>
          </cell>
          <cell r="AO324">
            <v>0</v>
          </cell>
          <cell r="AP324" t="str">
            <v>-</v>
          </cell>
          <cell r="AQ324">
            <v>0</v>
          </cell>
          <cell r="AR324" t="str">
            <v>-</v>
          </cell>
          <cell r="AS324">
            <v>0</v>
          </cell>
          <cell r="AT324" t="str">
            <v/>
          </cell>
          <cell r="AU324">
            <v>0</v>
          </cell>
          <cell r="AV324" t="str">
            <v>-</v>
          </cell>
          <cell r="AW324">
            <v>0</v>
          </cell>
          <cell r="AX324" t="str">
            <v>-</v>
          </cell>
          <cell r="AY324">
            <v>0</v>
          </cell>
          <cell r="AZ324" t="str">
            <v/>
          </cell>
          <cell r="BA324">
            <v>0</v>
          </cell>
          <cell r="BB324" t="str">
            <v>-</v>
          </cell>
          <cell r="BC324">
            <v>0</v>
          </cell>
          <cell r="BD324" t="str">
            <v>-</v>
          </cell>
          <cell r="BE324">
            <v>0</v>
          </cell>
          <cell r="BF324" t="str">
            <v/>
          </cell>
          <cell r="BG324">
            <v>0</v>
          </cell>
          <cell r="BH324" t="str">
            <v>-</v>
          </cell>
          <cell r="BI324">
            <v>0</v>
          </cell>
          <cell r="BJ324" t="str">
            <v>-</v>
          </cell>
          <cell r="BK324">
            <v>0</v>
          </cell>
          <cell r="BL324">
            <v>0</v>
          </cell>
          <cell r="BM324" t="str">
            <v>-</v>
          </cell>
          <cell r="BN324">
            <v>12</v>
          </cell>
          <cell r="BO324" t="str">
            <v/>
          </cell>
          <cell r="BP324">
            <v>0</v>
          </cell>
          <cell r="BQ324">
            <v>0</v>
          </cell>
          <cell r="BR324" t="str">
            <v>-</v>
          </cell>
          <cell r="BS324">
            <v>0</v>
          </cell>
          <cell r="BT324">
            <v>0</v>
          </cell>
          <cell r="BU324" t="str">
            <v>-</v>
          </cell>
        </row>
        <row r="325">
          <cell r="A325" t="str">
            <v>20818RET</v>
          </cell>
          <cell r="B325">
            <v>20818</v>
          </cell>
          <cell r="C325" t="str">
            <v>RET</v>
          </cell>
          <cell r="D325" t="str">
            <v>Refrigeration</v>
          </cell>
          <cell r="E325" t="str">
            <v>Low Heat and No Heat Doors</v>
          </cell>
          <cell r="F325" t="str">
            <v>C</v>
          </cell>
          <cell r="G325" t="str">
            <v>Y</v>
          </cell>
          <cell r="M325" t="str">
            <v>RET</v>
          </cell>
          <cell r="N325" t="str">
            <v>Standard refrigerated case doors with electric resistance heaters</v>
          </cell>
          <cell r="O325">
            <v>2021</v>
          </cell>
          <cell r="P325">
            <v>2030</v>
          </cell>
          <cell r="Q325" t="str">
            <v>Large Grocery</v>
          </cell>
          <cell r="R325" t="str">
            <v/>
          </cell>
          <cell r="S325">
            <v>0</v>
          </cell>
          <cell r="T325">
            <v>0</v>
          </cell>
          <cell r="U325">
            <v>0</v>
          </cell>
          <cell r="V325">
            <v>0</v>
          </cell>
          <cell r="W325">
            <v>0.41755421378054713</v>
          </cell>
          <cell r="X325" t="str">
            <v>-</v>
          </cell>
          <cell r="Y325">
            <v>3</v>
          </cell>
          <cell r="Z325">
            <v>3</v>
          </cell>
          <cell r="AA325">
            <v>0</v>
          </cell>
          <cell r="AB325">
            <v>0</v>
          </cell>
          <cell r="AC325">
            <v>0</v>
          </cell>
          <cell r="AD325">
            <v>0.17661552520837775</v>
          </cell>
          <cell r="AE325">
            <v>8</v>
          </cell>
          <cell r="AF325">
            <v>8</v>
          </cell>
          <cell r="AG325">
            <v>0</v>
          </cell>
          <cell r="AH325">
            <v>0</v>
          </cell>
          <cell r="AI325">
            <v>0</v>
          </cell>
          <cell r="AJ325">
            <v>0</v>
          </cell>
          <cell r="AK325">
            <v>0</v>
          </cell>
          <cell r="AL325" t="str">
            <v>-</v>
          </cell>
          <cell r="AM325" t="str">
            <v>-</v>
          </cell>
          <cell r="AN325" t="str">
            <v/>
          </cell>
          <cell r="AO325">
            <v>0</v>
          </cell>
          <cell r="AP325" t="str">
            <v>-</v>
          </cell>
          <cell r="AQ325">
            <v>0</v>
          </cell>
          <cell r="AR325" t="str">
            <v>-</v>
          </cell>
          <cell r="AS325">
            <v>0</v>
          </cell>
          <cell r="AT325" t="str">
            <v/>
          </cell>
          <cell r="AU325">
            <v>0</v>
          </cell>
          <cell r="AV325" t="str">
            <v>-</v>
          </cell>
          <cell r="AW325">
            <v>0</v>
          </cell>
          <cell r="AX325" t="str">
            <v>-</v>
          </cell>
          <cell r="AY325">
            <v>0</v>
          </cell>
          <cell r="AZ325" t="str">
            <v/>
          </cell>
          <cell r="BA325">
            <v>0</v>
          </cell>
          <cell r="BB325" t="str">
            <v>-</v>
          </cell>
          <cell r="BC325">
            <v>0</v>
          </cell>
          <cell r="BD325" t="str">
            <v>-</v>
          </cell>
          <cell r="BE325">
            <v>0</v>
          </cell>
          <cell r="BF325" t="str">
            <v/>
          </cell>
          <cell r="BG325">
            <v>0</v>
          </cell>
          <cell r="BH325" t="str">
            <v>-</v>
          </cell>
          <cell r="BI325">
            <v>0</v>
          </cell>
          <cell r="BJ325" t="str">
            <v>-</v>
          </cell>
          <cell r="BK325">
            <v>0</v>
          </cell>
          <cell r="BL325">
            <v>0</v>
          </cell>
          <cell r="BM325" t="str">
            <v>-</v>
          </cell>
          <cell r="BN325">
            <v>12</v>
          </cell>
          <cell r="BO325" t="str">
            <v/>
          </cell>
          <cell r="BP325">
            <v>0</v>
          </cell>
          <cell r="BQ325">
            <v>0</v>
          </cell>
          <cell r="BR325" t="str">
            <v>-</v>
          </cell>
          <cell r="BS325">
            <v>0</v>
          </cell>
          <cell r="BT325">
            <v>0</v>
          </cell>
          <cell r="BU325" t="str">
            <v>-</v>
          </cell>
        </row>
        <row r="326">
          <cell r="A326" t="str">
            <v>20819RET</v>
          </cell>
          <cell r="B326">
            <v>20819</v>
          </cell>
          <cell r="C326" t="str">
            <v>RET</v>
          </cell>
          <cell r="D326" t="str">
            <v>Refrigeration</v>
          </cell>
          <cell r="E326" t="str">
            <v>Refrigeration Tune Up</v>
          </cell>
          <cell r="F326" t="str">
            <v>C</v>
          </cell>
          <cell r="G326" t="str">
            <v>Y</v>
          </cell>
          <cell r="M326" t="str">
            <v>RET</v>
          </cell>
          <cell r="N326" t="str">
            <v>Before Tune-Up</v>
          </cell>
          <cell r="O326">
            <v>2021</v>
          </cell>
          <cell r="P326">
            <v>2030</v>
          </cell>
          <cell r="Q326" t="str">
            <v>Large Grocery</v>
          </cell>
          <cell r="R326" t="str">
            <v/>
          </cell>
          <cell r="S326">
            <v>0</v>
          </cell>
          <cell r="T326">
            <v>0</v>
          </cell>
          <cell r="U326">
            <v>0</v>
          </cell>
          <cell r="V326">
            <v>0</v>
          </cell>
          <cell r="W326">
            <v>6.0563540521066321E-2</v>
          </cell>
          <cell r="X326" t="str">
            <v>-</v>
          </cell>
          <cell r="Y326">
            <v>8</v>
          </cell>
          <cell r="Z326">
            <v>8</v>
          </cell>
          <cell r="AA326">
            <v>0</v>
          </cell>
          <cell r="AB326">
            <v>0</v>
          </cell>
          <cell r="AC326">
            <v>0</v>
          </cell>
          <cell r="AD326">
            <v>6.5580199043854398E-2</v>
          </cell>
          <cell r="AE326">
            <v>8</v>
          </cell>
          <cell r="AF326">
            <v>8</v>
          </cell>
          <cell r="AG326">
            <v>0</v>
          </cell>
          <cell r="AH326">
            <v>0</v>
          </cell>
          <cell r="AI326">
            <v>0</v>
          </cell>
          <cell r="AJ326">
            <v>0</v>
          </cell>
          <cell r="AK326">
            <v>0</v>
          </cell>
          <cell r="AL326" t="str">
            <v>-</v>
          </cell>
          <cell r="AM326" t="str">
            <v>-</v>
          </cell>
          <cell r="AN326" t="str">
            <v/>
          </cell>
          <cell r="AO326">
            <v>0</v>
          </cell>
          <cell r="AP326" t="str">
            <v>-</v>
          </cell>
          <cell r="AQ326">
            <v>0</v>
          </cell>
          <cell r="AR326" t="str">
            <v>-</v>
          </cell>
          <cell r="AS326">
            <v>0</v>
          </cell>
          <cell r="AT326" t="str">
            <v/>
          </cell>
          <cell r="AU326">
            <v>0</v>
          </cell>
          <cell r="AV326" t="str">
            <v>-</v>
          </cell>
          <cell r="AW326">
            <v>0</v>
          </cell>
          <cell r="AX326" t="str">
            <v>-</v>
          </cell>
          <cell r="AY326">
            <v>0</v>
          </cell>
          <cell r="AZ326" t="str">
            <v/>
          </cell>
          <cell r="BA326">
            <v>0</v>
          </cell>
          <cell r="BB326" t="str">
            <v>-</v>
          </cell>
          <cell r="BC326">
            <v>0</v>
          </cell>
          <cell r="BD326" t="str">
            <v>-</v>
          </cell>
          <cell r="BE326">
            <v>0</v>
          </cell>
          <cell r="BF326" t="str">
            <v/>
          </cell>
          <cell r="BG326">
            <v>0</v>
          </cell>
          <cell r="BH326" t="str">
            <v>-</v>
          </cell>
          <cell r="BI326">
            <v>0</v>
          </cell>
          <cell r="BJ326" t="str">
            <v>-</v>
          </cell>
          <cell r="BK326">
            <v>0</v>
          </cell>
          <cell r="BL326">
            <v>0</v>
          </cell>
          <cell r="BM326" t="str">
            <v>-</v>
          </cell>
          <cell r="BN326">
            <v>7</v>
          </cell>
          <cell r="BO326" t="str">
            <v/>
          </cell>
          <cell r="BP326">
            <v>0</v>
          </cell>
          <cell r="BQ326">
            <v>0</v>
          </cell>
          <cell r="BR326" t="str">
            <v>-</v>
          </cell>
          <cell r="BS326">
            <v>0</v>
          </cell>
          <cell r="BT326">
            <v>0</v>
          </cell>
          <cell r="BU326" t="str">
            <v>-</v>
          </cell>
        </row>
        <row r="327">
          <cell r="A327" t="str">
            <v>20820MD</v>
          </cell>
          <cell r="B327">
            <v>20820</v>
          </cell>
          <cell r="C327" t="str">
            <v>MD</v>
          </cell>
          <cell r="D327" t="str">
            <v>Refrigeration</v>
          </cell>
          <cell r="E327" t="str">
            <v>High Efficiency Small Walk-In Refrigerator</v>
          </cell>
          <cell r="F327" t="str">
            <v>C</v>
          </cell>
          <cell r="G327" t="str">
            <v>Y</v>
          </cell>
          <cell r="M327" t="str">
            <v>NC, RENO</v>
          </cell>
          <cell r="N327" t="str">
            <v>Standard efficiency walk-in refrigeration systems</v>
          </cell>
          <cell r="O327">
            <v>2021</v>
          </cell>
          <cell r="P327">
            <v>2030</v>
          </cell>
          <cell r="Q327" t="str">
            <v>Large Grocery</v>
          </cell>
          <cell r="R327" t="str">
            <v/>
          </cell>
          <cell r="S327">
            <v>0</v>
          </cell>
          <cell r="T327">
            <v>0</v>
          </cell>
          <cell r="U327">
            <v>0</v>
          </cell>
          <cell r="V327">
            <v>0</v>
          </cell>
          <cell r="W327">
            <v>0.53835411680373257</v>
          </cell>
          <cell r="X327" t="str">
            <v>-</v>
          </cell>
          <cell r="Y327">
            <v>43</v>
          </cell>
          <cell r="Z327">
            <v>43</v>
          </cell>
          <cell r="AA327">
            <v>0</v>
          </cell>
          <cell r="AB327">
            <v>0</v>
          </cell>
          <cell r="AC327">
            <v>0</v>
          </cell>
          <cell r="AD327">
            <v>0.10880840677143355</v>
          </cell>
          <cell r="AE327" t="str">
            <v>12,43</v>
          </cell>
          <cell r="AF327" t="str">
            <v>12,43</v>
          </cell>
          <cell r="AG327">
            <v>0</v>
          </cell>
          <cell r="AH327">
            <v>0</v>
          </cell>
          <cell r="AI327">
            <v>0</v>
          </cell>
          <cell r="AJ327">
            <v>0</v>
          </cell>
          <cell r="AK327">
            <v>0</v>
          </cell>
          <cell r="AL327" t="str">
            <v>-</v>
          </cell>
          <cell r="AM327" t="str">
            <v>-</v>
          </cell>
          <cell r="AN327" t="str">
            <v/>
          </cell>
          <cell r="AO327">
            <v>0</v>
          </cell>
          <cell r="AP327" t="str">
            <v>-</v>
          </cell>
          <cell r="AQ327">
            <v>0</v>
          </cell>
          <cell r="AR327" t="str">
            <v>-</v>
          </cell>
          <cell r="AS327">
            <v>0</v>
          </cell>
          <cell r="AT327" t="str">
            <v/>
          </cell>
          <cell r="AU327">
            <v>0</v>
          </cell>
          <cell r="AV327" t="str">
            <v>-</v>
          </cell>
          <cell r="AW327">
            <v>0</v>
          </cell>
          <cell r="AX327" t="str">
            <v>-</v>
          </cell>
          <cell r="AY327">
            <v>0</v>
          </cell>
          <cell r="AZ327" t="str">
            <v/>
          </cell>
          <cell r="BA327">
            <v>0</v>
          </cell>
          <cell r="BB327" t="str">
            <v>-</v>
          </cell>
          <cell r="BC327">
            <v>0</v>
          </cell>
          <cell r="BD327" t="str">
            <v>-</v>
          </cell>
          <cell r="BE327">
            <v>0</v>
          </cell>
          <cell r="BF327" t="str">
            <v/>
          </cell>
          <cell r="BG327">
            <v>0</v>
          </cell>
          <cell r="BH327" t="str">
            <v>-</v>
          </cell>
          <cell r="BI327">
            <v>0</v>
          </cell>
          <cell r="BJ327" t="str">
            <v>-</v>
          </cell>
          <cell r="BK327">
            <v>0</v>
          </cell>
          <cell r="BL327">
            <v>0</v>
          </cell>
          <cell r="BM327" t="str">
            <v>-</v>
          </cell>
          <cell r="BN327">
            <v>15</v>
          </cell>
          <cell r="BO327" t="str">
            <v/>
          </cell>
          <cell r="BP327">
            <v>0</v>
          </cell>
          <cell r="BQ327">
            <v>0</v>
          </cell>
          <cell r="BR327" t="str">
            <v>-</v>
          </cell>
          <cell r="BS327">
            <v>0</v>
          </cell>
          <cell r="BT327">
            <v>0</v>
          </cell>
          <cell r="BU327" t="str">
            <v>-</v>
          </cell>
        </row>
        <row r="328">
          <cell r="A328" t="str">
            <v>20821RET</v>
          </cell>
          <cell r="B328">
            <v>20821</v>
          </cell>
          <cell r="C328" t="str">
            <v>RET</v>
          </cell>
          <cell r="D328" t="str">
            <v>Refrigeration</v>
          </cell>
          <cell r="E328" t="str">
            <v>Walk In Cooler Retrofit</v>
          </cell>
          <cell r="F328" t="str">
            <v>C</v>
          </cell>
          <cell r="G328" t="str">
            <v>Y</v>
          </cell>
          <cell r="M328" t="str">
            <v>RET</v>
          </cell>
          <cell r="N328" t="str">
            <v>Standard efficiency existing stock walk-in refrigeration systems</v>
          </cell>
          <cell r="O328">
            <v>2021</v>
          </cell>
          <cell r="P328">
            <v>2030</v>
          </cell>
          <cell r="Q328" t="str">
            <v>Large Grocery</v>
          </cell>
          <cell r="R328" t="str">
            <v/>
          </cell>
          <cell r="S328">
            <v>0</v>
          </cell>
          <cell r="T328">
            <v>0</v>
          </cell>
          <cell r="U328">
            <v>0</v>
          </cell>
          <cell r="V328">
            <v>0</v>
          </cell>
          <cell r="W328">
            <v>0.3202888888888889</v>
          </cell>
          <cell r="X328" t="str">
            <v>-</v>
          </cell>
          <cell r="Y328">
            <v>43</v>
          </cell>
          <cell r="Z328">
            <v>43</v>
          </cell>
          <cell r="AA328">
            <v>0</v>
          </cell>
          <cell r="AB328">
            <v>0</v>
          </cell>
          <cell r="AC328">
            <v>0</v>
          </cell>
          <cell r="AD328">
            <v>0.5561449884911448</v>
          </cell>
          <cell r="AE328">
            <v>43</v>
          </cell>
          <cell r="AF328">
            <v>43</v>
          </cell>
          <cell r="AG328">
            <v>0</v>
          </cell>
          <cell r="AH328">
            <v>0</v>
          </cell>
          <cell r="AI328">
            <v>0</v>
          </cell>
          <cell r="AJ328">
            <v>0</v>
          </cell>
          <cell r="AK328">
            <v>0</v>
          </cell>
          <cell r="AL328" t="str">
            <v>-</v>
          </cell>
          <cell r="AM328" t="str">
            <v>-</v>
          </cell>
          <cell r="AN328" t="str">
            <v/>
          </cell>
          <cell r="AO328">
            <v>0</v>
          </cell>
          <cell r="AP328" t="str">
            <v>-</v>
          </cell>
          <cell r="AQ328">
            <v>0</v>
          </cell>
          <cell r="AR328" t="str">
            <v>-</v>
          </cell>
          <cell r="AS328">
            <v>0</v>
          </cell>
          <cell r="AT328" t="str">
            <v/>
          </cell>
          <cell r="AU328">
            <v>0</v>
          </cell>
          <cell r="AV328" t="str">
            <v>-</v>
          </cell>
          <cell r="AW328">
            <v>0</v>
          </cell>
          <cell r="AX328" t="str">
            <v>-</v>
          </cell>
          <cell r="AY328">
            <v>0</v>
          </cell>
          <cell r="AZ328" t="str">
            <v/>
          </cell>
          <cell r="BA328">
            <v>0</v>
          </cell>
          <cell r="BB328" t="str">
            <v>-</v>
          </cell>
          <cell r="BC328">
            <v>0</v>
          </cell>
          <cell r="BD328" t="str">
            <v>-</v>
          </cell>
          <cell r="BE328">
            <v>0</v>
          </cell>
          <cell r="BF328" t="str">
            <v/>
          </cell>
          <cell r="BG328">
            <v>0</v>
          </cell>
          <cell r="BH328" t="str">
            <v>-</v>
          </cell>
          <cell r="BI328">
            <v>0</v>
          </cell>
          <cell r="BJ328" t="str">
            <v>-</v>
          </cell>
          <cell r="BK328">
            <v>0</v>
          </cell>
          <cell r="BL328">
            <v>0</v>
          </cell>
          <cell r="BM328" t="str">
            <v>-</v>
          </cell>
          <cell r="BN328">
            <v>15</v>
          </cell>
          <cell r="BO328" t="str">
            <v/>
          </cell>
          <cell r="BP328">
            <v>0</v>
          </cell>
          <cell r="BQ328">
            <v>0</v>
          </cell>
          <cell r="BR328" t="str">
            <v>-</v>
          </cell>
          <cell r="BS328">
            <v>0</v>
          </cell>
          <cell r="BT328">
            <v>0</v>
          </cell>
          <cell r="BU328" t="str">
            <v>-</v>
          </cell>
        </row>
        <row r="329">
          <cell r="A329" t="str">
            <v>20822MD</v>
          </cell>
          <cell r="B329">
            <v>20822</v>
          </cell>
          <cell r="C329" t="str">
            <v>MD</v>
          </cell>
          <cell r="D329" t="str">
            <v>Refrigeration</v>
          </cell>
          <cell r="E329" t="str">
            <v>Loading Dock Pit Seals</v>
          </cell>
          <cell r="F329" t="str">
            <v>C</v>
          </cell>
          <cell r="G329" t="str">
            <v>Y</v>
          </cell>
          <cell r="M329" t="str">
            <v>NC, RENO</v>
          </cell>
          <cell r="N329" t="str">
            <v>Loading docks pits without seals</v>
          </cell>
          <cell r="O329">
            <v>2021</v>
          </cell>
          <cell r="P329">
            <v>2030</v>
          </cell>
          <cell r="Q329" t="str">
            <v>Large Warehouse</v>
          </cell>
          <cell r="R329" t="str">
            <v/>
          </cell>
          <cell r="S329">
            <v>0</v>
          </cell>
          <cell r="T329">
            <v>0</v>
          </cell>
          <cell r="U329">
            <v>0</v>
          </cell>
          <cell r="V329">
            <v>0</v>
          </cell>
          <cell r="W329">
            <v>0.34452602033159441</v>
          </cell>
          <cell r="X329" t="str">
            <v>-</v>
          </cell>
          <cell r="Y329">
            <v>8</v>
          </cell>
          <cell r="Z329">
            <v>8</v>
          </cell>
          <cell r="AA329">
            <v>0</v>
          </cell>
          <cell r="AB329">
            <v>0</v>
          </cell>
          <cell r="AC329">
            <v>0</v>
          </cell>
          <cell r="AD329">
            <v>1.7710604229053231</v>
          </cell>
          <cell r="AE329" t="str">
            <v>8,12</v>
          </cell>
          <cell r="AF329" t="str">
            <v>8,12</v>
          </cell>
          <cell r="AG329">
            <v>0</v>
          </cell>
          <cell r="AH329">
            <v>0</v>
          </cell>
          <cell r="AI329">
            <v>0</v>
          </cell>
          <cell r="AJ329">
            <v>0</v>
          </cell>
          <cell r="AK329">
            <v>0</v>
          </cell>
          <cell r="AL329" t="str">
            <v>-</v>
          </cell>
          <cell r="AM329" t="str">
            <v>-</v>
          </cell>
          <cell r="AN329" t="str">
            <v/>
          </cell>
          <cell r="AO329">
            <v>0</v>
          </cell>
          <cell r="AP329" t="str">
            <v>-</v>
          </cell>
          <cell r="AQ329">
            <v>0</v>
          </cell>
          <cell r="AR329" t="str">
            <v>-</v>
          </cell>
          <cell r="AS329">
            <v>0</v>
          </cell>
          <cell r="AT329" t="str">
            <v/>
          </cell>
          <cell r="AU329">
            <v>0</v>
          </cell>
          <cell r="AV329" t="str">
            <v>-</v>
          </cell>
          <cell r="AW329">
            <v>0</v>
          </cell>
          <cell r="AX329" t="str">
            <v>-</v>
          </cell>
          <cell r="AY329">
            <v>0</v>
          </cell>
          <cell r="AZ329" t="str">
            <v/>
          </cell>
          <cell r="BA329">
            <v>0</v>
          </cell>
          <cell r="BB329" t="str">
            <v>-</v>
          </cell>
          <cell r="BC329">
            <v>0</v>
          </cell>
          <cell r="BD329" t="str">
            <v>-</v>
          </cell>
          <cell r="BE329">
            <v>0</v>
          </cell>
          <cell r="BF329" t="str">
            <v/>
          </cell>
          <cell r="BG329">
            <v>0</v>
          </cell>
          <cell r="BH329" t="str">
            <v>-</v>
          </cell>
          <cell r="BI329">
            <v>0</v>
          </cell>
          <cell r="BJ329" t="str">
            <v>-</v>
          </cell>
          <cell r="BK329">
            <v>0</v>
          </cell>
          <cell r="BL329">
            <v>0</v>
          </cell>
          <cell r="BM329" t="str">
            <v>-</v>
          </cell>
          <cell r="BN329">
            <v>10</v>
          </cell>
          <cell r="BO329" t="str">
            <v/>
          </cell>
          <cell r="BP329">
            <v>0</v>
          </cell>
          <cell r="BQ329">
            <v>0</v>
          </cell>
          <cell r="BR329" t="str">
            <v>-</v>
          </cell>
          <cell r="BS329">
            <v>0</v>
          </cell>
          <cell r="BT329">
            <v>0</v>
          </cell>
          <cell r="BU329" t="str">
            <v>-</v>
          </cell>
        </row>
        <row r="330">
          <cell r="A330" t="str">
            <v>20822RET</v>
          </cell>
          <cell r="B330">
            <v>20822</v>
          </cell>
          <cell r="C330" t="str">
            <v>RET</v>
          </cell>
          <cell r="D330" t="str">
            <v>Refrigeration</v>
          </cell>
          <cell r="E330" t="str">
            <v>Loading Dock Pit Seals</v>
          </cell>
          <cell r="F330" t="str">
            <v>C</v>
          </cell>
          <cell r="G330" t="str">
            <v>Y</v>
          </cell>
          <cell r="M330" t="str">
            <v>RET</v>
          </cell>
          <cell r="N330" t="str">
            <v>Loading docks pits without seals</v>
          </cell>
          <cell r="O330">
            <v>2021</v>
          </cell>
          <cell r="P330">
            <v>2030</v>
          </cell>
          <cell r="Q330" t="str">
            <v>Large Warehouse</v>
          </cell>
          <cell r="R330" t="str">
            <v/>
          </cell>
          <cell r="S330">
            <v>0</v>
          </cell>
          <cell r="T330">
            <v>0</v>
          </cell>
          <cell r="U330">
            <v>0</v>
          </cell>
          <cell r="V330">
            <v>0</v>
          </cell>
          <cell r="W330">
            <v>0.34452602033159441</v>
          </cell>
          <cell r="X330" t="str">
            <v>-</v>
          </cell>
          <cell r="Y330">
            <v>8</v>
          </cell>
          <cell r="Z330">
            <v>8</v>
          </cell>
          <cell r="AA330">
            <v>0</v>
          </cell>
          <cell r="AB330">
            <v>0</v>
          </cell>
          <cell r="AC330">
            <v>0</v>
          </cell>
          <cell r="AD330">
            <v>1.7710604229053231</v>
          </cell>
          <cell r="AE330" t="str">
            <v>8,12</v>
          </cell>
          <cell r="AF330" t="str">
            <v>8,12</v>
          </cell>
          <cell r="AG330">
            <v>0</v>
          </cell>
          <cell r="AH330">
            <v>0</v>
          </cell>
          <cell r="AI330">
            <v>0</v>
          </cell>
          <cell r="AJ330">
            <v>0</v>
          </cell>
          <cell r="AK330">
            <v>0</v>
          </cell>
          <cell r="AL330" t="str">
            <v>-</v>
          </cell>
          <cell r="AM330" t="str">
            <v>-</v>
          </cell>
          <cell r="AN330" t="str">
            <v/>
          </cell>
          <cell r="AO330">
            <v>0</v>
          </cell>
          <cell r="AP330" t="str">
            <v>-</v>
          </cell>
          <cell r="AQ330">
            <v>0</v>
          </cell>
          <cell r="AR330" t="str">
            <v>-</v>
          </cell>
          <cell r="AS330">
            <v>0</v>
          </cell>
          <cell r="AT330" t="str">
            <v/>
          </cell>
          <cell r="AU330">
            <v>0</v>
          </cell>
          <cell r="AV330" t="str">
            <v>-</v>
          </cell>
          <cell r="AW330">
            <v>0</v>
          </cell>
          <cell r="AX330" t="str">
            <v>-</v>
          </cell>
          <cell r="AY330">
            <v>0</v>
          </cell>
          <cell r="AZ330" t="str">
            <v/>
          </cell>
          <cell r="BA330">
            <v>0</v>
          </cell>
          <cell r="BB330" t="str">
            <v>-</v>
          </cell>
          <cell r="BC330">
            <v>0</v>
          </cell>
          <cell r="BD330" t="str">
            <v>-</v>
          </cell>
          <cell r="BE330">
            <v>0</v>
          </cell>
          <cell r="BF330" t="str">
            <v/>
          </cell>
          <cell r="BG330">
            <v>0</v>
          </cell>
          <cell r="BH330" t="str">
            <v>-</v>
          </cell>
          <cell r="BI330">
            <v>0</v>
          </cell>
          <cell r="BJ330" t="str">
            <v>-</v>
          </cell>
          <cell r="BK330">
            <v>0</v>
          </cell>
          <cell r="BL330">
            <v>0</v>
          </cell>
          <cell r="BM330" t="str">
            <v>-</v>
          </cell>
          <cell r="BN330">
            <v>10</v>
          </cell>
          <cell r="BO330" t="str">
            <v/>
          </cell>
          <cell r="BP330">
            <v>0</v>
          </cell>
          <cell r="BQ330">
            <v>0</v>
          </cell>
          <cell r="BR330" t="str">
            <v>-</v>
          </cell>
          <cell r="BS330">
            <v>0</v>
          </cell>
          <cell r="BT330">
            <v>0</v>
          </cell>
          <cell r="BU330" t="str">
            <v>-</v>
          </cell>
        </row>
        <row r="331">
          <cell r="A331" t="str">
            <v>20901MD</v>
          </cell>
          <cell r="B331">
            <v>20901</v>
          </cell>
          <cell r="C331" t="str">
            <v>MD</v>
          </cell>
          <cell r="D331" t="str">
            <v>Space Heating</v>
          </cell>
          <cell r="E331" t="str">
            <v>Furnace</v>
          </cell>
          <cell r="F331" t="str">
            <v>C</v>
          </cell>
          <cell r="G331" t="str">
            <v>Y</v>
          </cell>
          <cell r="M331" t="str">
            <v>NC, RENO, REPL</v>
          </cell>
          <cell r="N331" t="str">
            <v>Non-condensing standard efficiency furnace</v>
          </cell>
          <cell r="O331">
            <v>2021</v>
          </cell>
          <cell r="P331">
            <v>2030</v>
          </cell>
          <cell r="Q331" t="str">
            <v>Small Office</v>
          </cell>
          <cell r="R331" t="str">
            <v/>
          </cell>
          <cell r="S331">
            <v>0</v>
          </cell>
          <cell r="T331">
            <v>0</v>
          </cell>
          <cell r="U331">
            <v>0</v>
          </cell>
          <cell r="V331">
            <v>24.625280604069985</v>
          </cell>
          <cell r="W331">
            <v>0.15789473684210512</v>
          </cell>
          <cell r="X331" t="str">
            <v>-</v>
          </cell>
          <cell r="Y331" t="str">
            <v>7,11</v>
          </cell>
          <cell r="Z331" t="str">
            <v>7,11</v>
          </cell>
          <cell r="AA331">
            <v>0</v>
          </cell>
          <cell r="AB331">
            <v>0</v>
          </cell>
          <cell r="AC331">
            <v>537</v>
          </cell>
          <cell r="AD331">
            <v>21.806858107892847</v>
          </cell>
          <cell r="AE331">
            <v>9</v>
          </cell>
          <cell r="AF331">
            <v>9</v>
          </cell>
          <cell r="AG331">
            <v>0</v>
          </cell>
          <cell r="AH331">
            <v>0</v>
          </cell>
          <cell r="AI331">
            <v>0</v>
          </cell>
          <cell r="AJ331">
            <v>0</v>
          </cell>
          <cell r="AK331">
            <v>0</v>
          </cell>
          <cell r="AL331" t="str">
            <v>-</v>
          </cell>
          <cell r="AM331" t="str">
            <v>-</v>
          </cell>
          <cell r="AN331" t="str">
            <v/>
          </cell>
          <cell r="AO331">
            <v>0</v>
          </cell>
          <cell r="AP331" t="str">
            <v>-</v>
          </cell>
          <cell r="AQ331">
            <v>0</v>
          </cell>
          <cell r="AR331" t="str">
            <v>-</v>
          </cell>
          <cell r="AS331">
            <v>0</v>
          </cell>
          <cell r="AT331" t="str">
            <v/>
          </cell>
          <cell r="AU331">
            <v>0</v>
          </cell>
          <cell r="AV331" t="str">
            <v>-</v>
          </cell>
          <cell r="AW331">
            <v>0</v>
          </cell>
          <cell r="AX331" t="str">
            <v>-</v>
          </cell>
          <cell r="AY331">
            <v>0</v>
          </cell>
          <cell r="AZ331" t="str">
            <v/>
          </cell>
          <cell r="BA331">
            <v>0</v>
          </cell>
          <cell r="BB331" t="str">
            <v>-</v>
          </cell>
          <cell r="BC331">
            <v>0</v>
          </cell>
          <cell r="BD331" t="str">
            <v>-</v>
          </cell>
          <cell r="BE331">
            <v>0</v>
          </cell>
          <cell r="BF331" t="str">
            <v/>
          </cell>
          <cell r="BG331">
            <v>0</v>
          </cell>
          <cell r="BH331" t="str">
            <v>-</v>
          </cell>
          <cell r="BI331">
            <v>0</v>
          </cell>
          <cell r="BJ331" t="str">
            <v>-</v>
          </cell>
          <cell r="BK331">
            <v>0</v>
          </cell>
          <cell r="BL331">
            <v>0</v>
          </cell>
          <cell r="BM331" t="str">
            <v>-</v>
          </cell>
          <cell r="BN331">
            <v>20</v>
          </cell>
          <cell r="BO331" t="str">
            <v/>
          </cell>
          <cell r="BP331">
            <v>0</v>
          </cell>
          <cell r="BQ331">
            <v>0</v>
          </cell>
          <cell r="BR331" t="str">
            <v>-</v>
          </cell>
          <cell r="BS331">
            <v>0</v>
          </cell>
          <cell r="BT331">
            <v>0</v>
          </cell>
          <cell r="BU331" t="str">
            <v>-</v>
          </cell>
        </row>
        <row r="332">
          <cell r="A332" t="str">
            <v>20901RET</v>
          </cell>
          <cell r="B332">
            <v>20901</v>
          </cell>
          <cell r="C332" t="str">
            <v>RET</v>
          </cell>
          <cell r="D332" t="str">
            <v>Space Heating</v>
          </cell>
          <cell r="E332" t="str">
            <v>Furnace</v>
          </cell>
          <cell r="F332" t="str">
            <v>C</v>
          </cell>
          <cell r="G332" t="str">
            <v>Y</v>
          </cell>
          <cell r="M332" t="str">
            <v>RET</v>
          </cell>
          <cell r="N332" t="str">
            <v>Existing Furnace</v>
          </cell>
          <cell r="O332">
            <v>2021</v>
          </cell>
          <cell r="P332">
            <v>2030</v>
          </cell>
          <cell r="Q332" t="str">
            <v>Small Office</v>
          </cell>
          <cell r="R332" t="str">
            <v/>
          </cell>
          <cell r="S332">
            <v>0</v>
          </cell>
          <cell r="T332">
            <v>0</v>
          </cell>
          <cell r="U332">
            <v>0</v>
          </cell>
          <cell r="V332">
            <v>24.625280604069985</v>
          </cell>
          <cell r="W332">
            <v>0.15789473684210512</v>
          </cell>
          <cell r="X332" t="str">
            <v>-</v>
          </cell>
          <cell r="Y332" t="str">
            <v>7,11</v>
          </cell>
          <cell r="Z332" t="str">
            <v>7,11</v>
          </cell>
          <cell r="AA332">
            <v>0</v>
          </cell>
          <cell r="AB332">
            <v>0</v>
          </cell>
          <cell r="AC332">
            <v>4117</v>
          </cell>
          <cell r="AD332">
            <v>167.18591216051183</v>
          </cell>
          <cell r="AE332">
            <v>9</v>
          </cell>
          <cell r="AF332">
            <v>9</v>
          </cell>
          <cell r="AG332">
            <v>25</v>
          </cell>
          <cell r="AH332">
            <v>18</v>
          </cell>
          <cell r="AI332">
            <v>3580</v>
          </cell>
          <cell r="AJ332">
            <v>145.37905405261898</v>
          </cell>
          <cell r="AK332">
            <v>1</v>
          </cell>
          <cell r="AL332" t="str">
            <v>-</v>
          </cell>
          <cell r="AM332" t="str">
            <v>-</v>
          </cell>
          <cell r="AN332" t="str">
            <v/>
          </cell>
          <cell r="AO332">
            <v>0</v>
          </cell>
          <cell r="AP332" t="str">
            <v>-</v>
          </cell>
          <cell r="AQ332">
            <v>0</v>
          </cell>
          <cell r="AR332" t="str">
            <v>-</v>
          </cell>
          <cell r="AS332">
            <v>0</v>
          </cell>
          <cell r="AT332" t="str">
            <v/>
          </cell>
          <cell r="AU332">
            <v>0</v>
          </cell>
          <cell r="AV332" t="str">
            <v>-</v>
          </cell>
          <cell r="AW332">
            <v>0</v>
          </cell>
          <cell r="AX332" t="str">
            <v>-</v>
          </cell>
          <cell r="AY332">
            <v>0</v>
          </cell>
          <cell r="AZ332" t="str">
            <v/>
          </cell>
          <cell r="BA332">
            <v>0</v>
          </cell>
          <cell r="BB332" t="str">
            <v>-</v>
          </cell>
          <cell r="BC332">
            <v>0</v>
          </cell>
          <cell r="BD332" t="str">
            <v>-</v>
          </cell>
          <cell r="BE332">
            <v>0</v>
          </cell>
          <cell r="BF332" t="str">
            <v/>
          </cell>
          <cell r="BG332">
            <v>0</v>
          </cell>
          <cell r="BH332" t="str">
            <v>-</v>
          </cell>
          <cell r="BI332">
            <v>0</v>
          </cell>
          <cell r="BJ332" t="str">
            <v>-</v>
          </cell>
          <cell r="BK332">
            <v>0</v>
          </cell>
          <cell r="BL332">
            <v>0</v>
          </cell>
          <cell r="BM332" t="str">
            <v>-</v>
          </cell>
          <cell r="BN332">
            <v>20</v>
          </cell>
          <cell r="BO332" t="str">
            <v/>
          </cell>
          <cell r="BP332">
            <v>0</v>
          </cell>
          <cell r="BQ332">
            <v>0</v>
          </cell>
          <cell r="BR332" t="str">
            <v>-</v>
          </cell>
          <cell r="BS332">
            <v>0</v>
          </cell>
          <cell r="BT332">
            <v>0</v>
          </cell>
          <cell r="BU332" t="str">
            <v>-</v>
          </cell>
        </row>
        <row r="333">
          <cell r="A333" t="str">
            <v>20902RET</v>
          </cell>
          <cell r="B333">
            <v>20902</v>
          </cell>
          <cell r="C333" t="str">
            <v>RET</v>
          </cell>
          <cell r="D333" t="str">
            <v>Space Heating</v>
          </cell>
          <cell r="E333" t="str">
            <v>Forced Air Heating Maintenance</v>
          </cell>
          <cell r="F333" t="str">
            <v>C</v>
          </cell>
          <cell r="G333" t="str">
            <v>Y</v>
          </cell>
          <cell r="M333" t="str">
            <v>RET</v>
          </cell>
          <cell r="N333" t="str">
            <v>Unmaintained forced air heater</v>
          </cell>
          <cell r="O333">
            <v>2021</v>
          </cell>
          <cell r="P333">
            <v>2030</v>
          </cell>
          <cell r="Q333" t="str">
            <v>Small Office</v>
          </cell>
          <cell r="R333" t="str">
            <v/>
          </cell>
          <cell r="S333">
            <v>0</v>
          </cell>
          <cell r="T333">
            <v>0</v>
          </cell>
          <cell r="U333">
            <v>0</v>
          </cell>
          <cell r="V333">
            <v>2.4953617678790945</v>
          </cell>
          <cell r="W333">
            <v>0.02</v>
          </cell>
          <cell r="X333" t="str">
            <v>-</v>
          </cell>
          <cell r="Y333" t="str">
            <v>7,8</v>
          </cell>
          <cell r="Z333" t="str">
            <v>7,8</v>
          </cell>
          <cell r="AA333">
            <v>0</v>
          </cell>
          <cell r="AB333">
            <v>0</v>
          </cell>
          <cell r="AC333">
            <v>280.79766095650871</v>
          </cell>
          <cell r="AD333">
            <v>112.52783647285324</v>
          </cell>
          <cell r="AE333">
            <v>8</v>
          </cell>
          <cell r="AF333">
            <v>8</v>
          </cell>
          <cell r="AG333">
            <v>0</v>
          </cell>
          <cell r="AH333">
            <v>0</v>
          </cell>
          <cell r="AI333">
            <v>0</v>
          </cell>
          <cell r="AJ333">
            <v>0</v>
          </cell>
          <cell r="AK333">
            <v>0</v>
          </cell>
          <cell r="AL333" t="str">
            <v>-</v>
          </cell>
          <cell r="AM333" t="str">
            <v>-</v>
          </cell>
          <cell r="AN333" t="str">
            <v/>
          </cell>
          <cell r="AO333">
            <v>0</v>
          </cell>
          <cell r="AP333" t="str">
            <v>-</v>
          </cell>
          <cell r="AQ333">
            <v>0</v>
          </cell>
          <cell r="AR333" t="str">
            <v>-</v>
          </cell>
          <cell r="AS333">
            <v>0</v>
          </cell>
          <cell r="AT333" t="str">
            <v/>
          </cell>
          <cell r="AU333">
            <v>0</v>
          </cell>
          <cell r="AV333" t="str">
            <v>-</v>
          </cell>
          <cell r="AW333">
            <v>0</v>
          </cell>
          <cell r="AX333" t="str">
            <v>-</v>
          </cell>
          <cell r="AY333">
            <v>0</v>
          </cell>
          <cell r="AZ333" t="str">
            <v/>
          </cell>
          <cell r="BA333">
            <v>0</v>
          </cell>
          <cell r="BB333" t="str">
            <v>-</v>
          </cell>
          <cell r="BC333">
            <v>0</v>
          </cell>
          <cell r="BD333" t="str">
            <v>-</v>
          </cell>
          <cell r="BE333">
            <v>0</v>
          </cell>
          <cell r="BF333" t="str">
            <v/>
          </cell>
          <cell r="BG333">
            <v>0</v>
          </cell>
          <cell r="BH333" t="str">
            <v>-</v>
          </cell>
          <cell r="BI333">
            <v>0</v>
          </cell>
          <cell r="BJ333" t="str">
            <v>-</v>
          </cell>
          <cell r="BK333">
            <v>0</v>
          </cell>
          <cell r="BL333">
            <v>0</v>
          </cell>
          <cell r="BM333" t="str">
            <v>-</v>
          </cell>
          <cell r="BN333">
            <v>5</v>
          </cell>
          <cell r="BO333" t="str">
            <v/>
          </cell>
          <cell r="BP333">
            <v>0</v>
          </cell>
          <cell r="BQ333">
            <v>0</v>
          </cell>
          <cell r="BR333" t="str">
            <v>-</v>
          </cell>
          <cell r="BS333">
            <v>0</v>
          </cell>
          <cell r="BT333">
            <v>0</v>
          </cell>
          <cell r="BU333" t="str">
            <v>-</v>
          </cell>
        </row>
        <row r="334">
          <cell r="A334" t="str">
            <v>20903MD</v>
          </cell>
          <cell r="B334">
            <v>20903</v>
          </cell>
          <cell r="C334" t="str">
            <v>MD</v>
          </cell>
          <cell r="D334" t="str">
            <v>Space Heating</v>
          </cell>
          <cell r="E334" t="str">
            <v>Boiler</v>
          </cell>
          <cell r="F334" t="str">
            <v>C</v>
          </cell>
          <cell r="G334" t="str">
            <v>Y</v>
          </cell>
          <cell r="M334" t="str">
            <v>NC, RENO, REPL</v>
          </cell>
          <cell r="N334" t="str">
            <v>Code Compliant Boiler</v>
          </cell>
          <cell r="O334">
            <v>2021</v>
          </cell>
          <cell r="P334">
            <v>2030</v>
          </cell>
          <cell r="Q334" t="str">
            <v>Large Office</v>
          </cell>
          <cell r="R334" t="str">
            <v/>
          </cell>
          <cell r="S334">
            <v>0</v>
          </cell>
          <cell r="T334">
            <v>0</v>
          </cell>
          <cell r="U334">
            <v>0</v>
          </cell>
          <cell r="V334">
            <v>329.67330468055229</v>
          </cell>
          <cell r="W334">
            <v>0.15789473684210517</v>
          </cell>
          <cell r="X334" t="str">
            <v>-</v>
          </cell>
          <cell r="Y334" t="str">
            <v>7,11</v>
          </cell>
          <cell r="Z334" t="str">
            <v>7,11</v>
          </cell>
          <cell r="AA334">
            <v>0</v>
          </cell>
          <cell r="AB334">
            <v>0</v>
          </cell>
          <cell r="AC334">
            <v>17288</v>
          </cell>
          <cell r="AD334">
            <v>52.439793439604614</v>
          </cell>
          <cell r="AE334">
            <v>9</v>
          </cell>
          <cell r="AF334">
            <v>9</v>
          </cell>
          <cell r="AG334">
            <v>0</v>
          </cell>
          <cell r="AH334">
            <v>0</v>
          </cell>
          <cell r="AI334">
            <v>0</v>
          </cell>
          <cell r="AJ334">
            <v>0</v>
          </cell>
          <cell r="AK334">
            <v>0</v>
          </cell>
          <cell r="AL334" t="str">
            <v>-</v>
          </cell>
          <cell r="AM334" t="str">
            <v>-</v>
          </cell>
          <cell r="AN334" t="str">
            <v/>
          </cell>
          <cell r="AO334">
            <v>0</v>
          </cell>
          <cell r="AP334" t="str">
            <v>-</v>
          </cell>
          <cell r="AQ334">
            <v>0</v>
          </cell>
          <cell r="AR334" t="str">
            <v>-</v>
          </cell>
          <cell r="AS334">
            <v>0</v>
          </cell>
          <cell r="AT334" t="str">
            <v/>
          </cell>
          <cell r="AU334">
            <v>0</v>
          </cell>
          <cell r="AV334" t="str">
            <v>-</v>
          </cell>
          <cell r="AW334">
            <v>0</v>
          </cell>
          <cell r="AX334" t="str">
            <v>-</v>
          </cell>
          <cell r="AY334">
            <v>0</v>
          </cell>
          <cell r="AZ334" t="str">
            <v/>
          </cell>
          <cell r="BA334">
            <v>0</v>
          </cell>
          <cell r="BB334" t="str">
            <v>-</v>
          </cell>
          <cell r="BC334">
            <v>0</v>
          </cell>
          <cell r="BD334" t="str">
            <v>-</v>
          </cell>
          <cell r="BE334">
            <v>0</v>
          </cell>
          <cell r="BF334" t="str">
            <v/>
          </cell>
          <cell r="BG334">
            <v>0</v>
          </cell>
          <cell r="BH334" t="str">
            <v>-</v>
          </cell>
          <cell r="BI334">
            <v>0</v>
          </cell>
          <cell r="BJ334" t="str">
            <v>-</v>
          </cell>
          <cell r="BK334">
            <v>0</v>
          </cell>
          <cell r="BL334">
            <v>0</v>
          </cell>
          <cell r="BM334" t="str">
            <v>-</v>
          </cell>
          <cell r="BN334">
            <v>20</v>
          </cell>
          <cell r="BO334" t="str">
            <v/>
          </cell>
          <cell r="BP334">
            <v>0</v>
          </cell>
          <cell r="BQ334">
            <v>0</v>
          </cell>
          <cell r="BR334" t="str">
            <v>-</v>
          </cell>
          <cell r="BS334">
            <v>0</v>
          </cell>
          <cell r="BT334">
            <v>0</v>
          </cell>
          <cell r="BU334" t="str">
            <v>-</v>
          </cell>
        </row>
        <row r="335">
          <cell r="A335" t="str">
            <v>20903RET</v>
          </cell>
          <cell r="B335">
            <v>20903</v>
          </cell>
          <cell r="C335" t="str">
            <v>RET</v>
          </cell>
          <cell r="D335" t="str">
            <v>Space Heating</v>
          </cell>
          <cell r="E335" t="str">
            <v>Boiler</v>
          </cell>
          <cell r="F335" t="str">
            <v>C</v>
          </cell>
          <cell r="G335" t="str">
            <v>Y</v>
          </cell>
          <cell r="M335" t="str">
            <v>RET</v>
          </cell>
          <cell r="N335" t="str">
            <v>Existing Boiler</v>
          </cell>
          <cell r="O335">
            <v>2021</v>
          </cell>
          <cell r="P335">
            <v>2030</v>
          </cell>
          <cell r="Q335" t="str">
            <v>Large Office</v>
          </cell>
          <cell r="R335" t="str">
            <v/>
          </cell>
          <cell r="S335">
            <v>0</v>
          </cell>
          <cell r="T335">
            <v>0</v>
          </cell>
          <cell r="U335">
            <v>0</v>
          </cell>
          <cell r="V335">
            <v>329.67330468055229</v>
          </cell>
          <cell r="W335">
            <v>0.15789473684210517</v>
          </cell>
          <cell r="X335" t="str">
            <v>-</v>
          </cell>
          <cell r="Y335" t="str">
            <v>7,11</v>
          </cell>
          <cell r="Z335" t="str">
            <v>7,11</v>
          </cell>
          <cell r="AA335">
            <v>0</v>
          </cell>
          <cell r="AB335">
            <v>0</v>
          </cell>
          <cell r="AC335">
            <v>132541.33333333334</v>
          </cell>
          <cell r="AD335">
            <v>402.03841637030212</v>
          </cell>
          <cell r="AE335">
            <v>9</v>
          </cell>
          <cell r="AF335">
            <v>9</v>
          </cell>
          <cell r="AG335">
            <v>25</v>
          </cell>
          <cell r="AH335">
            <v>18</v>
          </cell>
          <cell r="AI335">
            <v>115253.33333333334</v>
          </cell>
          <cell r="AJ335">
            <v>349.59862293069745</v>
          </cell>
          <cell r="AK335">
            <v>1</v>
          </cell>
          <cell r="AL335" t="str">
            <v>-</v>
          </cell>
          <cell r="AM335" t="str">
            <v>-</v>
          </cell>
          <cell r="AN335" t="str">
            <v/>
          </cell>
          <cell r="AO335">
            <v>0</v>
          </cell>
          <cell r="AP335" t="str">
            <v>-</v>
          </cell>
          <cell r="AQ335">
            <v>0</v>
          </cell>
          <cell r="AR335" t="str">
            <v>-</v>
          </cell>
          <cell r="AS335">
            <v>0</v>
          </cell>
          <cell r="AT335" t="str">
            <v/>
          </cell>
          <cell r="AU335">
            <v>0</v>
          </cell>
          <cell r="AV335" t="str">
            <v>-</v>
          </cell>
          <cell r="AW335">
            <v>0</v>
          </cell>
          <cell r="AX335" t="str">
            <v>-</v>
          </cell>
          <cell r="AY335">
            <v>0</v>
          </cell>
          <cell r="AZ335" t="str">
            <v/>
          </cell>
          <cell r="BA335">
            <v>0</v>
          </cell>
          <cell r="BB335" t="str">
            <v>-</v>
          </cell>
          <cell r="BC335">
            <v>0</v>
          </cell>
          <cell r="BD335" t="str">
            <v>-</v>
          </cell>
          <cell r="BE335">
            <v>0</v>
          </cell>
          <cell r="BF335" t="str">
            <v/>
          </cell>
          <cell r="BG335">
            <v>0</v>
          </cell>
          <cell r="BH335" t="str">
            <v>-</v>
          </cell>
          <cell r="BI335">
            <v>0</v>
          </cell>
          <cell r="BJ335" t="str">
            <v>-</v>
          </cell>
          <cell r="BK335">
            <v>0</v>
          </cell>
          <cell r="BL335">
            <v>0</v>
          </cell>
          <cell r="BM335" t="str">
            <v>-</v>
          </cell>
          <cell r="BN335">
            <v>20</v>
          </cell>
          <cell r="BO335" t="str">
            <v/>
          </cell>
          <cell r="BP335">
            <v>0</v>
          </cell>
          <cell r="BQ335">
            <v>0</v>
          </cell>
          <cell r="BR335" t="str">
            <v>-</v>
          </cell>
          <cell r="BS335">
            <v>0</v>
          </cell>
          <cell r="BT335">
            <v>0</v>
          </cell>
          <cell r="BU335" t="str">
            <v>-</v>
          </cell>
        </row>
        <row r="336">
          <cell r="A336" t="str">
            <v>20904RET</v>
          </cell>
          <cell r="B336">
            <v>20904</v>
          </cell>
          <cell r="C336" t="str">
            <v>RET</v>
          </cell>
          <cell r="D336" t="str">
            <v>Space Heating</v>
          </cell>
          <cell r="E336" t="str">
            <v>Boiler Blowdown Controls</v>
          </cell>
          <cell r="F336" t="str">
            <v>C</v>
          </cell>
          <cell r="G336" t="str">
            <v>Y</v>
          </cell>
          <cell r="M336" t="str">
            <v>RET</v>
          </cell>
          <cell r="N336" t="str">
            <v>Boiler with no blowdown controls</v>
          </cell>
          <cell r="O336">
            <v>2021</v>
          </cell>
          <cell r="P336">
            <v>2030</v>
          </cell>
          <cell r="Q336" t="str">
            <v>Large Office</v>
          </cell>
          <cell r="R336" t="str">
            <v/>
          </cell>
          <cell r="S336">
            <v>0</v>
          </cell>
          <cell r="T336">
            <v>0</v>
          </cell>
          <cell r="U336">
            <v>0</v>
          </cell>
          <cell r="V336">
            <v>41.758618592869979</v>
          </cell>
          <cell r="W336">
            <v>0.02</v>
          </cell>
          <cell r="X336" t="str">
            <v>-</v>
          </cell>
          <cell r="Y336" t="str">
            <v>7,8</v>
          </cell>
          <cell r="Z336" t="str">
            <v>7,8</v>
          </cell>
          <cell r="AA336">
            <v>0</v>
          </cell>
          <cell r="AB336">
            <v>0</v>
          </cell>
          <cell r="AC336">
            <v>4250</v>
          </cell>
          <cell r="AD336">
            <v>101.77539734816948</v>
          </cell>
          <cell r="AE336">
            <v>8</v>
          </cell>
          <cell r="AF336">
            <v>8</v>
          </cell>
          <cell r="AG336">
            <v>0</v>
          </cell>
          <cell r="AH336">
            <v>0</v>
          </cell>
          <cell r="AI336">
            <v>0</v>
          </cell>
          <cell r="AJ336">
            <v>0</v>
          </cell>
          <cell r="AK336">
            <v>0</v>
          </cell>
          <cell r="AL336" t="str">
            <v>-</v>
          </cell>
          <cell r="AM336" t="str">
            <v>-</v>
          </cell>
          <cell r="AN336" t="str">
            <v/>
          </cell>
          <cell r="AO336">
            <v>0</v>
          </cell>
          <cell r="AP336" t="str">
            <v>-</v>
          </cell>
          <cell r="AQ336">
            <v>0</v>
          </cell>
          <cell r="AR336" t="str">
            <v>-</v>
          </cell>
          <cell r="AS336">
            <v>0</v>
          </cell>
          <cell r="AT336" t="str">
            <v/>
          </cell>
          <cell r="AU336">
            <v>0</v>
          </cell>
          <cell r="AV336" t="str">
            <v>-</v>
          </cell>
          <cell r="AW336">
            <v>0</v>
          </cell>
          <cell r="AX336" t="str">
            <v>-</v>
          </cell>
          <cell r="AY336">
            <v>0</v>
          </cell>
          <cell r="AZ336" t="str">
            <v/>
          </cell>
          <cell r="BA336">
            <v>0</v>
          </cell>
          <cell r="BB336" t="str">
            <v>-</v>
          </cell>
          <cell r="BC336">
            <v>0</v>
          </cell>
          <cell r="BD336" t="str">
            <v>-</v>
          </cell>
          <cell r="BE336">
            <v>0</v>
          </cell>
          <cell r="BF336" t="str">
            <v/>
          </cell>
          <cell r="BG336">
            <v>0</v>
          </cell>
          <cell r="BH336" t="str">
            <v>-</v>
          </cell>
          <cell r="BI336">
            <v>0</v>
          </cell>
          <cell r="BJ336" t="str">
            <v>-</v>
          </cell>
          <cell r="BK336">
            <v>0</v>
          </cell>
          <cell r="BL336">
            <v>0</v>
          </cell>
          <cell r="BM336" t="str">
            <v>-</v>
          </cell>
          <cell r="BN336">
            <v>5</v>
          </cell>
          <cell r="BO336" t="str">
            <v/>
          </cell>
          <cell r="BP336">
            <v>0</v>
          </cell>
          <cell r="BQ336">
            <v>0</v>
          </cell>
          <cell r="BR336" t="str">
            <v>-</v>
          </cell>
          <cell r="BS336">
            <v>0</v>
          </cell>
          <cell r="BT336">
            <v>0</v>
          </cell>
          <cell r="BU336" t="str">
            <v>-</v>
          </cell>
        </row>
        <row r="337">
          <cell r="A337" t="str">
            <v>20905RET</v>
          </cell>
          <cell r="B337">
            <v>20905</v>
          </cell>
          <cell r="C337" t="str">
            <v>RET</v>
          </cell>
          <cell r="D337" t="str">
            <v>Space Heating</v>
          </cell>
          <cell r="E337" t="str">
            <v>Boiler Modifications</v>
          </cell>
          <cell r="F337" t="str">
            <v>C</v>
          </cell>
          <cell r="G337" t="str">
            <v>Y</v>
          </cell>
          <cell r="M337" t="str">
            <v>RET</v>
          </cell>
          <cell r="N337" t="str">
            <v>Standard boiler</v>
          </cell>
          <cell r="O337">
            <v>2021</v>
          </cell>
          <cell r="P337">
            <v>2030</v>
          </cell>
          <cell r="Q337" t="str">
            <v>Large Office</v>
          </cell>
          <cell r="R337" t="str">
            <v/>
          </cell>
          <cell r="S337">
            <v>0</v>
          </cell>
          <cell r="T337">
            <v>0</v>
          </cell>
          <cell r="U337">
            <v>0</v>
          </cell>
          <cell r="V337">
            <v>292.54311356943583</v>
          </cell>
          <cell r="W337">
            <v>8.4066894000000003E-2</v>
          </cell>
          <cell r="X337" t="str">
            <v>-</v>
          </cell>
          <cell r="Y337" t="str">
            <v>7,8</v>
          </cell>
          <cell r="Z337" t="str">
            <v>7,8</v>
          </cell>
          <cell r="AA337">
            <v>0</v>
          </cell>
          <cell r="AB337">
            <v>0</v>
          </cell>
          <cell r="AC337">
            <v>4667.9644268831826</v>
          </cell>
          <cell r="AD337">
            <v>15.956500804026719</v>
          </cell>
          <cell r="AE337">
            <v>8</v>
          </cell>
          <cell r="AF337">
            <v>8</v>
          </cell>
          <cell r="AG337">
            <v>0</v>
          </cell>
          <cell r="AH337">
            <v>0</v>
          </cell>
          <cell r="AI337">
            <v>0</v>
          </cell>
          <cell r="AJ337">
            <v>0</v>
          </cell>
          <cell r="AK337">
            <v>0</v>
          </cell>
          <cell r="AL337" t="str">
            <v>-</v>
          </cell>
          <cell r="AM337" t="str">
            <v>-</v>
          </cell>
          <cell r="AN337" t="str">
            <v/>
          </cell>
          <cell r="AO337">
            <v>0</v>
          </cell>
          <cell r="AP337" t="str">
            <v>-</v>
          </cell>
          <cell r="AQ337">
            <v>0</v>
          </cell>
          <cell r="AR337" t="str">
            <v>-</v>
          </cell>
          <cell r="AS337">
            <v>0</v>
          </cell>
          <cell r="AT337" t="str">
            <v/>
          </cell>
          <cell r="AU337">
            <v>0</v>
          </cell>
          <cell r="AV337" t="str">
            <v>-</v>
          </cell>
          <cell r="AW337">
            <v>0</v>
          </cell>
          <cell r="AX337" t="str">
            <v>-</v>
          </cell>
          <cell r="AY337">
            <v>0</v>
          </cell>
          <cell r="AZ337" t="str">
            <v/>
          </cell>
          <cell r="BA337">
            <v>0</v>
          </cell>
          <cell r="BB337" t="str">
            <v>-</v>
          </cell>
          <cell r="BC337">
            <v>0</v>
          </cell>
          <cell r="BD337" t="str">
            <v>-</v>
          </cell>
          <cell r="BE337">
            <v>0</v>
          </cell>
          <cell r="BF337" t="str">
            <v/>
          </cell>
          <cell r="BG337">
            <v>0</v>
          </cell>
          <cell r="BH337" t="str">
            <v>-</v>
          </cell>
          <cell r="BI337">
            <v>0</v>
          </cell>
          <cell r="BJ337" t="str">
            <v>-</v>
          </cell>
          <cell r="BK337">
            <v>0</v>
          </cell>
          <cell r="BL337">
            <v>0</v>
          </cell>
          <cell r="BM337" t="str">
            <v>-</v>
          </cell>
          <cell r="BN337">
            <v>9.2222222222222214</v>
          </cell>
          <cell r="BO337" t="str">
            <v/>
          </cell>
          <cell r="BP337">
            <v>0</v>
          </cell>
          <cell r="BQ337">
            <v>0</v>
          </cell>
          <cell r="BR337" t="str">
            <v>-</v>
          </cell>
          <cell r="BS337">
            <v>0</v>
          </cell>
          <cell r="BT337">
            <v>0</v>
          </cell>
          <cell r="BU337" t="str">
            <v>-</v>
          </cell>
        </row>
        <row r="338">
          <cell r="A338" t="str">
            <v>20906MD</v>
          </cell>
          <cell r="B338">
            <v>20906</v>
          </cell>
          <cell r="C338" t="str">
            <v>MD</v>
          </cell>
          <cell r="D338" t="str">
            <v>Space Heating</v>
          </cell>
          <cell r="E338" t="str">
            <v>Unit Heater</v>
          </cell>
          <cell r="F338" t="str">
            <v>C</v>
          </cell>
          <cell r="G338" t="str">
            <v>Y</v>
          </cell>
          <cell r="M338" t="str">
            <v>NC, RENO, REPL</v>
          </cell>
          <cell r="N338" t="str">
            <v>Standard unit heater</v>
          </cell>
          <cell r="O338">
            <v>2021</v>
          </cell>
          <cell r="P338">
            <v>2030</v>
          </cell>
          <cell r="Q338" t="str">
            <v>Small Office</v>
          </cell>
          <cell r="R338" t="str">
            <v/>
          </cell>
          <cell r="S338">
            <v>0</v>
          </cell>
          <cell r="T338">
            <v>0</v>
          </cell>
          <cell r="U338">
            <v>0</v>
          </cell>
          <cell r="V338">
            <v>7.616025287548716</v>
          </cell>
          <cell r="W338">
            <v>0.15789473684210512</v>
          </cell>
          <cell r="X338" t="str">
            <v>-</v>
          </cell>
          <cell r="Y338" t="str">
            <v>7,11</v>
          </cell>
          <cell r="Z338" t="str">
            <v>7,11</v>
          </cell>
          <cell r="AA338">
            <v>0</v>
          </cell>
          <cell r="AB338">
            <v>0</v>
          </cell>
          <cell r="AC338">
            <v>200</v>
          </cell>
          <cell r="AD338">
            <v>26.260417008721848</v>
          </cell>
          <cell r="AE338">
            <v>12</v>
          </cell>
          <cell r="AF338">
            <v>12</v>
          </cell>
          <cell r="AG338">
            <v>0</v>
          </cell>
          <cell r="AH338">
            <v>0</v>
          </cell>
          <cell r="AI338">
            <v>0</v>
          </cell>
          <cell r="AJ338">
            <v>0</v>
          </cell>
          <cell r="AK338">
            <v>0</v>
          </cell>
          <cell r="AL338" t="str">
            <v>-</v>
          </cell>
          <cell r="AM338" t="str">
            <v>-</v>
          </cell>
          <cell r="AN338" t="str">
            <v/>
          </cell>
          <cell r="AO338">
            <v>0</v>
          </cell>
          <cell r="AP338" t="str">
            <v>-</v>
          </cell>
          <cell r="AQ338">
            <v>0</v>
          </cell>
          <cell r="AR338" t="str">
            <v>-</v>
          </cell>
          <cell r="AS338">
            <v>0</v>
          </cell>
          <cell r="AT338" t="str">
            <v/>
          </cell>
          <cell r="AU338">
            <v>0</v>
          </cell>
          <cell r="AV338" t="str">
            <v>-</v>
          </cell>
          <cell r="AW338">
            <v>0</v>
          </cell>
          <cell r="AX338" t="str">
            <v>-</v>
          </cell>
          <cell r="AY338">
            <v>0</v>
          </cell>
          <cell r="AZ338" t="str">
            <v/>
          </cell>
          <cell r="BA338">
            <v>0</v>
          </cell>
          <cell r="BB338" t="str">
            <v>-</v>
          </cell>
          <cell r="BC338">
            <v>0</v>
          </cell>
          <cell r="BD338" t="str">
            <v>-</v>
          </cell>
          <cell r="BE338">
            <v>0</v>
          </cell>
          <cell r="BF338" t="str">
            <v/>
          </cell>
          <cell r="BG338">
            <v>0</v>
          </cell>
          <cell r="BH338" t="str">
            <v>-</v>
          </cell>
          <cell r="BI338">
            <v>0</v>
          </cell>
          <cell r="BJ338" t="str">
            <v>-</v>
          </cell>
          <cell r="BK338">
            <v>0</v>
          </cell>
          <cell r="BL338">
            <v>0</v>
          </cell>
          <cell r="BM338" t="str">
            <v>-</v>
          </cell>
          <cell r="BN338">
            <v>17</v>
          </cell>
          <cell r="BO338" t="str">
            <v/>
          </cell>
          <cell r="BP338">
            <v>0</v>
          </cell>
          <cell r="BQ338">
            <v>0</v>
          </cell>
          <cell r="BR338" t="str">
            <v>-</v>
          </cell>
          <cell r="BS338">
            <v>0</v>
          </cell>
          <cell r="BT338">
            <v>0</v>
          </cell>
          <cell r="BU338" t="str">
            <v>-</v>
          </cell>
        </row>
        <row r="339">
          <cell r="A339" t="str">
            <v>20906RET</v>
          </cell>
          <cell r="B339">
            <v>20906</v>
          </cell>
          <cell r="C339" t="str">
            <v>RET</v>
          </cell>
          <cell r="D339" t="str">
            <v>Space Heating</v>
          </cell>
          <cell r="E339" t="str">
            <v>Unit Heater</v>
          </cell>
          <cell r="F339" t="str">
            <v>C</v>
          </cell>
          <cell r="G339" t="str">
            <v>Y</v>
          </cell>
          <cell r="M339" t="str">
            <v>RET</v>
          </cell>
          <cell r="N339" t="str">
            <v>Standard unit heater</v>
          </cell>
          <cell r="O339">
            <v>2021</v>
          </cell>
          <cell r="P339">
            <v>2030</v>
          </cell>
          <cell r="Q339" t="str">
            <v>Small Office</v>
          </cell>
          <cell r="R339" t="str">
            <v/>
          </cell>
          <cell r="S339">
            <v>0</v>
          </cell>
          <cell r="T339">
            <v>0</v>
          </cell>
          <cell r="U339">
            <v>0</v>
          </cell>
          <cell r="V339">
            <v>7.616025287548716</v>
          </cell>
          <cell r="W339">
            <v>0.15789473684210512</v>
          </cell>
          <cell r="X339" t="str">
            <v>-</v>
          </cell>
          <cell r="Y339" t="str">
            <v>7,11</v>
          </cell>
          <cell r="Z339" t="str">
            <v>7,11</v>
          </cell>
          <cell r="AA339">
            <v>0</v>
          </cell>
          <cell r="AB339">
            <v>0</v>
          </cell>
          <cell r="AC339">
            <v>1533.3333333333335</v>
          </cell>
          <cell r="AD339">
            <v>201.32986373353418</v>
          </cell>
          <cell r="AE339">
            <v>12</v>
          </cell>
          <cell r="AF339">
            <v>12</v>
          </cell>
          <cell r="AG339">
            <v>17</v>
          </cell>
          <cell r="AH339">
            <v>12</v>
          </cell>
          <cell r="AI339">
            <v>1333.3333333333335</v>
          </cell>
          <cell r="AJ339">
            <v>175.06944672481234</v>
          </cell>
          <cell r="AK339">
            <v>1</v>
          </cell>
          <cell r="AL339" t="str">
            <v>-</v>
          </cell>
          <cell r="AM339" t="str">
            <v>-</v>
          </cell>
          <cell r="AN339" t="str">
            <v/>
          </cell>
          <cell r="AO339">
            <v>0</v>
          </cell>
          <cell r="AP339" t="str">
            <v>-</v>
          </cell>
          <cell r="AQ339">
            <v>0</v>
          </cell>
          <cell r="AR339" t="str">
            <v>-</v>
          </cell>
          <cell r="AS339">
            <v>0</v>
          </cell>
          <cell r="AT339" t="str">
            <v/>
          </cell>
          <cell r="AU339">
            <v>0</v>
          </cell>
          <cell r="AV339" t="str">
            <v>-</v>
          </cell>
          <cell r="AW339">
            <v>0</v>
          </cell>
          <cell r="AX339" t="str">
            <v>-</v>
          </cell>
          <cell r="AY339">
            <v>0</v>
          </cell>
          <cell r="AZ339" t="str">
            <v/>
          </cell>
          <cell r="BA339">
            <v>0</v>
          </cell>
          <cell r="BB339" t="str">
            <v>-</v>
          </cell>
          <cell r="BC339">
            <v>0</v>
          </cell>
          <cell r="BD339" t="str">
            <v>-</v>
          </cell>
          <cell r="BE339">
            <v>0</v>
          </cell>
          <cell r="BF339" t="str">
            <v/>
          </cell>
          <cell r="BG339">
            <v>0</v>
          </cell>
          <cell r="BH339" t="str">
            <v>-</v>
          </cell>
          <cell r="BI339">
            <v>0</v>
          </cell>
          <cell r="BJ339" t="str">
            <v>-</v>
          </cell>
          <cell r="BK339">
            <v>0</v>
          </cell>
          <cell r="BL339">
            <v>0</v>
          </cell>
          <cell r="BM339" t="str">
            <v>-</v>
          </cell>
          <cell r="BN339">
            <v>17</v>
          </cell>
          <cell r="BO339" t="str">
            <v/>
          </cell>
          <cell r="BP339">
            <v>0</v>
          </cell>
          <cell r="BQ339">
            <v>0</v>
          </cell>
          <cell r="BR339" t="str">
            <v>-</v>
          </cell>
          <cell r="BS339">
            <v>0</v>
          </cell>
          <cell r="BT339">
            <v>0</v>
          </cell>
          <cell r="BU339" t="str">
            <v>-</v>
          </cell>
        </row>
        <row r="340">
          <cell r="A340" t="str">
            <v>20907MD</v>
          </cell>
          <cell r="B340">
            <v>20907</v>
          </cell>
          <cell r="C340" t="str">
            <v>MD</v>
          </cell>
          <cell r="D340" t="str">
            <v>Space Heating</v>
          </cell>
          <cell r="E340" t="str">
            <v>Infrared Heater</v>
          </cell>
          <cell r="F340" t="str">
            <v>C</v>
          </cell>
          <cell r="G340" t="str">
            <v>Y</v>
          </cell>
          <cell r="M340" t="str">
            <v>NC, RENO, REPL</v>
          </cell>
          <cell r="N340" t="str">
            <v>Standard forced air unit heater</v>
          </cell>
          <cell r="O340">
            <v>2021</v>
          </cell>
          <cell r="P340">
            <v>2030</v>
          </cell>
          <cell r="Q340" t="str">
            <v>Large Warehouse</v>
          </cell>
          <cell r="R340" t="str">
            <v/>
          </cell>
          <cell r="S340">
            <v>0</v>
          </cell>
          <cell r="T340">
            <v>0</v>
          </cell>
          <cell r="U340">
            <v>0</v>
          </cell>
          <cell r="V340">
            <v>23.025392254433196</v>
          </cell>
          <cell r="W340">
            <v>0.45518207282913159</v>
          </cell>
          <cell r="X340" t="str">
            <v>-</v>
          </cell>
          <cell r="Y340" t="str">
            <v>7,8,11</v>
          </cell>
          <cell r="Z340" t="str">
            <v>7,8,11</v>
          </cell>
          <cell r="AA340">
            <v>0</v>
          </cell>
          <cell r="AB340">
            <v>0</v>
          </cell>
          <cell r="AC340">
            <v>200</v>
          </cell>
          <cell r="AD340">
            <v>8.6860626646433339</v>
          </cell>
          <cell r="AE340">
            <v>12</v>
          </cell>
          <cell r="AF340">
            <v>12</v>
          </cell>
          <cell r="AG340">
            <v>0</v>
          </cell>
          <cell r="AH340">
            <v>0</v>
          </cell>
          <cell r="AI340">
            <v>0</v>
          </cell>
          <cell r="AJ340">
            <v>0</v>
          </cell>
          <cell r="AK340">
            <v>0</v>
          </cell>
          <cell r="AL340" t="str">
            <v>-</v>
          </cell>
          <cell r="AM340" t="str">
            <v>-</v>
          </cell>
          <cell r="AN340" t="str">
            <v/>
          </cell>
          <cell r="AO340">
            <v>0</v>
          </cell>
          <cell r="AP340" t="str">
            <v>-</v>
          </cell>
          <cell r="AQ340">
            <v>0</v>
          </cell>
          <cell r="AR340" t="str">
            <v>-</v>
          </cell>
          <cell r="AS340">
            <v>0</v>
          </cell>
          <cell r="AT340" t="str">
            <v/>
          </cell>
          <cell r="AU340">
            <v>0</v>
          </cell>
          <cell r="AV340" t="str">
            <v>-</v>
          </cell>
          <cell r="AW340">
            <v>0</v>
          </cell>
          <cell r="AX340" t="str">
            <v>-</v>
          </cell>
          <cell r="AY340">
            <v>0</v>
          </cell>
          <cell r="AZ340" t="str">
            <v/>
          </cell>
          <cell r="BA340">
            <v>0</v>
          </cell>
          <cell r="BB340" t="str">
            <v>-</v>
          </cell>
          <cell r="BC340">
            <v>0</v>
          </cell>
          <cell r="BD340" t="str">
            <v>-</v>
          </cell>
          <cell r="BE340">
            <v>0</v>
          </cell>
          <cell r="BF340" t="str">
            <v/>
          </cell>
          <cell r="BG340">
            <v>0</v>
          </cell>
          <cell r="BH340" t="str">
            <v>-</v>
          </cell>
          <cell r="BI340">
            <v>0</v>
          </cell>
          <cell r="BJ340" t="str">
            <v>-</v>
          </cell>
          <cell r="BK340">
            <v>0</v>
          </cell>
          <cell r="BL340">
            <v>0</v>
          </cell>
          <cell r="BM340" t="str">
            <v>-</v>
          </cell>
          <cell r="BN340">
            <v>17</v>
          </cell>
          <cell r="BO340" t="str">
            <v/>
          </cell>
          <cell r="BP340">
            <v>0</v>
          </cell>
          <cell r="BQ340">
            <v>0</v>
          </cell>
          <cell r="BR340" t="str">
            <v>-</v>
          </cell>
          <cell r="BS340">
            <v>0</v>
          </cell>
          <cell r="BT340">
            <v>0</v>
          </cell>
          <cell r="BU340" t="str">
            <v>-</v>
          </cell>
        </row>
        <row r="341">
          <cell r="A341" t="str">
            <v>20907RET</v>
          </cell>
          <cell r="B341">
            <v>20907</v>
          </cell>
          <cell r="C341" t="str">
            <v>RET</v>
          </cell>
          <cell r="D341" t="str">
            <v>Space Heating</v>
          </cell>
          <cell r="E341" t="str">
            <v>Infrared Heater</v>
          </cell>
          <cell r="F341" t="str">
            <v>C</v>
          </cell>
          <cell r="G341" t="str">
            <v>Y</v>
          </cell>
          <cell r="M341" t="str">
            <v>RET</v>
          </cell>
          <cell r="N341" t="str">
            <v>Standard forced air unit heater</v>
          </cell>
          <cell r="O341">
            <v>2021</v>
          </cell>
          <cell r="P341">
            <v>2030</v>
          </cell>
          <cell r="Q341" t="str">
            <v>Large Warehouse</v>
          </cell>
          <cell r="R341" t="str">
            <v/>
          </cell>
          <cell r="S341">
            <v>0</v>
          </cell>
          <cell r="T341">
            <v>0</v>
          </cell>
          <cell r="U341">
            <v>0</v>
          </cell>
          <cell r="V341">
            <v>23.025392254433196</v>
          </cell>
          <cell r="W341">
            <v>0.45518207282913159</v>
          </cell>
          <cell r="X341" t="str">
            <v>-</v>
          </cell>
          <cell r="Y341" t="str">
            <v>7,8,11</v>
          </cell>
          <cell r="Z341" t="str">
            <v>7,8,11</v>
          </cell>
          <cell r="AA341">
            <v>0</v>
          </cell>
          <cell r="AB341">
            <v>0</v>
          </cell>
          <cell r="AC341">
            <v>600</v>
          </cell>
          <cell r="AD341">
            <v>26.058187993930002</v>
          </cell>
          <cell r="AE341">
            <v>12</v>
          </cell>
          <cell r="AF341">
            <v>12</v>
          </cell>
          <cell r="AG341">
            <v>17</v>
          </cell>
          <cell r="AH341">
            <v>12</v>
          </cell>
          <cell r="AI341">
            <v>400</v>
          </cell>
          <cell r="AJ341">
            <v>17.372125329286668</v>
          </cell>
          <cell r="AK341">
            <v>1</v>
          </cell>
          <cell r="AL341" t="str">
            <v>-</v>
          </cell>
          <cell r="AM341" t="str">
            <v>-</v>
          </cell>
          <cell r="AN341" t="str">
            <v/>
          </cell>
          <cell r="AO341">
            <v>0</v>
          </cell>
          <cell r="AP341" t="str">
            <v>-</v>
          </cell>
          <cell r="AQ341">
            <v>0</v>
          </cell>
          <cell r="AR341" t="str">
            <v>-</v>
          </cell>
          <cell r="AS341">
            <v>0</v>
          </cell>
          <cell r="AT341" t="str">
            <v/>
          </cell>
          <cell r="AU341">
            <v>0</v>
          </cell>
          <cell r="AV341" t="str">
            <v>-</v>
          </cell>
          <cell r="AW341">
            <v>0</v>
          </cell>
          <cell r="AX341" t="str">
            <v>-</v>
          </cell>
          <cell r="AY341">
            <v>0</v>
          </cell>
          <cell r="AZ341" t="str">
            <v/>
          </cell>
          <cell r="BA341">
            <v>0</v>
          </cell>
          <cell r="BB341" t="str">
            <v>-</v>
          </cell>
          <cell r="BC341">
            <v>0</v>
          </cell>
          <cell r="BD341" t="str">
            <v>-</v>
          </cell>
          <cell r="BE341">
            <v>0</v>
          </cell>
          <cell r="BF341" t="str">
            <v/>
          </cell>
          <cell r="BG341">
            <v>0</v>
          </cell>
          <cell r="BH341" t="str">
            <v>-</v>
          </cell>
          <cell r="BI341">
            <v>0</v>
          </cell>
          <cell r="BJ341" t="str">
            <v>-</v>
          </cell>
          <cell r="BK341">
            <v>0</v>
          </cell>
          <cell r="BL341">
            <v>0</v>
          </cell>
          <cell r="BM341" t="str">
            <v>-</v>
          </cell>
          <cell r="BN341">
            <v>17</v>
          </cell>
          <cell r="BO341" t="str">
            <v/>
          </cell>
          <cell r="BP341">
            <v>0</v>
          </cell>
          <cell r="BQ341">
            <v>0</v>
          </cell>
          <cell r="BR341" t="str">
            <v>-</v>
          </cell>
          <cell r="BS341">
            <v>0</v>
          </cell>
          <cell r="BT341">
            <v>0</v>
          </cell>
          <cell r="BU341" t="str">
            <v>-</v>
          </cell>
        </row>
        <row r="342">
          <cell r="A342" t="str">
            <v>20908MD</v>
          </cell>
          <cell r="B342">
            <v>20908</v>
          </cell>
          <cell r="C342" t="str">
            <v>MD</v>
          </cell>
          <cell r="D342" t="str">
            <v>Space Heating</v>
          </cell>
          <cell r="E342" t="str">
            <v>Destratification Fans</v>
          </cell>
          <cell r="F342" t="str">
            <v>C</v>
          </cell>
          <cell r="G342" t="str">
            <v>Y</v>
          </cell>
          <cell r="M342" t="str">
            <v>NC, RENO, REPL</v>
          </cell>
          <cell r="N342" t="str">
            <v>No Destratification fans</v>
          </cell>
          <cell r="O342">
            <v>2021</v>
          </cell>
          <cell r="P342">
            <v>2030</v>
          </cell>
          <cell r="Q342" t="str">
            <v>Large Warehouse</v>
          </cell>
          <cell r="R342" t="str">
            <v/>
          </cell>
          <cell r="S342">
            <v>0</v>
          </cell>
          <cell r="T342">
            <v>0</v>
          </cell>
          <cell r="U342">
            <v>0</v>
          </cell>
          <cell r="V342">
            <v>2.6008333333333331</v>
          </cell>
          <cell r="W342">
            <v>9.2337278106508866E-2</v>
          </cell>
          <cell r="X342" t="str">
            <v>-</v>
          </cell>
          <cell r="Y342" t="str">
            <v>8,23</v>
          </cell>
          <cell r="Z342" t="str">
            <v>8,23</v>
          </cell>
          <cell r="AA342">
            <v>0</v>
          </cell>
          <cell r="AB342">
            <v>0</v>
          </cell>
          <cell r="AC342">
            <v>0</v>
          </cell>
          <cell r="AD342">
            <v>427.26690163409171</v>
          </cell>
          <cell r="AE342">
            <v>8</v>
          </cell>
          <cell r="AF342">
            <v>8</v>
          </cell>
          <cell r="AG342">
            <v>0</v>
          </cell>
          <cell r="AH342">
            <v>0</v>
          </cell>
          <cell r="AI342">
            <v>0</v>
          </cell>
          <cell r="AJ342">
            <v>0</v>
          </cell>
          <cell r="AK342">
            <v>0</v>
          </cell>
          <cell r="AL342" t="str">
            <v>-</v>
          </cell>
          <cell r="AM342" t="str">
            <v>-</v>
          </cell>
          <cell r="AN342" t="str">
            <v/>
          </cell>
          <cell r="AO342">
            <v>0</v>
          </cell>
          <cell r="AP342" t="str">
            <v>-</v>
          </cell>
          <cell r="AQ342">
            <v>0</v>
          </cell>
          <cell r="AR342" t="str">
            <v>-</v>
          </cell>
          <cell r="AS342">
            <v>0</v>
          </cell>
          <cell r="AT342" t="str">
            <v/>
          </cell>
          <cell r="AU342">
            <v>0</v>
          </cell>
          <cell r="AV342" t="str">
            <v>-</v>
          </cell>
          <cell r="AW342">
            <v>0</v>
          </cell>
          <cell r="AX342" t="str">
            <v>-</v>
          </cell>
          <cell r="AY342">
            <v>0</v>
          </cell>
          <cell r="AZ342" t="str">
            <v/>
          </cell>
          <cell r="BA342">
            <v>0</v>
          </cell>
          <cell r="BB342" t="str">
            <v>-</v>
          </cell>
          <cell r="BC342">
            <v>0</v>
          </cell>
          <cell r="BD342" t="str">
            <v>-</v>
          </cell>
          <cell r="BE342">
            <v>0</v>
          </cell>
          <cell r="BF342" t="str">
            <v/>
          </cell>
          <cell r="BG342">
            <v>0</v>
          </cell>
          <cell r="BH342" t="str">
            <v>-</v>
          </cell>
          <cell r="BI342">
            <v>0</v>
          </cell>
          <cell r="BJ342" t="str">
            <v>-</v>
          </cell>
          <cell r="BK342">
            <v>0</v>
          </cell>
          <cell r="BL342">
            <v>0</v>
          </cell>
          <cell r="BM342" t="str">
            <v>-</v>
          </cell>
          <cell r="BN342">
            <v>15</v>
          </cell>
          <cell r="BO342" t="str">
            <v/>
          </cell>
          <cell r="BP342">
            <v>0</v>
          </cell>
          <cell r="BQ342">
            <v>0</v>
          </cell>
          <cell r="BR342" t="str">
            <v>-</v>
          </cell>
          <cell r="BS342">
            <v>0</v>
          </cell>
          <cell r="BT342">
            <v>0</v>
          </cell>
          <cell r="BU342" t="str">
            <v>-</v>
          </cell>
        </row>
        <row r="343">
          <cell r="A343" t="str">
            <v>20908RET</v>
          </cell>
          <cell r="B343">
            <v>20908</v>
          </cell>
          <cell r="C343" t="str">
            <v>RET</v>
          </cell>
          <cell r="D343" t="str">
            <v>Space Heating</v>
          </cell>
          <cell r="E343" t="str">
            <v>Destratification Fans</v>
          </cell>
          <cell r="F343" t="str">
            <v>C</v>
          </cell>
          <cell r="G343" t="str">
            <v>Y</v>
          </cell>
          <cell r="M343" t="str">
            <v>RET</v>
          </cell>
          <cell r="N343" t="str">
            <v>No Destratification fans</v>
          </cell>
          <cell r="O343">
            <v>2021</v>
          </cell>
          <cell r="P343">
            <v>2030</v>
          </cell>
          <cell r="Q343" t="str">
            <v>Large Warehouse</v>
          </cell>
          <cell r="R343" t="str">
            <v/>
          </cell>
          <cell r="S343">
            <v>0</v>
          </cell>
          <cell r="T343">
            <v>0</v>
          </cell>
          <cell r="U343">
            <v>0</v>
          </cell>
          <cell r="V343">
            <v>2.6008333333333331</v>
          </cell>
          <cell r="W343">
            <v>9.2337278106508866E-2</v>
          </cell>
          <cell r="X343" t="str">
            <v>-</v>
          </cell>
          <cell r="Y343" t="str">
            <v>8,23</v>
          </cell>
          <cell r="Z343" t="str">
            <v>8,23</v>
          </cell>
          <cell r="AA343">
            <v>0</v>
          </cell>
          <cell r="AB343">
            <v>0</v>
          </cell>
          <cell r="AC343">
            <v>0</v>
          </cell>
          <cell r="AD343">
            <v>427.26690163409171</v>
          </cell>
          <cell r="AE343">
            <v>8</v>
          </cell>
          <cell r="AF343">
            <v>8</v>
          </cell>
          <cell r="AG343">
            <v>0</v>
          </cell>
          <cell r="AH343">
            <v>0</v>
          </cell>
          <cell r="AI343">
            <v>0</v>
          </cell>
          <cell r="AJ343">
            <v>0</v>
          </cell>
          <cell r="AK343">
            <v>0</v>
          </cell>
          <cell r="AL343" t="str">
            <v>-</v>
          </cell>
          <cell r="AM343" t="str">
            <v>-</v>
          </cell>
          <cell r="AN343" t="str">
            <v/>
          </cell>
          <cell r="AO343">
            <v>0</v>
          </cell>
          <cell r="AP343" t="str">
            <v>-</v>
          </cell>
          <cell r="AQ343">
            <v>0</v>
          </cell>
          <cell r="AR343" t="str">
            <v>-</v>
          </cell>
          <cell r="AS343">
            <v>0</v>
          </cell>
          <cell r="AT343" t="str">
            <v/>
          </cell>
          <cell r="AU343">
            <v>0</v>
          </cell>
          <cell r="AV343" t="str">
            <v>-</v>
          </cell>
          <cell r="AW343">
            <v>0</v>
          </cell>
          <cell r="AX343" t="str">
            <v>-</v>
          </cell>
          <cell r="AY343">
            <v>0</v>
          </cell>
          <cell r="AZ343" t="str">
            <v/>
          </cell>
          <cell r="BA343">
            <v>0</v>
          </cell>
          <cell r="BB343" t="str">
            <v>-</v>
          </cell>
          <cell r="BC343">
            <v>0</v>
          </cell>
          <cell r="BD343" t="str">
            <v>-</v>
          </cell>
          <cell r="BE343">
            <v>0</v>
          </cell>
          <cell r="BF343" t="str">
            <v/>
          </cell>
          <cell r="BG343">
            <v>0</v>
          </cell>
          <cell r="BH343" t="str">
            <v>-</v>
          </cell>
          <cell r="BI343">
            <v>0</v>
          </cell>
          <cell r="BJ343" t="str">
            <v>-</v>
          </cell>
          <cell r="BK343">
            <v>0</v>
          </cell>
          <cell r="BL343">
            <v>0</v>
          </cell>
          <cell r="BM343" t="str">
            <v>-</v>
          </cell>
          <cell r="BN343">
            <v>15</v>
          </cell>
          <cell r="BO343" t="str">
            <v/>
          </cell>
          <cell r="BP343">
            <v>0</v>
          </cell>
          <cell r="BQ343">
            <v>0</v>
          </cell>
          <cell r="BR343" t="str">
            <v>-</v>
          </cell>
          <cell r="BS343">
            <v>0</v>
          </cell>
          <cell r="BT343">
            <v>0</v>
          </cell>
          <cell r="BU343" t="str">
            <v>-</v>
          </cell>
        </row>
        <row r="344">
          <cell r="A344" t="str">
            <v>20909MD</v>
          </cell>
          <cell r="B344">
            <v>20909</v>
          </cell>
          <cell r="C344" t="str">
            <v>MD</v>
          </cell>
          <cell r="D344" t="str">
            <v>Space Heating</v>
          </cell>
          <cell r="E344" t="str">
            <v>Energy Recovery Ventilator</v>
          </cell>
          <cell r="F344" t="str">
            <v>C</v>
          </cell>
          <cell r="G344" t="str">
            <v>Y</v>
          </cell>
          <cell r="M344" t="str">
            <v>NC, RENO, REPL</v>
          </cell>
          <cell r="N344" t="str">
            <v>No energy recovery ventilator</v>
          </cell>
          <cell r="O344">
            <v>2021</v>
          </cell>
          <cell r="P344">
            <v>2030</v>
          </cell>
          <cell r="Q344" t="str">
            <v>Small Office</v>
          </cell>
          <cell r="R344" t="str">
            <v/>
          </cell>
          <cell r="S344">
            <v>0</v>
          </cell>
          <cell r="T344">
            <v>0</v>
          </cell>
          <cell r="U344">
            <v>0</v>
          </cell>
          <cell r="V344">
            <v>9.2042949422972836E-3</v>
          </cell>
          <cell r="W344">
            <v>0.31333333333333335</v>
          </cell>
          <cell r="X344" t="str">
            <v>-</v>
          </cell>
          <cell r="Y344" t="str">
            <v>7,42</v>
          </cell>
          <cell r="Z344" t="str">
            <v>7,42</v>
          </cell>
          <cell r="AA344">
            <v>0</v>
          </cell>
          <cell r="AB344">
            <v>0</v>
          </cell>
          <cell r="AC344">
            <v>1</v>
          </cell>
          <cell r="AD344">
            <v>108.64493220492257</v>
          </cell>
          <cell r="AE344">
            <v>9</v>
          </cell>
          <cell r="AF344">
            <v>9</v>
          </cell>
          <cell r="AG344">
            <v>0</v>
          </cell>
          <cell r="AH344">
            <v>0</v>
          </cell>
          <cell r="AI344">
            <v>0</v>
          </cell>
          <cell r="AJ344">
            <v>0</v>
          </cell>
          <cell r="AK344">
            <v>0</v>
          </cell>
          <cell r="AL344" t="str">
            <v>-</v>
          </cell>
          <cell r="AM344" t="str">
            <v>-</v>
          </cell>
          <cell r="AN344" t="str">
            <v/>
          </cell>
          <cell r="AO344">
            <v>0</v>
          </cell>
          <cell r="AP344" t="str">
            <v>-</v>
          </cell>
          <cell r="AQ344">
            <v>0</v>
          </cell>
          <cell r="AR344" t="str">
            <v>-</v>
          </cell>
          <cell r="AS344">
            <v>0</v>
          </cell>
          <cell r="AT344" t="str">
            <v/>
          </cell>
          <cell r="AU344">
            <v>0</v>
          </cell>
          <cell r="AV344" t="str">
            <v>-</v>
          </cell>
          <cell r="AW344">
            <v>0</v>
          </cell>
          <cell r="AX344" t="str">
            <v>-</v>
          </cell>
          <cell r="AY344">
            <v>0</v>
          </cell>
          <cell r="AZ344" t="str">
            <v/>
          </cell>
          <cell r="BA344">
            <v>0</v>
          </cell>
          <cell r="BB344" t="str">
            <v>-</v>
          </cell>
          <cell r="BC344">
            <v>0</v>
          </cell>
          <cell r="BD344" t="str">
            <v>-</v>
          </cell>
          <cell r="BE344">
            <v>0</v>
          </cell>
          <cell r="BF344" t="str">
            <v/>
          </cell>
          <cell r="BG344">
            <v>0</v>
          </cell>
          <cell r="BH344" t="str">
            <v>-</v>
          </cell>
          <cell r="BI344">
            <v>0</v>
          </cell>
          <cell r="BJ344" t="str">
            <v>-</v>
          </cell>
          <cell r="BK344">
            <v>0</v>
          </cell>
          <cell r="BL344">
            <v>0</v>
          </cell>
          <cell r="BM344" t="str">
            <v>-</v>
          </cell>
          <cell r="BN344">
            <v>15</v>
          </cell>
          <cell r="BO344" t="str">
            <v/>
          </cell>
          <cell r="BP344">
            <v>0</v>
          </cell>
          <cell r="BQ344">
            <v>0</v>
          </cell>
          <cell r="BR344" t="str">
            <v>-</v>
          </cell>
          <cell r="BS344">
            <v>0</v>
          </cell>
          <cell r="BT344">
            <v>0</v>
          </cell>
          <cell r="BU344" t="str">
            <v>-</v>
          </cell>
        </row>
        <row r="345">
          <cell r="A345" t="str">
            <v>20909RET</v>
          </cell>
          <cell r="B345">
            <v>20909</v>
          </cell>
          <cell r="C345" t="str">
            <v>RET</v>
          </cell>
          <cell r="D345" t="str">
            <v>Space Heating</v>
          </cell>
          <cell r="E345" t="str">
            <v>Energy Recovery Ventilator</v>
          </cell>
          <cell r="F345" t="str">
            <v>C</v>
          </cell>
          <cell r="G345" t="str">
            <v>Y</v>
          </cell>
          <cell r="M345" t="str">
            <v>RET</v>
          </cell>
          <cell r="N345" t="str">
            <v>No energy recovery ventilator</v>
          </cell>
          <cell r="O345">
            <v>2021</v>
          </cell>
          <cell r="P345">
            <v>2030</v>
          </cell>
          <cell r="Q345" t="str">
            <v>Small Office</v>
          </cell>
          <cell r="R345" t="str">
            <v/>
          </cell>
          <cell r="S345">
            <v>0</v>
          </cell>
          <cell r="T345">
            <v>0</v>
          </cell>
          <cell r="U345">
            <v>0</v>
          </cell>
          <cell r="V345">
            <v>9.2042949422972836E-3</v>
          </cell>
          <cell r="W345">
            <v>0.31333333333333335</v>
          </cell>
          <cell r="X345" t="str">
            <v>-</v>
          </cell>
          <cell r="Y345" t="str">
            <v>7,42</v>
          </cell>
          <cell r="Z345" t="str">
            <v>7,42</v>
          </cell>
          <cell r="AA345">
            <v>0</v>
          </cell>
          <cell r="AB345">
            <v>0</v>
          </cell>
          <cell r="AC345">
            <v>1</v>
          </cell>
          <cell r="AD345">
            <v>108.64493220492257</v>
          </cell>
          <cell r="AE345">
            <v>9</v>
          </cell>
          <cell r="AF345">
            <v>9</v>
          </cell>
          <cell r="AG345">
            <v>0</v>
          </cell>
          <cell r="AH345">
            <v>0</v>
          </cell>
          <cell r="AI345">
            <v>0</v>
          </cell>
          <cell r="AJ345">
            <v>0</v>
          </cell>
          <cell r="AK345">
            <v>0</v>
          </cell>
          <cell r="AL345" t="str">
            <v>-</v>
          </cell>
          <cell r="AM345" t="str">
            <v>-</v>
          </cell>
          <cell r="AN345" t="str">
            <v/>
          </cell>
          <cell r="AO345">
            <v>0</v>
          </cell>
          <cell r="AP345" t="str">
            <v>-</v>
          </cell>
          <cell r="AQ345">
            <v>0</v>
          </cell>
          <cell r="AR345" t="str">
            <v>-</v>
          </cell>
          <cell r="AS345">
            <v>0</v>
          </cell>
          <cell r="AT345" t="str">
            <v/>
          </cell>
          <cell r="AU345">
            <v>0</v>
          </cell>
          <cell r="AV345" t="str">
            <v>-</v>
          </cell>
          <cell r="AW345">
            <v>0</v>
          </cell>
          <cell r="AX345" t="str">
            <v>-</v>
          </cell>
          <cell r="AY345">
            <v>0</v>
          </cell>
          <cell r="AZ345" t="str">
            <v/>
          </cell>
          <cell r="BA345">
            <v>0</v>
          </cell>
          <cell r="BB345" t="str">
            <v>-</v>
          </cell>
          <cell r="BC345">
            <v>0</v>
          </cell>
          <cell r="BD345" t="str">
            <v>-</v>
          </cell>
          <cell r="BE345">
            <v>0</v>
          </cell>
          <cell r="BF345" t="str">
            <v/>
          </cell>
          <cell r="BG345">
            <v>0</v>
          </cell>
          <cell r="BH345" t="str">
            <v>-</v>
          </cell>
          <cell r="BI345">
            <v>0</v>
          </cell>
          <cell r="BJ345" t="str">
            <v>-</v>
          </cell>
          <cell r="BK345">
            <v>0</v>
          </cell>
          <cell r="BL345">
            <v>0</v>
          </cell>
          <cell r="BM345" t="str">
            <v>-</v>
          </cell>
          <cell r="BN345">
            <v>15</v>
          </cell>
          <cell r="BO345" t="str">
            <v/>
          </cell>
          <cell r="BP345">
            <v>0</v>
          </cell>
          <cell r="BQ345">
            <v>0</v>
          </cell>
          <cell r="BR345" t="str">
            <v>-</v>
          </cell>
          <cell r="BS345">
            <v>0</v>
          </cell>
          <cell r="BT345">
            <v>0</v>
          </cell>
          <cell r="BU345" t="str">
            <v>-</v>
          </cell>
        </row>
        <row r="346">
          <cell r="A346" t="str">
            <v>20910MD</v>
          </cell>
          <cell r="B346">
            <v>20910</v>
          </cell>
          <cell r="C346" t="str">
            <v>MD</v>
          </cell>
          <cell r="D346" t="str">
            <v>Space Heating</v>
          </cell>
          <cell r="E346" t="str">
            <v>Unitary Heat Pump</v>
          </cell>
          <cell r="F346" t="str">
            <v>C</v>
          </cell>
          <cell r="G346" t="str">
            <v>Y</v>
          </cell>
          <cell r="M346" t="str">
            <v>NC,RENO,REPL</v>
          </cell>
          <cell r="N346" t="str">
            <v>Standard efficiency unitary air source heat pump (ASHP)</v>
          </cell>
          <cell r="O346">
            <v>2021</v>
          </cell>
          <cell r="P346">
            <v>2030</v>
          </cell>
          <cell r="Q346" t="str">
            <v>Large Office</v>
          </cell>
          <cell r="R346" t="str">
            <v/>
          </cell>
          <cell r="S346">
            <v>0</v>
          </cell>
          <cell r="T346">
            <v>0</v>
          </cell>
          <cell r="U346">
            <v>0</v>
          </cell>
          <cell r="V346">
            <v>98.404455972286314</v>
          </cell>
          <cell r="W346">
            <v>5.1317585905080079E-2</v>
          </cell>
          <cell r="X346" t="str">
            <v>-</v>
          </cell>
          <cell r="Y346">
            <v>3</v>
          </cell>
          <cell r="Z346">
            <v>3</v>
          </cell>
          <cell r="AA346">
            <v>0</v>
          </cell>
          <cell r="AB346">
            <v>0</v>
          </cell>
          <cell r="AC346">
            <v>0</v>
          </cell>
          <cell r="AD346">
            <v>0</v>
          </cell>
          <cell r="AE346">
            <v>9</v>
          </cell>
          <cell r="AF346">
            <v>9</v>
          </cell>
          <cell r="AG346">
            <v>0</v>
          </cell>
          <cell r="AH346">
            <v>0</v>
          </cell>
          <cell r="AI346">
            <v>0</v>
          </cell>
          <cell r="AJ346">
            <v>0</v>
          </cell>
          <cell r="AK346">
            <v>0</v>
          </cell>
          <cell r="AL346" t="str">
            <v>-</v>
          </cell>
          <cell r="AM346" t="str">
            <v>-</v>
          </cell>
          <cell r="AN346" t="str">
            <v/>
          </cell>
          <cell r="AO346">
            <v>0</v>
          </cell>
          <cell r="AP346" t="str">
            <v>-</v>
          </cell>
          <cell r="AQ346">
            <v>0</v>
          </cell>
          <cell r="AR346" t="str">
            <v>-</v>
          </cell>
          <cell r="AS346">
            <v>0</v>
          </cell>
          <cell r="AT346" t="str">
            <v/>
          </cell>
          <cell r="AU346">
            <v>0</v>
          </cell>
          <cell r="AV346" t="str">
            <v>-</v>
          </cell>
          <cell r="AW346">
            <v>0</v>
          </cell>
          <cell r="AX346" t="str">
            <v>-</v>
          </cell>
          <cell r="AY346">
            <v>0</v>
          </cell>
          <cell r="AZ346" t="str">
            <v/>
          </cell>
          <cell r="BA346">
            <v>0</v>
          </cell>
          <cell r="BB346" t="str">
            <v>-</v>
          </cell>
          <cell r="BC346">
            <v>0</v>
          </cell>
          <cell r="BD346" t="str">
            <v>-</v>
          </cell>
          <cell r="BE346">
            <v>0</v>
          </cell>
          <cell r="BF346" t="str">
            <v/>
          </cell>
          <cell r="BG346">
            <v>0</v>
          </cell>
          <cell r="BH346" t="str">
            <v>-</v>
          </cell>
          <cell r="BI346">
            <v>0</v>
          </cell>
          <cell r="BJ346" t="str">
            <v>-</v>
          </cell>
          <cell r="BK346">
            <v>0</v>
          </cell>
          <cell r="BL346">
            <v>0</v>
          </cell>
          <cell r="BM346" t="str">
            <v>-</v>
          </cell>
          <cell r="BN346">
            <v>15</v>
          </cell>
          <cell r="BO346" t="str">
            <v/>
          </cell>
          <cell r="BP346">
            <v>0</v>
          </cell>
          <cell r="BQ346">
            <v>0</v>
          </cell>
          <cell r="BR346" t="str">
            <v>-</v>
          </cell>
          <cell r="BS346">
            <v>0</v>
          </cell>
          <cell r="BT346">
            <v>0</v>
          </cell>
          <cell r="BU346" t="str">
            <v>-</v>
          </cell>
        </row>
        <row r="347">
          <cell r="A347" t="str">
            <v>20910RET</v>
          </cell>
          <cell r="B347">
            <v>20910</v>
          </cell>
          <cell r="C347" t="str">
            <v>RET</v>
          </cell>
          <cell r="D347" t="str">
            <v>Space Heating</v>
          </cell>
          <cell r="E347" t="str">
            <v>Unitary Heat Pump</v>
          </cell>
          <cell r="F347" t="str">
            <v>C</v>
          </cell>
          <cell r="G347" t="str">
            <v>Y</v>
          </cell>
          <cell r="M347" t="str">
            <v>RET</v>
          </cell>
          <cell r="N347" t="str">
            <v>Existing, standard efficiency unitary air source heat pump (ASHP)</v>
          </cell>
          <cell r="O347">
            <v>2021</v>
          </cell>
          <cell r="P347">
            <v>2030</v>
          </cell>
          <cell r="Q347" t="str">
            <v>Large Office</v>
          </cell>
          <cell r="R347" t="str">
            <v/>
          </cell>
          <cell r="S347">
            <v>0</v>
          </cell>
          <cell r="T347">
            <v>0</v>
          </cell>
          <cell r="U347">
            <v>0</v>
          </cell>
          <cell r="V347">
            <v>98.404455972286314</v>
          </cell>
          <cell r="W347">
            <v>5.1317585905080079E-2</v>
          </cell>
          <cell r="X347" t="str">
            <v>-</v>
          </cell>
          <cell r="Y347" t="str">
            <v>3,7</v>
          </cell>
          <cell r="Z347" t="str">
            <v>3,7</v>
          </cell>
          <cell r="AA347">
            <v>0</v>
          </cell>
          <cell r="AB347">
            <v>0</v>
          </cell>
          <cell r="AC347">
            <v>0</v>
          </cell>
          <cell r="AD347">
            <v>0</v>
          </cell>
          <cell r="AE347">
            <v>9</v>
          </cell>
          <cell r="AF347">
            <v>9</v>
          </cell>
          <cell r="AG347">
            <v>0</v>
          </cell>
          <cell r="AH347">
            <v>0</v>
          </cell>
          <cell r="AI347">
            <v>0</v>
          </cell>
          <cell r="AJ347">
            <v>0</v>
          </cell>
          <cell r="AK347">
            <v>0</v>
          </cell>
          <cell r="AL347" t="str">
            <v>-</v>
          </cell>
          <cell r="AM347" t="str">
            <v>-</v>
          </cell>
          <cell r="AN347" t="str">
            <v/>
          </cell>
          <cell r="AO347">
            <v>0</v>
          </cell>
          <cell r="AP347" t="str">
            <v>-</v>
          </cell>
          <cell r="AQ347">
            <v>0</v>
          </cell>
          <cell r="AR347" t="str">
            <v>-</v>
          </cell>
          <cell r="AS347">
            <v>0</v>
          </cell>
          <cell r="AT347" t="str">
            <v/>
          </cell>
          <cell r="AU347">
            <v>0</v>
          </cell>
          <cell r="AV347" t="str">
            <v>-</v>
          </cell>
          <cell r="AW347">
            <v>0</v>
          </cell>
          <cell r="AX347" t="str">
            <v>-</v>
          </cell>
          <cell r="AY347">
            <v>0</v>
          </cell>
          <cell r="AZ347" t="str">
            <v/>
          </cell>
          <cell r="BA347">
            <v>0</v>
          </cell>
          <cell r="BB347" t="str">
            <v>-</v>
          </cell>
          <cell r="BC347">
            <v>0</v>
          </cell>
          <cell r="BD347" t="str">
            <v>-</v>
          </cell>
          <cell r="BE347">
            <v>0</v>
          </cell>
          <cell r="BF347" t="str">
            <v/>
          </cell>
          <cell r="BG347">
            <v>0</v>
          </cell>
          <cell r="BH347" t="str">
            <v>-</v>
          </cell>
          <cell r="BI347">
            <v>0</v>
          </cell>
          <cell r="BJ347" t="str">
            <v>-</v>
          </cell>
          <cell r="BK347">
            <v>0</v>
          </cell>
          <cell r="BL347">
            <v>0</v>
          </cell>
          <cell r="BM347" t="str">
            <v>-</v>
          </cell>
          <cell r="BN347">
            <v>15</v>
          </cell>
          <cell r="BO347" t="str">
            <v/>
          </cell>
          <cell r="BP347">
            <v>0</v>
          </cell>
          <cell r="BQ347">
            <v>0</v>
          </cell>
          <cell r="BR347" t="str">
            <v>-</v>
          </cell>
          <cell r="BS347">
            <v>0</v>
          </cell>
          <cell r="BT347">
            <v>0</v>
          </cell>
          <cell r="BU347" t="str">
            <v>-</v>
          </cell>
        </row>
        <row r="348">
          <cell r="A348" t="str">
            <v>20911RET</v>
          </cell>
          <cell r="B348">
            <v>20911</v>
          </cell>
          <cell r="C348" t="str">
            <v>RET</v>
          </cell>
          <cell r="D348" t="str">
            <v>Space Heating</v>
          </cell>
          <cell r="E348" t="str">
            <v>AC Tuneup</v>
          </cell>
          <cell r="F348" t="str">
            <v>C</v>
          </cell>
          <cell r="G348" t="str">
            <v>Y</v>
          </cell>
          <cell r="M348" t="str">
            <v>RET</v>
          </cell>
          <cell r="N348" t="str">
            <v>Existing RTU system pre-tune-up</v>
          </cell>
          <cell r="O348">
            <v>2021</v>
          </cell>
          <cell r="P348">
            <v>2030</v>
          </cell>
          <cell r="Q348" t="str">
            <v>Small Office</v>
          </cell>
          <cell r="R348" t="str">
            <v/>
          </cell>
          <cell r="S348">
            <v>0</v>
          </cell>
          <cell r="T348">
            <v>0</v>
          </cell>
          <cell r="U348">
            <v>0</v>
          </cell>
          <cell r="V348">
            <v>0</v>
          </cell>
          <cell r="W348">
            <v>9.9999999999999895E-2</v>
          </cell>
          <cell r="X348" t="str">
            <v>-</v>
          </cell>
          <cell r="Y348" t="str">
            <v>7,11,3,46</v>
          </cell>
          <cell r="Z348" t="str">
            <v>7,11,3,46</v>
          </cell>
          <cell r="AA348">
            <v>0</v>
          </cell>
          <cell r="AB348">
            <v>0</v>
          </cell>
          <cell r="AC348">
            <v>0</v>
          </cell>
          <cell r="AD348">
            <v>0</v>
          </cell>
          <cell r="AE348">
            <v>9</v>
          </cell>
          <cell r="AF348">
            <v>9</v>
          </cell>
          <cell r="AG348">
            <v>0</v>
          </cell>
          <cell r="AH348">
            <v>0</v>
          </cell>
          <cell r="AI348">
            <v>0</v>
          </cell>
          <cell r="AJ348">
            <v>0</v>
          </cell>
          <cell r="AK348">
            <v>0</v>
          </cell>
          <cell r="AL348" t="str">
            <v>-</v>
          </cell>
          <cell r="AM348" t="str">
            <v>-</v>
          </cell>
          <cell r="AN348" t="str">
            <v/>
          </cell>
          <cell r="AO348">
            <v>0</v>
          </cell>
          <cell r="AP348" t="str">
            <v>-</v>
          </cell>
          <cell r="AQ348">
            <v>0</v>
          </cell>
          <cell r="AR348" t="str">
            <v>-</v>
          </cell>
          <cell r="AS348">
            <v>0</v>
          </cell>
          <cell r="AT348" t="str">
            <v/>
          </cell>
          <cell r="AU348">
            <v>0</v>
          </cell>
          <cell r="AV348" t="str">
            <v>-</v>
          </cell>
          <cell r="AW348">
            <v>0</v>
          </cell>
          <cell r="AX348" t="str">
            <v>-</v>
          </cell>
          <cell r="AY348">
            <v>0</v>
          </cell>
          <cell r="AZ348" t="str">
            <v/>
          </cell>
          <cell r="BA348">
            <v>0</v>
          </cell>
          <cell r="BB348" t="str">
            <v>-</v>
          </cell>
          <cell r="BC348">
            <v>0</v>
          </cell>
          <cell r="BD348" t="str">
            <v>-</v>
          </cell>
          <cell r="BE348">
            <v>0</v>
          </cell>
          <cell r="BF348" t="str">
            <v/>
          </cell>
          <cell r="BG348">
            <v>0</v>
          </cell>
          <cell r="BH348" t="str">
            <v>-</v>
          </cell>
          <cell r="BI348">
            <v>0</v>
          </cell>
          <cell r="BJ348" t="str">
            <v>-</v>
          </cell>
          <cell r="BK348">
            <v>0</v>
          </cell>
          <cell r="BL348">
            <v>0</v>
          </cell>
          <cell r="BM348" t="str">
            <v>-</v>
          </cell>
          <cell r="BN348">
            <v>5</v>
          </cell>
          <cell r="BO348" t="str">
            <v/>
          </cell>
          <cell r="BP348">
            <v>0</v>
          </cell>
          <cell r="BQ348">
            <v>0</v>
          </cell>
          <cell r="BR348" t="str">
            <v>-</v>
          </cell>
          <cell r="BS348">
            <v>0</v>
          </cell>
          <cell r="BT348">
            <v>0</v>
          </cell>
          <cell r="BU348" t="str">
            <v>-</v>
          </cell>
        </row>
        <row r="349">
          <cell r="A349" t="str">
            <v>20912RET</v>
          </cell>
          <cell r="B349">
            <v>20912</v>
          </cell>
          <cell r="C349" t="str">
            <v>RET</v>
          </cell>
          <cell r="D349" t="str">
            <v>Space Heating</v>
          </cell>
          <cell r="E349" t="str">
            <v>HVAC Refrigerant Charge Correction</v>
          </cell>
          <cell r="F349" t="str">
            <v>C</v>
          </cell>
          <cell r="G349" t="str">
            <v>Y</v>
          </cell>
          <cell r="M349" t="str">
            <v>RET</v>
          </cell>
          <cell r="N349" t="str">
            <v>Existing HVAC refrigerant charge</v>
          </cell>
          <cell r="O349">
            <v>2021</v>
          </cell>
          <cell r="P349">
            <v>2030</v>
          </cell>
          <cell r="Q349" t="str">
            <v>Small Office</v>
          </cell>
          <cell r="R349" t="str">
            <v/>
          </cell>
          <cell r="S349">
            <v>0</v>
          </cell>
          <cell r="T349">
            <v>0</v>
          </cell>
          <cell r="U349">
            <v>0</v>
          </cell>
          <cell r="V349">
            <v>493.15499999999975</v>
          </cell>
          <cell r="W349">
            <v>0.14999999999999994</v>
          </cell>
          <cell r="X349" t="str">
            <v>-</v>
          </cell>
          <cell r="Y349" t="str">
            <v>3,6</v>
          </cell>
          <cell r="Z349" t="str">
            <v>3,6</v>
          </cell>
          <cell r="AA349">
            <v>0</v>
          </cell>
          <cell r="AB349">
            <v>0</v>
          </cell>
          <cell r="AC349">
            <v>250</v>
          </cell>
          <cell r="AD349">
            <v>0.5069400087193684</v>
          </cell>
          <cell r="AE349">
            <v>12</v>
          </cell>
          <cell r="AF349">
            <v>12</v>
          </cell>
          <cell r="AG349">
            <v>0</v>
          </cell>
          <cell r="AH349">
            <v>0</v>
          </cell>
          <cell r="AI349">
            <v>0</v>
          </cell>
          <cell r="AJ349">
            <v>0</v>
          </cell>
          <cell r="AK349">
            <v>0</v>
          </cell>
          <cell r="AL349" t="str">
            <v>-</v>
          </cell>
          <cell r="AM349" t="str">
            <v>-</v>
          </cell>
          <cell r="AN349" t="str">
            <v/>
          </cell>
          <cell r="AO349">
            <v>0</v>
          </cell>
          <cell r="AP349" t="str">
            <v>-</v>
          </cell>
          <cell r="AQ349">
            <v>0</v>
          </cell>
          <cell r="AR349" t="str">
            <v>-</v>
          </cell>
          <cell r="AS349">
            <v>0</v>
          </cell>
          <cell r="AT349" t="str">
            <v/>
          </cell>
          <cell r="AU349">
            <v>0</v>
          </cell>
          <cell r="AV349" t="str">
            <v>-</v>
          </cell>
          <cell r="AW349">
            <v>0</v>
          </cell>
          <cell r="AX349" t="str">
            <v>-</v>
          </cell>
          <cell r="AY349">
            <v>0</v>
          </cell>
          <cell r="AZ349" t="str">
            <v/>
          </cell>
          <cell r="BA349">
            <v>0</v>
          </cell>
          <cell r="BB349" t="str">
            <v>-</v>
          </cell>
          <cell r="BC349">
            <v>0</v>
          </cell>
          <cell r="BD349" t="str">
            <v>-</v>
          </cell>
          <cell r="BE349">
            <v>0</v>
          </cell>
          <cell r="BF349" t="str">
            <v/>
          </cell>
          <cell r="BG349">
            <v>0</v>
          </cell>
          <cell r="BH349" t="str">
            <v>-</v>
          </cell>
          <cell r="BI349">
            <v>0</v>
          </cell>
          <cell r="BJ349" t="str">
            <v>-</v>
          </cell>
          <cell r="BK349">
            <v>0</v>
          </cell>
          <cell r="BL349">
            <v>0</v>
          </cell>
          <cell r="BM349" t="str">
            <v>-</v>
          </cell>
          <cell r="BN349">
            <v>10</v>
          </cell>
          <cell r="BO349" t="str">
            <v/>
          </cell>
          <cell r="BP349">
            <v>0</v>
          </cell>
          <cell r="BQ349">
            <v>0</v>
          </cell>
          <cell r="BR349" t="str">
            <v>-</v>
          </cell>
          <cell r="BS349">
            <v>0</v>
          </cell>
          <cell r="BT349">
            <v>0</v>
          </cell>
          <cell r="BU349" t="str">
            <v>-</v>
          </cell>
        </row>
        <row r="350">
          <cell r="A350" t="str">
            <v>20913MD</v>
          </cell>
          <cell r="B350">
            <v>20913</v>
          </cell>
          <cell r="C350" t="str">
            <v>MD</v>
          </cell>
          <cell r="D350" t="str">
            <v>Space Heating</v>
          </cell>
          <cell r="E350" t="str">
            <v>Minisplit Ductless HP</v>
          </cell>
          <cell r="F350" t="str">
            <v>C</v>
          </cell>
          <cell r="G350" t="str">
            <v>Y</v>
          </cell>
          <cell r="M350" t="str">
            <v>REPL</v>
          </cell>
          <cell r="N350" t="str">
            <v>Standard efficiency thru-the-wall AC and baseboard electric resistance heat</v>
          </cell>
          <cell r="O350">
            <v>2021</v>
          </cell>
          <cell r="P350">
            <v>2030</v>
          </cell>
          <cell r="Q350" t="str">
            <v>Small Office</v>
          </cell>
          <cell r="R350" t="str">
            <v/>
          </cell>
          <cell r="S350">
            <v>0</v>
          </cell>
          <cell r="T350">
            <v>0</v>
          </cell>
          <cell r="U350">
            <v>0</v>
          </cell>
          <cell r="V350">
            <v>793.95283690147937</v>
          </cell>
          <cell r="W350">
            <v>0.71566666666666667</v>
          </cell>
          <cell r="X350" t="str">
            <v>-</v>
          </cell>
          <cell r="Y350" t="str">
            <v>3,46,21</v>
          </cell>
          <cell r="Z350" t="str">
            <v>3,46,21</v>
          </cell>
          <cell r="AA350">
            <v>0</v>
          </cell>
          <cell r="AB350">
            <v>0</v>
          </cell>
          <cell r="AC350">
            <v>426.19256432537492</v>
          </cell>
          <cell r="AD350">
            <v>0.53679833929261545</v>
          </cell>
          <cell r="AE350">
            <v>9</v>
          </cell>
          <cell r="AF350">
            <v>9</v>
          </cell>
          <cell r="AG350">
            <v>0</v>
          </cell>
          <cell r="AH350">
            <v>0</v>
          </cell>
          <cell r="AI350">
            <v>0</v>
          </cell>
          <cell r="AJ350">
            <v>0</v>
          </cell>
          <cell r="AK350">
            <v>0</v>
          </cell>
          <cell r="AL350" t="str">
            <v>-</v>
          </cell>
          <cell r="AM350" t="str">
            <v>-</v>
          </cell>
          <cell r="AN350" t="str">
            <v/>
          </cell>
          <cell r="AO350">
            <v>0</v>
          </cell>
          <cell r="AP350" t="str">
            <v>-</v>
          </cell>
          <cell r="AQ350">
            <v>0</v>
          </cell>
          <cell r="AR350" t="str">
            <v>-</v>
          </cell>
          <cell r="AS350">
            <v>0</v>
          </cell>
          <cell r="AT350" t="str">
            <v/>
          </cell>
          <cell r="AU350">
            <v>0</v>
          </cell>
          <cell r="AV350" t="str">
            <v>-</v>
          </cell>
          <cell r="AW350">
            <v>0</v>
          </cell>
          <cell r="AX350" t="str">
            <v>-</v>
          </cell>
          <cell r="AY350">
            <v>0</v>
          </cell>
          <cell r="AZ350" t="str">
            <v/>
          </cell>
          <cell r="BA350">
            <v>0</v>
          </cell>
          <cell r="BB350" t="str">
            <v>-</v>
          </cell>
          <cell r="BC350">
            <v>0</v>
          </cell>
          <cell r="BD350" t="str">
            <v>-</v>
          </cell>
          <cell r="BE350">
            <v>0</v>
          </cell>
          <cell r="BF350" t="str">
            <v/>
          </cell>
          <cell r="BG350">
            <v>0</v>
          </cell>
          <cell r="BH350" t="str">
            <v>-</v>
          </cell>
          <cell r="BI350">
            <v>0</v>
          </cell>
          <cell r="BJ350" t="str">
            <v>-</v>
          </cell>
          <cell r="BK350">
            <v>0</v>
          </cell>
          <cell r="BL350">
            <v>0</v>
          </cell>
          <cell r="BM350" t="str">
            <v>-</v>
          </cell>
          <cell r="BN350">
            <v>15</v>
          </cell>
          <cell r="BO350" t="str">
            <v/>
          </cell>
          <cell r="BP350">
            <v>0</v>
          </cell>
          <cell r="BQ350">
            <v>0</v>
          </cell>
          <cell r="BR350" t="str">
            <v>-</v>
          </cell>
          <cell r="BS350">
            <v>0</v>
          </cell>
          <cell r="BT350">
            <v>0</v>
          </cell>
          <cell r="BU350" t="str">
            <v>-</v>
          </cell>
        </row>
        <row r="351">
          <cell r="A351" t="str">
            <v>20913RET</v>
          </cell>
          <cell r="B351">
            <v>20913</v>
          </cell>
          <cell r="C351" t="str">
            <v>RET</v>
          </cell>
          <cell r="D351" t="str">
            <v>Space Heating</v>
          </cell>
          <cell r="E351" t="str">
            <v>Minisplit Ductless HP</v>
          </cell>
          <cell r="F351" t="str">
            <v>C</v>
          </cell>
          <cell r="G351" t="str">
            <v>Y</v>
          </cell>
          <cell r="M351" t="str">
            <v>RET</v>
          </cell>
          <cell r="N351" t="str">
            <v>Standard efficiency thru-the-wall AC and baseboard electric resistance heat</v>
          </cell>
          <cell r="O351">
            <v>2021</v>
          </cell>
          <cell r="P351">
            <v>2030</v>
          </cell>
          <cell r="Q351" t="str">
            <v>Small Office</v>
          </cell>
          <cell r="R351" t="str">
            <v/>
          </cell>
          <cell r="S351">
            <v>0</v>
          </cell>
          <cell r="T351">
            <v>0</v>
          </cell>
          <cell r="U351">
            <v>0</v>
          </cell>
          <cell r="V351">
            <v>0</v>
          </cell>
          <cell r="W351">
            <v>0.71566666666666667</v>
          </cell>
          <cell r="X351" t="str">
            <v>-</v>
          </cell>
          <cell r="Y351" t="str">
            <v>3,7,8</v>
          </cell>
          <cell r="Z351" t="str">
            <v>3,7,8</v>
          </cell>
          <cell r="AA351">
            <v>0</v>
          </cell>
          <cell r="AB351">
            <v>0</v>
          </cell>
          <cell r="AC351">
            <v>2670.7675687962633</v>
          </cell>
          <cell r="AD351">
            <v>0</v>
          </cell>
          <cell r="AE351">
            <v>9</v>
          </cell>
          <cell r="AF351">
            <v>9</v>
          </cell>
          <cell r="AG351">
            <v>0</v>
          </cell>
          <cell r="AH351">
            <v>0</v>
          </cell>
          <cell r="AI351">
            <v>0</v>
          </cell>
          <cell r="AJ351">
            <v>0</v>
          </cell>
          <cell r="AK351">
            <v>0</v>
          </cell>
          <cell r="AL351" t="str">
            <v>-</v>
          </cell>
          <cell r="AM351" t="str">
            <v>-</v>
          </cell>
          <cell r="AN351" t="str">
            <v/>
          </cell>
          <cell r="AO351">
            <v>0</v>
          </cell>
          <cell r="AP351" t="str">
            <v>-</v>
          </cell>
          <cell r="AQ351">
            <v>0</v>
          </cell>
          <cell r="AR351" t="str">
            <v>-</v>
          </cell>
          <cell r="AS351">
            <v>0</v>
          </cell>
          <cell r="AT351" t="str">
            <v/>
          </cell>
          <cell r="AU351">
            <v>0</v>
          </cell>
          <cell r="AV351" t="str">
            <v>-</v>
          </cell>
          <cell r="AW351">
            <v>0</v>
          </cell>
          <cell r="AX351" t="str">
            <v>-</v>
          </cell>
          <cell r="AY351">
            <v>0</v>
          </cell>
          <cell r="AZ351" t="str">
            <v/>
          </cell>
          <cell r="BA351">
            <v>0</v>
          </cell>
          <cell r="BB351" t="str">
            <v>-</v>
          </cell>
          <cell r="BC351">
            <v>0</v>
          </cell>
          <cell r="BD351" t="str">
            <v>-</v>
          </cell>
          <cell r="BE351">
            <v>0</v>
          </cell>
          <cell r="BF351" t="str">
            <v/>
          </cell>
          <cell r="BG351">
            <v>0</v>
          </cell>
          <cell r="BH351" t="str">
            <v>-</v>
          </cell>
          <cell r="BI351">
            <v>0</v>
          </cell>
          <cell r="BJ351" t="str">
            <v>-</v>
          </cell>
          <cell r="BK351">
            <v>0</v>
          </cell>
          <cell r="BL351">
            <v>0</v>
          </cell>
          <cell r="BM351" t="str">
            <v>-</v>
          </cell>
          <cell r="BN351">
            <v>15</v>
          </cell>
          <cell r="BO351" t="str">
            <v/>
          </cell>
          <cell r="BP351">
            <v>0</v>
          </cell>
          <cell r="BQ351">
            <v>0</v>
          </cell>
          <cell r="BR351" t="str">
            <v>-</v>
          </cell>
          <cell r="BS351">
            <v>0</v>
          </cell>
          <cell r="BT351">
            <v>0</v>
          </cell>
          <cell r="BU351" t="str">
            <v>-</v>
          </cell>
        </row>
        <row r="352">
          <cell r="A352" t="str">
            <v>20914MD</v>
          </cell>
          <cell r="B352">
            <v>20914</v>
          </cell>
          <cell r="C352" t="str">
            <v>MD</v>
          </cell>
          <cell r="D352" t="str">
            <v>Space Heating</v>
          </cell>
          <cell r="E352" t="str">
            <v>Packaged Terminal Heat Pump</v>
          </cell>
          <cell r="F352" t="str">
            <v>C</v>
          </cell>
          <cell r="G352" t="str">
            <v>Y</v>
          </cell>
          <cell r="M352" t="str">
            <v>NC,RENO,REPL</v>
          </cell>
          <cell r="N352" t="str">
            <v>Standard efficiency packaged terminal heat pump (PTHP) equipment</v>
          </cell>
          <cell r="O352">
            <v>2021</v>
          </cell>
          <cell r="P352">
            <v>2030</v>
          </cell>
          <cell r="Q352" t="str">
            <v>Small Office</v>
          </cell>
          <cell r="R352" t="str">
            <v/>
          </cell>
          <cell r="S352">
            <v>0</v>
          </cell>
          <cell r="T352">
            <v>0</v>
          </cell>
          <cell r="U352">
            <v>0</v>
          </cell>
          <cell r="V352">
            <v>61.507606133525826</v>
          </cell>
          <cell r="W352">
            <v>0.17401962714561081</v>
          </cell>
          <cell r="X352" t="str">
            <v>-</v>
          </cell>
          <cell r="Y352" t="str">
            <v>20,3,6,46</v>
          </cell>
          <cell r="Z352" t="str">
            <v>20,3,6,46</v>
          </cell>
          <cell r="AA352">
            <v>0</v>
          </cell>
          <cell r="AB352">
            <v>0</v>
          </cell>
          <cell r="AC352">
            <v>0</v>
          </cell>
          <cell r="AD352">
            <v>0</v>
          </cell>
          <cell r="AE352">
            <v>12</v>
          </cell>
          <cell r="AF352">
            <v>12</v>
          </cell>
          <cell r="AG352">
            <v>0</v>
          </cell>
          <cell r="AH352">
            <v>0</v>
          </cell>
          <cell r="AI352">
            <v>0</v>
          </cell>
          <cell r="AJ352">
            <v>0</v>
          </cell>
          <cell r="AK352">
            <v>0</v>
          </cell>
          <cell r="AL352" t="str">
            <v>-</v>
          </cell>
          <cell r="AM352" t="str">
            <v>-</v>
          </cell>
          <cell r="AN352" t="str">
            <v/>
          </cell>
          <cell r="AO352">
            <v>0</v>
          </cell>
          <cell r="AP352" t="str">
            <v>-</v>
          </cell>
          <cell r="AQ352">
            <v>0</v>
          </cell>
          <cell r="AR352" t="str">
            <v>-</v>
          </cell>
          <cell r="AS352">
            <v>0</v>
          </cell>
          <cell r="AT352" t="str">
            <v/>
          </cell>
          <cell r="AU352">
            <v>0</v>
          </cell>
          <cell r="AV352" t="str">
            <v>-</v>
          </cell>
          <cell r="AW352">
            <v>0</v>
          </cell>
          <cell r="AX352" t="str">
            <v>-</v>
          </cell>
          <cell r="AY352">
            <v>0</v>
          </cell>
          <cell r="AZ352" t="str">
            <v/>
          </cell>
          <cell r="BA352">
            <v>0</v>
          </cell>
          <cell r="BB352" t="str">
            <v>-</v>
          </cell>
          <cell r="BC352">
            <v>0</v>
          </cell>
          <cell r="BD352" t="str">
            <v>-</v>
          </cell>
          <cell r="BE352">
            <v>0</v>
          </cell>
          <cell r="BF352" t="str">
            <v/>
          </cell>
          <cell r="BG352">
            <v>0</v>
          </cell>
          <cell r="BH352" t="str">
            <v>-</v>
          </cell>
          <cell r="BI352">
            <v>0</v>
          </cell>
          <cell r="BJ352" t="str">
            <v>-</v>
          </cell>
          <cell r="BK352">
            <v>0</v>
          </cell>
          <cell r="BL352">
            <v>0</v>
          </cell>
          <cell r="BM352" t="str">
            <v>-</v>
          </cell>
          <cell r="BN352">
            <v>15</v>
          </cell>
          <cell r="BO352" t="str">
            <v/>
          </cell>
          <cell r="BP352">
            <v>0</v>
          </cell>
          <cell r="BQ352">
            <v>0</v>
          </cell>
          <cell r="BR352" t="str">
            <v>-</v>
          </cell>
          <cell r="BS352">
            <v>0</v>
          </cell>
          <cell r="BT352">
            <v>0</v>
          </cell>
          <cell r="BU352" t="str">
            <v>-</v>
          </cell>
        </row>
        <row r="353">
          <cell r="A353" t="str">
            <v>20914RET</v>
          </cell>
          <cell r="B353">
            <v>20914</v>
          </cell>
          <cell r="C353" t="str">
            <v>RET</v>
          </cell>
          <cell r="D353" t="str">
            <v>Space Heating</v>
          </cell>
          <cell r="E353" t="str">
            <v>Packaged Terminal Heat Pump</v>
          </cell>
          <cell r="F353" t="str">
            <v>C</v>
          </cell>
          <cell r="G353" t="str">
            <v>Y</v>
          </cell>
          <cell r="M353" t="str">
            <v>RET</v>
          </cell>
          <cell r="N353" t="str">
            <v>Existing, standard efficiency packaged terminal heat pump (PTHP) equipment</v>
          </cell>
          <cell r="O353">
            <v>2021</v>
          </cell>
          <cell r="P353">
            <v>2030</v>
          </cell>
          <cell r="Q353" t="str">
            <v>Small Office</v>
          </cell>
          <cell r="R353" t="str">
            <v/>
          </cell>
          <cell r="S353">
            <v>0</v>
          </cell>
          <cell r="T353">
            <v>0</v>
          </cell>
          <cell r="U353">
            <v>0</v>
          </cell>
          <cell r="V353">
            <v>61.507606133525826</v>
          </cell>
          <cell r="W353">
            <v>0.17401962714561081</v>
          </cell>
          <cell r="X353" t="str">
            <v>-</v>
          </cell>
          <cell r="Y353" t="str">
            <v>3,7</v>
          </cell>
          <cell r="Z353" t="str">
            <v>3,7</v>
          </cell>
          <cell r="AA353">
            <v>0</v>
          </cell>
          <cell r="AB353">
            <v>0</v>
          </cell>
          <cell r="AC353">
            <v>0</v>
          </cell>
          <cell r="AD353">
            <v>0</v>
          </cell>
          <cell r="AE353">
            <v>12</v>
          </cell>
          <cell r="AF353">
            <v>12</v>
          </cell>
          <cell r="AG353">
            <v>0</v>
          </cell>
          <cell r="AH353">
            <v>0</v>
          </cell>
          <cell r="AI353">
            <v>0</v>
          </cell>
          <cell r="AJ353">
            <v>0</v>
          </cell>
          <cell r="AK353">
            <v>0</v>
          </cell>
          <cell r="AL353" t="str">
            <v>-</v>
          </cell>
          <cell r="AM353" t="str">
            <v>-</v>
          </cell>
          <cell r="AN353" t="str">
            <v/>
          </cell>
          <cell r="AO353">
            <v>0</v>
          </cell>
          <cell r="AP353" t="str">
            <v>-</v>
          </cell>
          <cell r="AQ353">
            <v>0</v>
          </cell>
          <cell r="AR353" t="str">
            <v>-</v>
          </cell>
          <cell r="AS353">
            <v>0</v>
          </cell>
          <cell r="AT353" t="str">
            <v/>
          </cell>
          <cell r="AU353">
            <v>0</v>
          </cell>
          <cell r="AV353" t="str">
            <v>-</v>
          </cell>
          <cell r="AW353">
            <v>0</v>
          </cell>
          <cell r="AX353" t="str">
            <v>-</v>
          </cell>
          <cell r="AY353">
            <v>0</v>
          </cell>
          <cell r="AZ353" t="str">
            <v/>
          </cell>
          <cell r="BA353">
            <v>0</v>
          </cell>
          <cell r="BB353" t="str">
            <v>-</v>
          </cell>
          <cell r="BC353">
            <v>0</v>
          </cell>
          <cell r="BD353" t="str">
            <v>-</v>
          </cell>
          <cell r="BE353">
            <v>0</v>
          </cell>
          <cell r="BF353" t="str">
            <v/>
          </cell>
          <cell r="BG353">
            <v>0</v>
          </cell>
          <cell r="BH353" t="str">
            <v>-</v>
          </cell>
          <cell r="BI353">
            <v>0</v>
          </cell>
          <cell r="BJ353" t="str">
            <v>-</v>
          </cell>
          <cell r="BK353">
            <v>0</v>
          </cell>
          <cell r="BL353">
            <v>0</v>
          </cell>
          <cell r="BM353" t="str">
            <v>-</v>
          </cell>
          <cell r="BN353">
            <v>15</v>
          </cell>
          <cell r="BO353" t="str">
            <v/>
          </cell>
          <cell r="BP353">
            <v>0</v>
          </cell>
          <cell r="BQ353">
            <v>0</v>
          </cell>
          <cell r="BR353" t="str">
            <v>-</v>
          </cell>
          <cell r="BS353">
            <v>0</v>
          </cell>
          <cell r="BT353">
            <v>0</v>
          </cell>
          <cell r="BU353" t="str">
            <v>-</v>
          </cell>
        </row>
        <row r="354">
          <cell r="A354" t="str">
            <v>20915MD</v>
          </cell>
          <cell r="B354">
            <v>20915</v>
          </cell>
          <cell r="C354" t="str">
            <v>MD</v>
          </cell>
          <cell r="D354" t="str">
            <v>Space Heating</v>
          </cell>
          <cell r="E354" t="str">
            <v>Ground Source Heat Pump</v>
          </cell>
          <cell r="F354" t="str">
            <v>C</v>
          </cell>
          <cell r="G354" t="str">
            <v>Y</v>
          </cell>
          <cell r="M354" t="str">
            <v>REPL</v>
          </cell>
          <cell r="N354" t="str">
            <v>Weighted average of standard efficiency unitary air source heat pump (ASHP) and electric resistance heat</v>
          </cell>
          <cell r="O354">
            <v>2021</v>
          </cell>
          <cell r="P354">
            <v>2030</v>
          </cell>
          <cell r="Q354" t="str">
            <v>Small Office</v>
          </cell>
          <cell r="R354" t="str">
            <v/>
          </cell>
          <cell r="S354">
            <v>0</v>
          </cell>
          <cell r="T354">
            <v>0</v>
          </cell>
          <cell r="U354">
            <v>0</v>
          </cell>
          <cell r="V354">
            <v>0</v>
          </cell>
          <cell r="W354">
            <v>0.70664883485475949</v>
          </cell>
          <cell r="X354" t="str">
            <v>-</v>
          </cell>
          <cell r="Y354" t="str">
            <v>3,21,46</v>
          </cell>
          <cell r="Z354" t="str">
            <v>3,21,46</v>
          </cell>
          <cell r="AA354">
            <v>0</v>
          </cell>
          <cell r="AB354">
            <v>0</v>
          </cell>
          <cell r="AC354">
            <v>0</v>
          </cell>
          <cell r="AD354">
            <v>0</v>
          </cell>
          <cell r="AE354">
            <v>12</v>
          </cell>
          <cell r="AF354">
            <v>12</v>
          </cell>
          <cell r="AG354">
            <v>0</v>
          </cell>
          <cell r="AH354">
            <v>0</v>
          </cell>
          <cell r="AI354">
            <v>0</v>
          </cell>
          <cell r="AJ354">
            <v>0</v>
          </cell>
          <cell r="AK354">
            <v>0</v>
          </cell>
          <cell r="AL354" t="str">
            <v>-</v>
          </cell>
          <cell r="AM354" t="str">
            <v>-</v>
          </cell>
          <cell r="AN354" t="str">
            <v/>
          </cell>
          <cell r="AO354">
            <v>0</v>
          </cell>
          <cell r="AP354" t="str">
            <v>-</v>
          </cell>
          <cell r="AQ354">
            <v>0</v>
          </cell>
          <cell r="AR354" t="str">
            <v>-</v>
          </cell>
          <cell r="AS354">
            <v>0</v>
          </cell>
          <cell r="AT354" t="str">
            <v/>
          </cell>
          <cell r="AU354">
            <v>0</v>
          </cell>
          <cell r="AV354" t="str">
            <v>-</v>
          </cell>
          <cell r="AW354">
            <v>0</v>
          </cell>
          <cell r="AX354" t="str">
            <v>-</v>
          </cell>
          <cell r="AY354">
            <v>0</v>
          </cell>
          <cell r="AZ354" t="str">
            <v/>
          </cell>
          <cell r="BA354">
            <v>0</v>
          </cell>
          <cell r="BB354" t="str">
            <v>-</v>
          </cell>
          <cell r="BC354">
            <v>0</v>
          </cell>
          <cell r="BD354" t="str">
            <v>-</v>
          </cell>
          <cell r="BE354">
            <v>0</v>
          </cell>
          <cell r="BF354" t="str">
            <v/>
          </cell>
          <cell r="BG354">
            <v>0</v>
          </cell>
          <cell r="BH354" t="str">
            <v>-</v>
          </cell>
          <cell r="BI354">
            <v>0</v>
          </cell>
          <cell r="BJ354" t="str">
            <v>-</v>
          </cell>
          <cell r="BK354">
            <v>0</v>
          </cell>
          <cell r="BL354">
            <v>0</v>
          </cell>
          <cell r="BM354" t="str">
            <v>-</v>
          </cell>
          <cell r="BN354">
            <v>15</v>
          </cell>
          <cell r="BO354" t="str">
            <v/>
          </cell>
          <cell r="BP354">
            <v>0</v>
          </cell>
          <cell r="BQ354">
            <v>0</v>
          </cell>
          <cell r="BR354" t="str">
            <v>-</v>
          </cell>
          <cell r="BS354">
            <v>0</v>
          </cell>
          <cell r="BT354">
            <v>0</v>
          </cell>
          <cell r="BU354" t="str">
            <v>-</v>
          </cell>
        </row>
        <row r="355">
          <cell r="A355" t="str">
            <v>20915RET</v>
          </cell>
          <cell r="B355">
            <v>20915</v>
          </cell>
          <cell r="C355" t="str">
            <v>RET</v>
          </cell>
          <cell r="D355" t="str">
            <v>Space Heating</v>
          </cell>
          <cell r="E355" t="str">
            <v>Ground Source Heat Pump</v>
          </cell>
          <cell r="F355" t="str">
            <v>C</v>
          </cell>
          <cell r="G355" t="str">
            <v>Y</v>
          </cell>
          <cell r="M355" t="str">
            <v>RET</v>
          </cell>
          <cell r="N355" t="str">
            <v>Weighted average of existing, standard efficiency unitary air source heat pump (ASHP) and electric resistance heat</v>
          </cell>
          <cell r="O355">
            <v>2021</v>
          </cell>
          <cell r="P355">
            <v>2030</v>
          </cell>
          <cell r="Q355" t="str">
            <v>Small Office</v>
          </cell>
          <cell r="R355" t="str">
            <v/>
          </cell>
          <cell r="S355">
            <v>0</v>
          </cell>
          <cell r="T355">
            <v>0</v>
          </cell>
          <cell r="U355">
            <v>0</v>
          </cell>
          <cell r="V355">
            <v>0</v>
          </cell>
          <cell r="W355">
            <v>0.70664883485475949</v>
          </cell>
          <cell r="X355" t="str">
            <v>-</v>
          </cell>
          <cell r="Y355" t="str">
            <v>3,7</v>
          </cell>
          <cell r="Z355" t="str">
            <v>3,7</v>
          </cell>
          <cell r="AA355">
            <v>0</v>
          </cell>
          <cell r="AB355">
            <v>0</v>
          </cell>
          <cell r="AC355">
            <v>0</v>
          </cell>
          <cell r="AD355">
            <v>0</v>
          </cell>
          <cell r="AE355">
            <v>12</v>
          </cell>
          <cell r="AF355">
            <v>12</v>
          </cell>
          <cell r="AG355">
            <v>15</v>
          </cell>
          <cell r="AH355">
            <v>9</v>
          </cell>
          <cell r="AI355">
            <v>0</v>
          </cell>
          <cell r="AJ355">
            <v>0</v>
          </cell>
          <cell r="AK355">
            <v>1</v>
          </cell>
          <cell r="AL355" t="str">
            <v>-</v>
          </cell>
          <cell r="AM355" t="str">
            <v>-</v>
          </cell>
          <cell r="AN355" t="str">
            <v/>
          </cell>
          <cell r="AO355">
            <v>0</v>
          </cell>
          <cell r="AP355" t="str">
            <v>-</v>
          </cell>
          <cell r="AQ355">
            <v>0</v>
          </cell>
          <cell r="AR355" t="str">
            <v>-</v>
          </cell>
          <cell r="AS355">
            <v>0</v>
          </cell>
          <cell r="AT355" t="str">
            <v/>
          </cell>
          <cell r="AU355">
            <v>0</v>
          </cell>
          <cell r="AV355" t="str">
            <v>-</v>
          </cell>
          <cell r="AW355">
            <v>0</v>
          </cell>
          <cell r="AX355" t="str">
            <v>-</v>
          </cell>
          <cell r="AY355">
            <v>0</v>
          </cell>
          <cell r="AZ355" t="str">
            <v/>
          </cell>
          <cell r="BA355">
            <v>0</v>
          </cell>
          <cell r="BB355" t="str">
            <v>-</v>
          </cell>
          <cell r="BC355">
            <v>0</v>
          </cell>
          <cell r="BD355" t="str">
            <v>-</v>
          </cell>
          <cell r="BE355">
            <v>0</v>
          </cell>
          <cell r="BF355" t="str">
            <v/>
          </cell>
          <cell r="BG355">
            <v>0</v>
          </cell>
          <cell r="BH355" t="str">
            <v>-</v>
          </cell>
          <cell r="BI355">
            <v>0</v>
          </cell>
          <cell r="BJ355" t="str">
            <v>-</v>
          </cell>
          <cell r="BK355">
            <v>0</v>
          </cell>
          <cell r="BL355">
            <v>0</v>
          </cell>
          <cell r="BM355" t="str">
            <v>-</v>
          </cell>
          <cell r="BN355">
            <v>15</v>
          </cell>
          <cell r="BO355" t="str">
            <v/>
          </cell>
          <cell r="BP355">
            <v>0</v>
          </cell>
          <cell r="BQ355">
            <v>0</v>
          </cell>
          <cell r="BR355" t="str">
            <v>-</v>
          </cell>
          <cell r="BS355">
            <v>0</v>
          </cell>
          <cell r="BT355">
            <v>0</v>
          </cell>
          <cell r="BU355" t="str">
            <v>-</v>
          </cell>
        </row>
        <row r="356">
          <cell r="A356" t="str">
            <v>20916MD</v>
          </cell>
          <cell r="B356">
            <v>20916</v>
          </cell>
          <cell r="C356" t="str">
            <v>MD</v>
          </cell>
          <cell r="D356" t="str">
            <v>Space Heating</v>
          </cell>
          <cell r="E356" t="str">
            <v>VRF Heat Pump</v>
          </cell>
          <cell r="F356" t="str">
            <v>C</v>
          </cell>
          <cell r="G356" t="str">
            <v>Y</v>
          </cell>
          <cell r="M356" t="str">
            <v>NC</v>
          </cell>
          <cell r="N356" t="str">
            <v>ASHPs</v>
          </cell>
          <cell r="O356">
            <v>2021</v>
          </cell>
          <cell r="P356">
            <v>2030</v>
          </cell>
          <cell r="Q356" t="str">
            <v>Small Office</v>
          </cell>
          <cell r="R356" t="str">
            <v/>
          </cell>
          <cell r="S356">
            <v>0</v>
          </cell>
          <cell r="T356">
            <v>0</v>
          </cell>
          <cell r="U356">
            <v>0</v>
          </cell>
          <cell r="V356">
            <v>98.60311542817999</v>
          </cell>
          <cell r="W356">
            <v>2.7181688125894204E-2</v>
          </cell>
          <cell r="X356" t="str">
            <v>-</v>
          </cell>
          <cell r="Y356" t="str">
            <v>12,3</v>
          </cell>
          <cell r="Z356" t="str">
            <v>12,3</v>
          </cell>
          <cell r="AA356">
            <v>0</v>
          </cell>
          <cell r="AB356">
            <v>0</v>
          </cell>
          <cell r="AC356">
            <v>0</v>
          </cell>
          <cell r="AD356">
            <v>0</v>
          </cell>
          <cell r="AE356" t="str">
            <v>12,4</v>
          </cell>
          <cell r="AF356" t="str">
            <v>12,4</v>
          </cell>
          <cell r="AG356">
            <v>0</v>
          </cell>
          <cell r="AH356">
            <v>0</v>
          </cell>
          <cell r="AI356">
            <v>0</v>
          </cell>
          <cell r="AJ356">
            <v>0</v>
          </cell>
          <cell r="AK356">
            <v>0</v>
          </cell>
          <cell r="AL356" t="str">
            <v>-</v>
          </cell>
          <cell r="AM356" t="str">
            <v>-</v>
          </cell>
          <cell r="AN356" t="str">
            <v/>
          </cell>
          <cell r="AO356">
            <v>0</v>
          </cell>
          <cell r="AP356" t="str">
            <v>-</v>
          </cell>
          <cell r="AQ356">
            <v>0</v>
          </cell>
          <cell r="AR356" t="str">
            <v>-</v>
          </cell>
          <cell r="AS356">
            <v>0</v>
          </cell>
          <cell r="AT356" t="str">
            <v/>
          </cell>
          <cell r="AU356">
            <v>0</v>
          </cell>
          <cell r="AV356" t="str">
            <v>-</v>
          </cell>
          <cell r="AW356">
            <v>0</v>
          </cell>
          <cell r="AX356" t="str">
            <v>-</v>
          </cell>
          <cell r="AY356">
            <v>0</v>
          </cell>
          <cell r="AZ356" t="str">
            <v/>
          </cell>
          <cell r="BA356">
            <v>0</v>
          </cell>
          <cell r="BB356" t="str">
            <v>-</v>
          </cell>
          <cell r="BC356">
            <v>0</v>
          </cell>
          <cell r="BD356" t="str">
            <v>-</v>
          </cell>
          <cell r="BE356">
            <v>0</v>
          </cell>
          <cell r="BF356" t="str">
            <v/>
          </cell>
          <cell r="BG356">
            <v>0</v>
          </cell>
          <cell r="BH356" t="str">
            <v>-</v>
          </cell>
          <cell r="BI356">
            <v>0</v>
          </cell>
          <cell r="BJ356" t="str">
            <v>-</v>
          </cell>
          <cell r="BK356">
            <v>0</v>
          </cell>
          <cell r="BL356">
            <v>0</v>
          </cell>
          <cell r="BM356" t="str">
            <v>-</v>
          </cell>
          <cell r="BN356">
            <v>15</v>
          </cell>
          <cell r="BO356" t="str">
            <v/>
          </cell>
          <cell r="BP356">
            <v>0</v>
          </cell>
          <cell r="BQ356">
            <v>0</v>
          </cell>
          <cell r="BR356" t="str">
            <v>-</v>
          </cell>
          <cell r="BS356">
            <v>0</v>
          </cell>
          <cell r="BT356">
            <v>0</v>
          </cell>
          <cell r="BU356" t="str">
            <v>-</v>
          </cell>
        </row>
        <row r="357">
          <cell r="A357" t="str">
            <v>20917MD</v>
          </cell>
          <cell r="B357">
            <v>20917</v>
          </cell>
          <cell r="C357" t="str">
            <v>MD</v>
          </cell>
          <cell r="D357" t="str">
            <v>Space Heating</v>
          </cell>
          <cell r="E357" t="str">
            <v>Optimized UnitaryAC Distribution/Control System</v>
          </cell>
          <cell r="F357" t="str">
            <v>C</v>
          </cell>
          <cell r="G357" t="str">
            <v>Y</v>
          </cell>
          <cell r="M357" t="str">
            <v>NC,RENO</v>
          </cell>
          <cell r="N357" t="str">
            <v>New construction standard efficiency unitary HVAC distribution system</v>
          </cell>
          <cell r="O357">
            <v>2021</v>
          </cell>
          <cell r="P357">
            <v>2030</v>
          </cell>
          <cell r="Q357" t="str">
            <v>Small Office</v>
          </cell>
          <cell r="R357" t="str">
            <v/>
          </cell>
          <cell r="S357">
            <v>0</v>
          </cell>
          <cell r="T357">
            <v>0</v>
          </cell>
          <cell r="U357">
            <v>0</v>
          </cell>
          <cell r="V357">
            <v>0</v>
          </cell>
          <cell r="W357">
            <v>0.19285714285714287</v>
          </cell>
          <cell r="X357" t="str">
            <v>-</v>
          </cell>
          <cell r="Y357">
            <v>50</v>
          </cell>
          <cell r="Z357">
            <v>50</v>
          </cell>
          <cell r="AA357">
            <v>0</v>
          </cell>
          <cell r="AB357">
            <v>0</v>
          </cell>
          <cell r="AC357">
            <v>0</v>
          </cell>
          <cell r="AD357">
            <v>0.85</v>
          </cell>
          <cell r="AE357" t="str">
            <v>9,12</v>
          </cell>
          <cell r="AF357" t="str">
            <v>9,12</v>
          </cell>
          <cell r="AG357">
            <v>0</v>
          </cell>
          <cell r="AH357">
            <v>0</v>
          </cell>
          <cell r="AI357">
            <v>0</v>
          </cell>
          <cell r="AJ357">
            <v>0</v>
          </cell>
          <cell r="AK357">
            <v>0</v>
          </cell>
          <cell r="AL357" t="str">
            <v>-</v>
          </cell>
          <cell r="AM357" t="str">
            <v>-</v>
          </cell>
          <cell r="AN357" t="str">
            <v/>
          </cell>
          <cell r="AO357">
            <v>0</v>
          </cell>
          <cell r="AP357" t="str">
            <v>-</v>
          </cell>
          <cell r="AQ357">
            <v>0</v>
          </cell>
          <cell r="AR357" t="str">
            <v>-</v>
          </cell>
          <cell r="AS357">
            <v>0</v>
          </cell>
          <cell r="AT357" t="str">
            <v/>
          </cell>
          <cell r="AU357">
            <v>0</v>
          </cell>
          <cell r="AV357" t="str">
            <v>-</v>
          </cell>
          <cell r="AW357">
            <v>0</v>
          </cell>
          <cell r="AX357" t="str">
            <v>-</v>
          </cell>
          <cell r="AY357">
            <v>0</v>
          </cell>
          <cell r="AZ357" t="str">
            <v/>
          </cell>
          <cell r="BA357">
            <v>0</v>
          </cell>
          <cell r="BB357" t="str">
            <v>-</v>
          </cell>
          <cell r="BC357">
            <v>0</v>
          </cell>
          <cell r="BD357" t="str">
            <v>-</v>
          </cell>
          <cell r="BE357">
            <v>0</v>
          </cell>
          <cell r="BF357" t="str">
            <v/>
          </cell>
          <cell r="BG357">
            <v>0</v>
          </cell>
          <cell r="BH357" t="str">
            <v>-</v>
          </cell>
          <cell r="BI357">
            <v>0</v>
          </cell>
          <cell r="BJ357" t="str">
            <v>-</v>
          </cell>
          <cell r="BK357">
            <v>0</v>
          </cell>
          <cell r="BL357">
            <v>0</v>
          </cell>
          <cell r="BM357" t="str">
            <v>-</v>
          </cell>
          <cell r="BN357">
            <v>10</v>
          </cell>
          <cell r="BO357" t="str">
            <v/>
          </cell>
          <cell r="BP357">
            <v>0</v>
          </cell>
          <cell r="BQ357">
            <v>0</v>
          </cell>
          <cell r="BR357" t="str">
            <v>-</v>
          </cell>
          <cell r="BS357">
            <v>0</v>
          </cell>
          <cell r="BT357">
            <v>0</v>
          </cell>
          <cell r="BU357" t="str">
            <v>-</v>
          </cell>
        </row>
        <row r="358">
          <cell r="A358" t="str">
            <v>20918MD</v>
          </cell>
          <cell r="B358">
            <v>20918</v>
          </cell>
          <cell r="C358" t="str">
            <v>MD</v>
          </cell>
          <cell r="D358" t="str">
            <v>Space Heating</v>
          </cell>
          <cell r="E358" t="str">
            <v>Optimized UnitaryAC Distribution/Control System</v>
          </cell>
          <cell r="F358" t="str">
            <v>C</v>
          </cell>
          <cell r="G358" t="str">
            <v>Y</v>
          </cell>
          <cell r="M358" t="str">
            <v>NC,RENO</v>
          </cell>
          <cell r="N358" t="str">
            <v>New construction standard efficiency unitary HVAC distribution system</v>
          </cell>
          <cell r="O358">
            <v>2021</v>
          </cell>
          <cell r="P358">
            <v>2030</v>
          </cell>
          <cell r="Q358" t="str">
            <v>Small Office</v>
          </cell>
          <cell r="R358" t="str">
            <v/>
          </cell>
          <cell r="S358">
            <v>0</v>
          </cell>
          <cell r="T358">
            <v>0</v>
          </cell>
          <cell r="U358">
            <v>0</v>
          </cell>
          <cell r="V358">
            <v>0</v>
          </cell>
          <cell r="W358">
            <v>0.19285714285714287</v>
          </cell>
          <cell r="X358" t="str">
            <v>-</v>
          </cell>
          <cell r="Y358">
            <v>50</v>
          </cell>
          <cell r="Z358">
            <v>50</v>
          </cell>
          <cell r="AA358">
            <v>0</v>
          </cell>
          <cell r="AB358">
            <v>0</v>
          </cell>
          <cell r="AC358">
            <v>0</v>
          </cell>
          <cell r="AD358">
            <v>0.85</v>
          </cell>
          <cell r="AE358" t="str">
            <v>9,12</v>
          </cell>
          <cell r="AF358" t="str">
            <v>9,12</v>
          </cell>
          <cell r="AG358">
            <v>0</v>
          </cell>
          <cell r="AH358">
            <v>0</v>
          </cell>
          <cell r="AI358">
            <v>0</v>
          </cell>
          <cell r="AJ358">
            <v>0</v>
          </cell>
          <cell r="AK358">
            <v>0</v>
          </cell>
          <cell r="AL358" t="str">
            <v>-</v>
          </cell>
          <cell r="AM358" t="str">
            <v>-</v>
          </cell>
          <cell r="AN358" t="str">
            <v/>
          </cell>
          <cell r="AO358">
            <v>0</v>
          </cell>
          <cell r="AP358" t="str">
            <v>-</v>
          </cell>
          <cell r="AQ358">
            <v>0</v>
          </cell>
          <cell r="AR358" t="str">
            <v>-</v>
          </cell>
          <cell r="AS358">
            <v>0</v>
          </cell>
          <cell r="AT358" t="str">
            <v/>
          </cell>
          <cell r="AU358">
            <v>0</v>
          </cell>
          <cell r="AV358" t="str">
            <v>-</v>
          </cell>
          <cell r="AW358">
            <v>0</v>
          </cell>
          <cell r="AX358" t="str">
            <v>-</v>
          </cell>
          <cell r="AY358">
            <v>0</v>
          </cell>
          <cell r="AZ358" t="str">
            <v/>
          </cell>
          <cell r="BA358">
            <v>0</v>
          </cell>
          <cell r="BB358" t="str">
            <v>-</v>
          </cell>
          <cell r="BC358">
            <v>0</v>
          </cell>
          <cell r="BD358" t="str">
            <v>-</v>
          </cell>
          <cell r="BE358">
            <v>0</v>
          </cell>
          <cell r="BF358" t="str">
            <v/>
          </cell>
          <cell r="BG358">
            <v>0</v>
          </cell>
          <cell r="BH358" t="str">
            <v>-</v>
          </cell>
          <cell r="BI358">
            <v>0</v>
          </cell>
          <cell r="BJ358" t="str">
            <v>-</v>
          </cell>
          <cell r="BK358">
            <v>0</v>
          </cell>
          <cell r="BL358">
            <v>0</v>
          </cell>
          <cell r="BM358" t="str">
            <v>-</v>
          </cell>
          <cell r="BN358">
            <v>10</v>
          </cell>
          <cell r="BO358" t="str">
            <v/>
          </cell>
          <cell r="BP358">
            <v>0</v>
          </cell>
          <cell r="BQ358">
            <v>0</v>
          </cell>
          <cell r="BR358" t="str">
            <v>-</v>
          </cell>
          <cell r="BS358">
            <v>0</v>
          </cell>
          <cell r="BT358">
            <v>0</v>
          </cell>
          <cell r="BU358" t="str">
            <v>-</v>
          </cell>
        </row>
        <row r="359">
          <cell r="A359" t="str">
            <v>20919RET</v>
          </cell>
          <cell r="B359">
            <v>20919</v>
          </cell>
          <cell r="C359" t="str">
            <v>RET</v>
          </cell>
          <cell r="D359" t="str">
            <v>Space Heating</v>
          </cell>
          <cell r="E359" t="str">
            <v>Demand Control Ventilation</v>
          </cell>
          <cell r="F359" t="str">
            <v>C</v>
          </cell>
          <cell r="G359" t="str">
            <v>Y</v>
          </cell>
          <cell r="M359" t="str">
            <v>RET</v>
          </cell>
          <cell r="N359" t="str">
            <v>Existing DX or water cooled air systems without DCV</v>
          </cell>
          <cell r="O359">
            <v>2021</v>
          </cell>
          <cell r="P359">
            <v>2030</v>
          </cell>
          <cell r="Q359" t="str">
            <v>Small Office</v>
          </cell>
          <cell r="R359" t="str">
            <v/>
          </cell>
          <cell r="S359">
            <v>0</v>
          </cell>
          <cell r="T359">
            <v>0</v>
          </cell>
          <cell r="U359">
            <v>0</v>
          </cell>
          <cell r="V359">
            <v>0</v>
          </cell>
          <cell r="W359" t="e">
            <v>#REF!</v>
          </cell>
          <cell r="X359" t="str">
            <v>-</v>
          </cell>
          <cell r="Y359" t="str">
            <v>18,46,12</v>
          </cell>
          <cell r="Z359" t="str">
            <v>18,46,12</v>
          </cell>
          <cell r="AA359">
            <v>0</v>
          </cell>
          <cell r="AB359">
            <v>0</v>
          </cell>
          <cell r="AC359">
            <v>0</v>
          </cell>
          <cell r="AD359">
            <v>0</v>
          </cell>
          <cell r="AE359" t="str">
            <v>18,42</v>
          </cell>
          <cell r="AF359" t="str">
            <v>18,42</v>
          </cell>
          <cell r="AG359">
            <v>0</v>
          </cell>
          <cell r="AH359">
            <v>0</v>
          </cell>
          <cell r="AI359">
            <v>0</v>
          </cell>
          <cell r="AJ359">
            <v>0</v>
          </cell>
          <cell r="AK359">
            <v>0</v>
          </cell>
          <cell r="AL359" t="str">
            <v>-</v>
          </cell>
          <cell r="AM359" t="str">
            <v>-</v>
          </cell>
          <cell r="AN359" t="str">
            <v/>
          </cell>
          <cell r="AO359">
            <v>0</v>
          </cell>
          <cell r="AP359" t="str">
            <v>-</v>
          </cell>
          <cell r="AQ359">
            <v>0</v>
          </cell>
          <cell r="AR359" t="str">
            <v>-</v>
          </cell>
          <cell r="AS359">
            <v>0</v>
          </cell>
          <cell r="AT359" t="str">
            <v/>
          </cell>
          <cell r="AU359">
            <v>0</v>
          </cell>
          <cell r="AV359" t="str">
            <v>-</v>
          </cell>
          <cell r="AW359">
            <v>0</v>
          </cell>
          <cell r="AX359" t="str">
            <v>-</v>
          </cell>
          <cell r="AY359">
            <v>0</v>
          </cell>
          <cell r="AZ359" t="str">
            <v/>
          </cell>
          <cell r="BA359">
            <v>0</v>
          </cell>
          <cell r="BB359" t="str">
            <v>-</v>
          </cell>
          <cell r="BC359">
            <v>0</v>
          </cell>
          <cell r="BD359" t="str">
            <v>-</v>
          </cell>
          <cell r="BE359">
            <v>0</v>
          </cell>
          <cell r="BF359" t="str">
            <v/>
          </cell>
          <cell r="BG359">
            <v>0</v>
          </cell>
          <cell r="BH359" t="str">
            <v>-</v>
          </cell>
          <cell r="BI359">
            <v>0</v>
          </cell>
          <cell r="BJ359" t="str">
            <v>-</v>
          </cell>
          <cell r="BK359">
            <v>0</v>
          </cell>
          <cell r="BL359">
            <v>0</v>
          </cell>
          <cell r="BM359" t="str">
            <v>-</v>
          </cell>
          <cell r="BN359" t="e">
            <v>#REF!</v>
          </cell>
          <cell r="BO359" t="str">
            <v/>
          </cell>
          <cell r="BP359">
            <v>0</v>
          </cell>
          <cell r="BQ359">
            <v>0</v>
          </cell>
          <cell r="BR359" t="str">
            <v>-</v>
          </cell>
          <cell r="BS359">
            <v>0</v>
          </cell>
          <cell r="BT359">
            <v>0</v>
          </cell>
          <cell r="BU359" t="str">
            <v>-</v>
          </cell>
        </row>
        <row r="360">
          <cell r="A360" t="str">
            <v>20920RET</v>
          </cell>
          <cell r="B360">
            <v>20920</v>
          </cell>
          <cell r="C360" t="str">
            <v>RET</v>
          </cell>
          <cell r="D360" t="str">
            <v>Space Heating</v>
          </cell>
          <cell r="E360" t="str">
            <v>Demand Control Ventilation</v>
          </cell>
          <cell r="F360" t="str">
            <v>C</v>
          </cell>
          <cell r="G360" t="str">
            <v>Y</v>
          </cell>
          <cell r="M360" t="str">
            <v>RET</v>
          </cell>
          <cell r="N360" t="str">
            <v>Existing DX or water cooled air systems without DCV</v>
          </cell>
          <cell r="O360">
            <v>2021</v>
          </cell>
          <cell r="P360">
            <v>2030</v>
          </cell>
          <cell r="Q360" t="str">
            <v>Small Office</v>
          </cell>
          <cell r="R360" t="str">
            <v/>
          </cell>
          <cell r="S360">
            <v>0</v>
          </cell>
          <cell r="T360">
            <v>0</v>
          </cell>
          <cell r="U360">
            <v>0</v>
          </cell>
          <cell r="V360">
            <v>0</v>
          </cell>
          <cell r="W360" t="e">
            <v>#REF!</v>
          </cell>
          <cell r="X360" t="str">
            <v>-</v>
          </cell>
          <cell r="Y360" t="str">
            <v>18,46,12</v>
          </cell>
          <cell r="Z360" t="str">
            <v>18,46,12</v>
          </cell>
          <cell r="AA360">
            <v>0</v>
          </cell>
          <cell r="AB360">
            <v>0</v>
          </cell>
          <cell r="AC360">
            <v>0</v>
          </cell>
          <cell r="AD360">
            <v>0</v>
          </cell>
          <cell r="AE360" t="str">
            <v>18,42</v>
          </cell>
          <cell r="AF360" t="str">
            <v>18,42</v>
          </cell>
          <cell r="AG360">
            <v>0</v>
          </cell>
          <cell r="AH360">
            <v>0</v>
          </cell>
          <cell r="AI360">
            <v>0</v>
          </cell>
          <cell r="AJ360">
            <v>0</v>
          </cell>
          <cell r="AK360">
            <v>0</v>
          </cell>
          <cell r="AL360" t="str">
            <v>-</v>
          </cell>
          <cell r="AM360" t="str">
            <v>-</v>
          </cell>
          <cell r="AN360" t="str">
            <v/>
          </cell>
          <cell r="AO360">
            <v>0</v>
          </cell>
          <cell r="AP360" t="str">
            <v>-</v>
          </cell>
          <cell r="AQ360">
            <v>0</v>
          </cell>
          <cell r="AR360" t="str">
            <v>-</v>
          </cell>
          <cell r="AS360">
            <v>0</v>
          </cell>
          <cell r="AT360" t="str">
            <v/>
          </cell>
          <cell r="AU360">
            <v>0</v>
          </cell>
          <cell r="AV360" t="str">
            <v>-</v>
          </cell>
          <cell r="AW360">
            <v>0</v>
          </cell>
          <cell r="AX360" t="str">
            <v>-</v>
          </cell>
          <cell r="AY360">
            <v>0</v>
          </cell>
          <cell r="AZ360" t="str">
            <v/>
          </cell>
          <cell r="BA360">
            <v>0</v>
          </cell>
          <cell r="BB360" t="str">
            <v>-</v>
          </cell>
          <cell r="BC360">
            <v>0</v>
          </cell>
          <cell r="BD360" t="str">
            <v>-</v>
          </cell>
          <cell r="BE360">
            <v>0</v>
          </cell>
          <cell r="BF360" t="str">
            <v/>
          </cell>
          <cell r="BG360">
            <v>0</v>
          </cell>
          <cell r="BH360" t="str">
            <v>-</v>
          </cell>
          <cell r="BI360">
            <v>0</v>
          </cell>
          <cell r="BJ360" t="str">
            <v>-</v>
          </cell>
          <cell r="BK360">
            <v>0</v>
          </cell>
          <cell r="BL360">
            <v>0</v>
          </cell>
          <cell r="BM360" t="str">
            <v>-</v>
          </cell>
          <cell r="BN360" t="e">
            <v>#REF!</v>
          </cell>
          <cell r="BO360" t="str">
            <v/>
          </cell>
          <cell r="BP360">
            <v>0</v>
          </cell>
          <cell r="BQ360">
            <v>0</v>
          </cell>
          <cell r="BR360" t="str">
            <v>-</v>
          </cell>
          <cell r="BS360">
            <v>0</v>
          </cell>
          <cell r="BT360">
            <v>0</v>
          </cell>
          <cell r="BU360" t="str">
            <v>-</v>
          </cell>
        </row>
        <row r="361">
          <cell r="A361" t="str">
            <v>20921RET</v>
          </cell>
          <cell r="B361">
            <v>20921</v>
          </cell>
          <cell r="C361" t="str">
            <v>RET</v>
          </cell>
          <cell r="D361" t="str">
            <v>Space Heating</v>
          </cell>
          <cell r="E361" t="str">
            <v>Guest Room EM</v>
          </cell>
          <cell r="F361" t="str">
            <v>C</v>
          </cell>
          <cell r="G361" t="str">
            <v>Y</v>
          </cell>
          <cell r="M361" t="str">
            <v>RET</v>
          </cell>
          <cell r="N361" t="str">
            <v>Guest rooms without energy management controls (PTAC w/ electric resistance heat)</v>
          </cell>
          <cell r="O361">
            <v>2021</v>
          </cell>
          <cell r="P361">
            <v>2030</v>
          </cell>
          <cell r="Q361" t="str">
            <v>Small Lodging</v>
          </cell>
          <cell r="R361" t="str">
            <v/>
          </cell>
          <cell r="S361">
            <v>0</v>
          </cell>
          <cell r="T361">
            <v>0</v>
          </cell>
          <cell r="U361">
            <v>0</v>
          </cell>
          <cell r="V361">
            <v>0</v>
          </cell>
          <cell r="W361">
            <v>0.16412696902307655</v>
          </cell>
          <cell r="X361" t="str">
            <v>-</v>
          </cell>
          <cell r="Y361" t="str">
            <v>3,6,46</v>
          </cell>
          <cell r="Z361" t="str">
            <v>3,6,46</v>
          </cell>
          <cell r="AA361">
            <v>0</v>
          </cell>
          <cell r="AB361">
            <v>0</v>
          </cell>
          <cell r="AC361">
            <v>0</v>
          </cell>
          <cell r="AD361">
            <v>0</v>
          </cell>
          <cell r="AE361">
            <v>42</v>
          </cell>
          <cell r="AF361">
            <v>42</v>
          </cell>
          <cell r="AG361">
            <v>0</v>
          </cell>
          <cell r="AH361">
            <v>0</v>
          </cell>
          <cell r="AI361">
            <v>0</v>
          </cell>
          <cell r="AJ361">
            <v>0</v>
          </cell>
          <cell r="AK361">
            <v>0</v>
          </cell>
          <cell r="AL361" t="str">
            <v>-</v>
          </cell>
          <cell r="AM361" t="str">
            <v>-</v>
          </cell>
          <cell r="AN361" t="str">
            <v/>
          </cell>
          <cell r="AO361">
            <v>0</v>
          </cell>
          <cell r="AP361" t="str">
            <v>-</v>
          </cell>
          <cell r="AQ361">
            <v>0</v>
          </cell>
          <cell r="AR361" t="str">
            <v>-</v>
          </cell>
          <cell r="AS361">
            <v>0</v>
          </cell>
          <cell r="AT361" t="str">
            <v/>
          </cell>
          <cell r="AU361">
            <v>0</v>
          </cell>
          <cell r="AV361" t="str">
            <v>-</v>
          </cell>
          <cell r="AW361">
            <v>0</v>
          </cell>
          <cell r="AX361" t="str">
            <v>-</v>
          </cell>
          <cell r="AY361">
            <v>0</v>
          </cell>
          <cell r="AZ361" t="str">
            <v/>
          </cell>
          <cell r="BA361">
            <v>0</v>
          </cell>
          <cell r="BB361" t="str">
            <v>-</v>
          </cell>
          <cell r="BC361">
            <v>0</v>
          </cell>
          <cell r="BD361" t="str">
            <v>-</v>
          </cell>
          <cell r="BE361">
            <v>0</v>
          </cell>
          <cell r="BF361" t="str">
            <v/>
          </cell>
          <cell r="BG361">
            <v>0</v>
          </cell>
          <cell r="BH361" t="str">
            <v>-</v>
          </cell>
          <cell r="BI361">
            <v>0</v>
          </cell>
          <cell r="BJ361" t="str">
            <v>-</v>
          </cell>
          <cell r="BK361">
            <v>0</v>
          </cell>
          <cell r="BL361">
            <v>0</v>
          </cell>
          <cell r="BM361" t="str">
            <v>-</v>
          </cell>
          <cell r="BN361">
            <v>15</v>
          </cell>
          <cell r="BO361" t="str">
            <v/>
          </cell>
          <cell r="BP361">
            <v>0</v>
          </cell>
          <cell r="BQ361">
            <v>0</v>
          </cell>
          <cell r="BR361" t="str">
            <v>-</v>
          </cell>
          <cell r="BS361">
            <v>0</v>
          </cell>
          <cell r="BT361">
            <v>0</v>
          </cell>
          <cell r="BU361" t="str">
            <v>-</v>
          </cell>
        </row>
        <row r="362">
          <cell r="A362" t="str">
            <v>20922RET</v>
          </cell>
          <cell r="B362">
            <v>20922</v>
          </cell>
          <cell r="C362" t="str">
            <v>RET</v>
          </cell>
          <cell r="D362" t="str">
            <v>Space Heating</v>
          </cell>
          <cell r="E362" t="str">
            <v>Guest Room EM</v>
          </cell>
          <cell r="F362" t="str">
            <v>C</v>
          </cell>
          <cell r="G362" t="str">
            <v>Y</v>
          </cell>
          <cell r="M362" t="str">
            <v>RET</v>
          </cell>
          <cell r="N362" t="str">
            <v>Guest rooms without energy management controls (PTHP)</v>
          </cell>
          <cell r="O362">
            <v>2021</v>
          </cell>
          <cell r="P362">
            <v>2030</v>
          </cell>
          <cell r="Q362" t="str">
            <v>Small Lodging</v>
          </cell>
          <cell r="R362" t="str">
            <v/>
          </cell>
          <cell r="S362">
            <v>0</v>
          </cell>
          <cell r="T362">
            <v>0</v>
          </cell>
          <cell r="U362">
            <v>0</v>
          </cell>
          <cell r="V362">
            <v>0</v>
          </cell>
          <cell r="W362">
            <v>0.16307562189054439</v>
          </cell>
          <cell r="X362" t="str">
            <v>-</v>
          </cell>
          <cell r="Y362" t="str">
            <v>7,19</v>
          </cell>
          <cell r="Z362" t="str">
            <v>7,19</v>
          </cell>
          <cell r="AA362">
            <v>0</v>
          </cell>
          <cell r="AB362">
            <v>0</v>
          </cell>
          <cell r="AC362">
            <v>0</v>
          </cell>
          <cell r="AD362">
            <v>0</v>
          </cell>
          <cell r="AE362">
            <v>42</v>
          </cell>
          <cell r="AF362">
            <v>42</v>
          </cell>
          <cell r="AG362">
            <v>0</v>
          </cell>
          <cell r="AH362">
            <v>0</v>
          </cell>
          <cell r="AI362">
            <v>0</v>
          </cell>
          <cell r="AJ362">
            <v>0</v>
          </cell>
          <cell r="AK362">
            <v>0</v>
          </cell>
          <cell r="AL362" t="str">
            <v>-</v>
          </cell>
          <cell r="AM362" t="str">
            <v>-</v>
          </cell>
          <cell r="AN362" t="str">
            <v/>
          </cell>
          <cell r="AO362">
            <v>0</v>
          </cell>
          <cell r="AP362" t="str">
            <v>-</v>
          </cell>
          <cell r="AQ362">
            <v>0</v>
          </cell>
          <cell r="AR362" t="str">
            <v>-</v>
          </cell>
          <cell r="AS362">
            <v>0</v>
          </cell>
          <cell r="AT362" t="str">
            <v/>
          </cell>
          <cell r="AU362">
            <v>0</v>
          </cell>
          <cell r="AV362" t="str">
            <v>-</v>
          </cell>
          <cell r="AW362">
            <v>0</v>
          </cell>
          <cell r="AX362" t="str">
            <v>-</v>
          </cell>
          <cell r="AY362">
            <v>0</v>
          </cell>
          <cell r="AZ362" t="str">
            <v/>
          </cell>
          <cell r="BA362">
            <v>0</v>
          </cell>
          <cell r="BB362" t="str">
            <v>-</v>
          </cell>
          <cell r="BC362">
            <v>0</v>
          </cell>
          <cell r="BD362" t="str">
            <v>-</v>
          </cell>
          <cell r="BE362">
            <v>0</v>
          </cell>
          <cell r="BF362" t="str">
            <v/>
          </cell>
          <cell r="BG362">
            <v>0</v>
          </cell>
          <cell r="BH362" t="str">
            <v>-</v>
          </cell>
          <cell r="BI362">
            <v>0</v>
          </cell>
          <cell r="BJ362" t="str">
            <v>-</v>
          </cell>
          <cell r="BK362">
            <v>0</v>
          </cell>
          <cell r="BL362">
            <v>0</v>
          </cell>
          <cell r="BM362" t="str">
            <v>-</v>
          </cell>
          <cell r="BN362">
            <v>15</v>
          </cell>
          <cell r="BO362" t="str">
            <v/>
          </cell>
          <cell r="BP362">
            <v>0</v>
          </cell>
          <cell r="BQ362">
            <v>0</v>
          </cell>
          <cell r="BR362" t="str">
            <v>-</v>
          </cell>
          <cell r="BS362">
            <v>0</v>
          </cell>
          <cell r="BT362">
            <v>0</v>
          </cell>
          <cell r="BU362" t="str">
            <v>-</v>
          </cell>
        </row>
        <row r="363">
          <cell r="A363" t="str">
            <v>20923MD</v>
          </cell>
          <cell r="B363">
            <v>20923</v>
          </cell>
          <cell r="C363" t="str">
            <v>MD</v>
          </cell>
          <cell r="D363" t="str">
            <v>Space Heating</v>
          </cell>
          <cell r="E363" t="str">
            <v>Kitchen DCV - MD</v>
          </cell>
          <cell r="F363" t="str">
            <v>C</v>
          </cell>
          <cell r="G363" t="str">
            <v>Y</v>
          </cell>
          <cell r="M363" t="str">
            <v>NC,RENO,REPL</v>
          </cell>
          <cell r="N363" t="str">
            <v>No Demand Control Ventilation on Commercial Kitchen</v>
          </cell>
          <cell r="O363">
            <v>2021</v>
          </cell>
          <cell r="P363">
            <v>2030</v>
          </cell>
          <cell r="Q363" t="str">
            <v>Small Restaurant</v>
          </cell>
          <cell r="R363" t="str">
            <v/>
          </cell>
          <cell r="S363">
            <v>0</v>
          </cell>
          <cell r="T363">
            <v>0</v>
          </cell>
          <cell r="U363">
            <v>0</v>
          </cell>
          <cell r="V363">
            <v>0</v>
          </cell>
          <cell r="W363">
            <v>0.41299999999999992</v>
          </cell>
          <cell r="X363" t="str">
            <v>-</v>
          </cell>
          <cell r="Y363">
            <v>7</v>
          </cell>
          <cell r="Z363">
            <v>7</v>
          </cell>
          <cell r="AA363">
            <v>0</v>
          </cell>
          <cell r="AB363">
            <v>0</v>
          </cell>
          <cell r="AC363">
            <v>0</v>
          </cell>
          <cell r="AD363">
            <v>0</v>
          </cell>
          <cell r="AE363">
            <v>8</v>
          </cell>
          <cell r="AF363">
            <v>8</v>
          </cell>
          <cell r="AG363">
            <v>0</v>
          </cell>
          <cell r="AH363">
            <v>0</v>
          </cell>
          <cell r="AI363">
            <v>0</v>
          </cell>
          <cell r="AJ363">
            <v>0</v>
          </cell>
          <cell r="AK363">
            <v>0</v>
          </cell>
          <cell r="AL363" t="str">
            <v>-</v>
          </cell>
          <cell r="AM363" t="str">
            <v>-</v>
          </cell>
          <cell r="AN363" t="str">
            <v/>
          </cell>
          <cell r="AO363">
            <v>0</v>
          </cell>
          <cell r="AP363" t="str">
            <v>-</v>
          </cell>
          <cell r="AQ363">
            <v>0</v>
          </cell>
          <cell r="AR363" t="str">
            <v>-</v>
          </cell>
          <cell r="AS363">
            <v>0</v>
          </cell>
          <cell r="AT363" t="str">
            <v/>
          </cell>
          <cell r="AU363">
            <v>0</v>
          </cell>
          <cell r="AV363" t="str">
            <v>-</v>
          </cell>
          <cell r="AW363">
            <v>0</v>
          </cell>
          <cell r="AX363" t="str">
            <v>-</v>
          </cell>
          <cell r="AY363">
            <v>0</v>
          </cell>
          <cell r="AZ363" t="str">
            <v/>
          </cell>
          <cell r="BA363">
            <v>0</v>
          </cell>
          <cell r="BB363" t="str">
            <v>-</v>
          </cell>
          <cell r="BC363">
            <v>0</v>
          </cell>
          <cell r="BD363" t="str">
            <v>-</v>
          </cell>
          <cell r="BE363">
            <v>0</v>
          </cell>
          <cell r="BF363" t="str">
            <v/>
          </cell>
          <cell r="BG363">
            <v>0</v>
          </cell>
          <cell r="BH363" t="str">
            <v>-</v>
          </cell>
          <cell r="BI363">
            <v>0</v>
          </cell>
          <cell r="BJ363" t="str">
            <v>-</v>
          </cell>
          <cell r="BK363">
            <v>0</v>
          </cell>
          <cell r="BL363">
            <v>0</v>
          </cell>
          <cell r="BM363" t="str">
            <v>-</v>
          </cell>
          <cell r="BN363">
            <v>15</v>
          </cell>
          <cell r="BO363" t="str">
            <v/>
          </cell>
          <cell r="BP363">
            <v>0</v>
          </cell>
          <cell r="BQ363">
            <v>0</v>
          </cell>
          <cell r="BR363" t="str">
            <v>-</v>
          </cell>
          <cell r="BS363">
            <v>0</v>
          </cell>
          <cell r="BT363">
            <v>0</v>
          </cell>
          <cell r="BU363" t="str">
            <v>-</v>
          </cell>
        </row>
        <row r="364">
          <cell r="A364" t="str">
            <v>20923RET</v>
          </cell>
          <cell r="B364">
            <v>20923</v>
          </cell>
          <cell r="C364" t="str">
            <v>RET</v>
          </cell>
          <cell r="D364" t="str">
            <v>Space Heating</v>
          </cell>
          <cell r="E364" t="str">
            <v>Kitchen DCV - RET</v>
          </cell>
          <cell r="F364" t="str">
            <v>C</v>
          </cell>
          <cell r="G364" t="str">
            <v>Y</v>
          </cell>
          <cell r="M364" t="str">
            <v>RET</v>
          </cell>
          <cell r="N364" t="str">
            <v>No Demand Control Ventilation on Commercial Kitchen</v>
          </cell>
          <cell r="O364">
            <v>2021</v>
          </cell>
          <cell r="P364">
            <v>2030</v>
          </cell>
          <cell r="Q364" t="str">
            <v>Small Restaurant</v>
          </cell>
          <cell r="R364" t="str">
            <v/>
          </cell>
          <cell r="S364">
            <v>0</v>
          </cell>
          <cell r="T364">
            <v>0</v>
          </cell>
          <cell r="U364">
            <v>0</v>
          </cell>
          <cell r="V364">
            <v>0</v>
          </cell>
          <cell r="W364">
            <v>0.41299999999999992</v>
          </cell>
          <cell r="X364" t="str">
            <v>-</v>
          </cell>
          <cell r="Y364">
            <v>7</v>
          </cell>
          <cell r="Z364">
            <v>7</v>
          </cell>
          <cell r="AA364">
            <v>0</v>
          </cell>
          <cell r="AB364">
            <v>0</v>
          </cell>
          <cell r="AC364">
            <v>0</v>
          </cell>
          <cell r="AD364">
            <v>0</v>
          </cell>
          <cell r="AE364">
            <v>8</v>
          </cell>
          <cell r="AF364">
            <v>8</v>
          </cell>
          <cell r="AG364">
            <v>0</v>
          </cell>
          <cell r="AH364">
            <v>0</v>
          </cell>
          <cell r="AI364">
            <v>0</v>
          </cell>
          <cell r="AJ364">
            <v>0</v>
          </cell>
          <cell r="AK364">
            <v>0</v>
          </cell>
          <cell r="AL364" t="str">
            <v>-</v>
          </cell>
          <cell r="AM364" t="str">
            <v>-</v>
          </cell>
          <cell r="AN364" t="str">
            <v/>
          </cell>
          <cell r="AO364">
            <v>0</v>
          </cell>
          <cell r="AP364" t="str">
            <v>-</v>
          </cell>
          <cell r="AQ364">
            <v>0</v>
          </cell>
          <cell r="AR364" t="str">
            <v>-</v>
          </cell>
          <cell r="AS364">
            <v>0</v>
          </cell>
          <cell r="AT364" t="str">
            <v/>
          </cell>
          <cell r="AU364">
            <v>0</v>
          </cell>
          <cell r="AV364" t="str">
            <v>-</v>
          </cell>
          <cell r="AW364">
            <v>0</v>
          </cell>
          <cell r="AX364" t="str">
            <v>-</v>
          </cell>
          <cell r="AY364">
            <v>0</v>
          </cell>
          <cell r="AZ364" t="str">
            <v/>
          </cell>
          <cell r="BA364">
            <v>0</v>
          </cell>
          <cell r="BB364" t="str">
            <v>-</v>
          </cell>
          <cell r="BC364">
            <v>0</v>
          </cell>
          <cell r="BD364" t="str">
            <v>-</v>
          </cell>
          <cell r="BE364">
            <v>0</v>
          </cell>
          <cell r="BF364" t="str">
            <v/>
          </cell>
          <cell r="BG364">
            <v>0</v>
          </cell>
          <cell r="BH364" t="str">
            <v>-</v>
          </cell>
          <cell r="BI364">
            <v>0</v>
          </cell>
          <cell r="BJ364" t="str">
            <v>-</v>
          </cell>
          <cell r="BK364">
            <v>0</v>
          </cell>
          <cell r="BL364">
            <v>0</v>
          </cell>
          <cell r="BM364" t="str">
            <v>-</v>
          </cell>
          <cell r="BN364">
            <v>15</v>
          </cell>
          <cell r="BO364" t="str">
            <v/>
          </cell>
          <cell r="BP364">
            <v>0</v>
          </cell>
          <cell r="BQ364">
            <v>0</v>
          </cell>
          <cell r="BR364" t="str">
            <v>-</v>
          </cell>
          <cell r="BS364">
            <v>0</v>
          </cell>
          <cell r="BT364">
            <v>0</v>
          </cell>
          <cell r="BU364" t="str">
            <v>-</v>
          </cell>
        </row>
        <row r="365">
          <cell r="A365" t="str">
            <v>20924MD</v>
          </cell>
          <cell r="B365">
            <v>20924</v>
          </cell>
          <cell r="C365" t="str">
            <v>MD</v>
          </cell>
          <cell r="D365" t="str">
            <v>Space Heating</v>
          </cell>
          <cell r="E365" t="str">
            <v>Kitchen DCV - MD</v>
          </cell>
          <cell r="F365" t="str">
            <v>C</v>
          </cell>
          <cell r="G365" t="str">
            <v>Y</v>
          </cell>
          <cell r="M365" t="str">
            <v>NC,RENO,REPL</v>
          </cell>
          <cell r="N365" t="str">
            <v>No Demand Control Ventilation on Commercial Kitchen</v>
          </cell>
          <cell r="O365">
            <v>2021</v>
          </cell>
          <cell r="P365">
            <v>2030</v>
          </cell>
          <cell r="Q365" t="str">
            <v>Small Restaurant</v>
          </cell>
          <cell r="R365" t="str">
            <v/>
          </cell>
          <cell r="S365">
            <v>0</v>
          </cell>
          <cell r="T365">
            <v>0</v>
          </cell>
          <cell r="U365">
            <v>0</v>
          </cell>
          <cell r="V365">
            <v>0</v>
          </cell>
          <cell r="W365">
            <v>0.41299999999999992</v>
          </cell>
          <cell r="X365" t="str">
            <v>-</v>
          </cell>
          <cell r="Y365">
            <v>7</v>
          </cell>
          <cell r="Z365">
            <v>7</v>
          </cell>
          <cell r="AA365">
            <v>0</v>
          </cell>
          <cell r="AB365">
            <v>0</v>
          </cell>
          <cell r="AC365">
            <v>0</v>
          </cell>
          <cell r="AD365">
            <v>0</v>
          </cell>
          <cell r="AE365">
            <v>8</v>
          </cell>
          <cell r="AF365">
            <v>8</v>
          </cell>
          <cell r="AG365">
            <v>0</v>
          </cell>
          <cell r="AH365">
            <v>0</v>
          </cell>
          <cell r="AI365">
            <v>0</v>
          </cell>
          <cell r="AJ365">
            <v>0</v>
          </cell>
          <cell r="AK365">
            <v>0</v>
          </cell>
          <cell r="AL365" t="str">
            <v>-</v>
          </cell>
          <cell r="AM365" t="str">
            <v>-</v>
          </cell>
          <cell r="AN365" t="str">
            <v/>
          </cell>
          <cell r="AO365">
            <v>0</v>
          </cell>
          <cell r="AP365" t="str">
            <v>-</v>
          </cell>
          <cell r="AQ365">
            <v>0</v>
          </cell>
          <cell r="AR365" t="str">
            <v>-</v>
          </cell>
          <cell r="AS365">
            <v>0</v>
          </cell>
          <cell r="AT365" t="str">
            <v/>
          </cell>
          <cell r="AU365">
            <v>0</v>
          </cell>
          <cell r="AV365" t="str">
            <v>-</v>
          </cell>
          <cell r="AW365">
            <v>0</v>
          </cell>
          <cell r="AX365" t="str">
            <v>-</v>
          </cell>
          <cell r="AY365">
            <v>0</v>
          </cell>
          <cell r="AZ365" t="str">
            <v/>
          </cell>
          <cell r="BA365">
            <v>0</v>
          </cell>
          <cell r="BB365" t="str">
            <v>-</v>
          </cell>
          <cell r="BC365">
            <v>0</v>
          </cell>
          <cell r="BD365" t="str">
            <v>-</v>
          </cell>
          <cell r="BE365">
            <v>0</v>
          </cell>
          <cell r="BF365" t="str">
            <v/>
          </cell>
          <cell r="BG365">
            <v>0</v>
          </cell>
          <cell r="BH365" t="str">
            <v>-</v>
          </cell>
          <cell r="BI365">
            <v>0</v>
          </cell>
          <cell r="BJ365" t="str">
            <v>-</v>
          </cell>
          <cell r="BK365">
            <v>0</v>
          </cell>
          <cell r="BL365">
            <v>0</v>
          </cell>
          <cell r="BM365" t="str">
            <v>-</v>
          </cell>
          <cell r="BN365">
            <v>15</v>
          </cell>
          <cell r="BO365" t="str">
            <v/>
          </cell>
          <cell r="BP365">
            <v>0</v>
          </cell>
          <cell r="BQ365">
            <v>0</v>
          </cell>
          <cell r="BR365" t="str">
            <v>-</v>
          </cell>
          <cell r="BS365">
            <v>0</v>
          </cell>
          <cell r="BT365">
            <v>0</v>
          </cell>
          <cell r="BU365" t="str">
            <v>-</v>
          </cell>
        </row>
        <row r="366">
          <cell r="A366" t="str">
            <v>20924RET</v>
          </cell>
          <cell r="B366">
            <v>20924</v>
          </cell>
          <cell r="C366" t="str">
            <v>RET</v>
          </cell>
          <cell r="D366" t="str">
            <v>Space Heating</v>
          </cell>
          <cell r="E366" t="str">
            <v>Kitchen DCV - RET</v>
          </cell>
          <cell r="F366" t="str">
            <v>C</v>
          </cell>
          <cell r="G366" t="str">
            <v>Y</v>
          </cell>
          <cell r="M366" t="str">
            <v>RET</v>
          </cell>
          <cell r="N366" t="str">
            <v>No Demand Control Ventilation on Commercial Kitchen</v>
          </cell>
          <cell r="O366">
            <v>2021</v>
          </cell>
          <cell r="P366">
            <v>2030</v>
          </cell>
          <cell r="Q366" t="str">
            <v>Small Restaurant</v>
          </cell>
          <cell r="R366" t="str">
            <v/>
          </cell>
          <cell r="S366">
            <v>0</v>
          </cell>
          <cell r="T366">
            <v>0</v>
          </cell>
          <cell r="U366">
            <v>0</v>
          </cell>
          <cell r="V366">
            <v>0</v>
          </cell>
          <cell r="W366">
            <v>0.41299999999999992</v>
          </cell>
          <cell r="X366" t="str">
            <v>-</v>
          </cell>
          <cell r="Y366">
            <v>7</v>
          </cell>
          <cell r="Z366">
            <v>7</v>
          </cell>
          <cell r="AA366">
            <v>0</v>
          </cell>
          <cell r="AB366">
            <v>0</v>
          </cell>
          <cell r="AC366">
            <v>0</v>
          </cell>
          <cell r="AD366">
            <v>0</v>
          </cell>
          <cell r="AE366">
            <v>8</v>
          </cell>
          <cell r="AF366">
            <v>8</v>
          </cell>
          <cell r="AG366">
            <v>0</v>
          </cell>
          <cell r="AH366">
            <v>0</v>
          </cell>
          <cell r="AI366">
            <v>0</v>
          </cell>
          <cell r="AJ366">
            <v>0</v>
          </cell>
          <cell r="AK366">
            <v>0</v>
          </cell>
          <cell r="AL366" t="str">
            <v>-</v>
          </cell>
          <cell r="AM366" t="str">
            <v>-</v>
          </cell>
          <cell r="AN366" t="str">
            <v/>
          </cell>
          <cell r="AO366">
            <v>0</v>
          </cell>
          <cell r="AP366" t="str">
            <v>-</v>
          </cell>
          <cell r="AQ366">
            <v>0</v>
          </cell>
          <cell r="AR366" t="str">
            <v>-</v>
          </cell>
          <cell r="AS366">
            <v>0</v>
          </cell>
          <cell r="AT366" t="str">
            <v/>
          </cell>
          <cell r="AU366">
            <v>0</v>
          </cell>
          <cell r="AV366" t="str">
            <v>-</v>
          </cell>
          <cell r="AW366">
            <v>0</v>
          </cell>
          <cell r="AX366" t="str">
            <v>-</v>
          </cell>
          <cell r="AY366">
            <v>0</v>
          </cell>
          <cell r="AZ366" t="str">
            <v/>
          </cell>
          <cell r="BA366">
            <v>0</v>
          </cell>
          <cell r="BB366" t="str">
            <v>-</v>
          </cell>
          <cell r="BC366">
            <v>0</v>
          </cell>
          <cell r="BD366" t="str">
            <v>-</v>
          </cell>
          <cell r="BE366">
            <v>0</v>
          </cell>
          <cell r="BF366" t="str">
            <v/>
          </cell>
          <cell r="BG366">
            <v>0</v>
          </cell>
          <cell r="BH366" t="str">
            <v>-</v>
          </cell>
          <cell r="BI366">
            <v>0</v>
          </cell>
          <cell r="BJ366" t="str">
            <v>-</v>
          </cell>
          <cell r="BK366">
            <v>0</v>
          </cell>
          <cell r="BL366">
            <v>0</v>
          </cell>
          <cell r="BM366" t="str">
            <v>-</v>
          </cell>
          <cell r="BN366">
            <v>15</v>
          </cell>
          <cell r="BO366" t="str">
            <v/>
          </cell>
          <cell r="BP366">
            <v>0</v>
          </cell>
          <cell r="BQ366">
            <v>0</v>
          </cell>
          <cell r="BR366" t="str">
            <v>-</v>
          </cell>
          <cell r="BS366">
            <v>0</v>
          </cell>
          <cell r="BT366">
            <v>0</v>
          </cell>
          <cell r="BU366" t="str">
            <v>-</v>
          </cell>
        </row>
        <row r="367">
          <cell r="A367" t="str">
            <v>20925MD</v>
          </cell>
          <cell r="B367">
            <v>20925</v>
          </cell>
          <cell r="C367" t="str">
            <v>MD</v>
          </cell>
          <cell r="D367" t="str">
            <v>Space Heating</v>
          </cell>
          <cell r="E367" t="str">
            <v>Programmable Tstat</v>
          </cell>
          <cell r="F367" t="str">
            <v>C</v>
          </cell>
          <cell r="G367" t="str">
            <v>Y</v>
          </cell>
          <cell r="M367" t="str">
            <v>NC,RENO</v>
          </cell>
          <cell r="N367" t="str">
            <v>Manual thermostat</v>
          </cell>
          <cell r="O367">
            <v>2021</v>
          </cell>
          <cell r="P367">
            <v>2030</v>
          </cell>
          <cell r="Q367" t="str">
            <v>Small Office</v>
          </cell>
          <cell r="R367" t="str">
            <v/>
          </cell>
          <cell r="S367">
            <v>0</v>
          </cell>
          <cell r="T367">
            <v>0</v>
          </cell>
          <cell r="U367">
            <v>0</v>
          </cell>
          <cell r="V367">
            <v>0</v>
          </cell>
          <cell r="W367">
            <v>6.8000000000000005E-2</v>
          </cell>
          <cell r="X367" t="str">
            <v>-</v>
          </cell>
          <cell r="Y367" t="str">
            <v>2,3,11,6,46</v>
          </cell>
          <cell r="Z367" t="str">
            <v>2,3,11,6,46</v>
          </cell>
          <cell r="AA367">
            <v>0</v>
          </cell>
          <cell r="AB367">
            <v>0</v>
          </cell>
          <cell r="AC367">
            <v>0</v>
          </cell>
          <cell r="AD367">
            <v>0</v>
          </cell>
          <cell r="AE367" t="str">
            <v>4,12</v>
          </cell>
          <cell r="AF367" t="str">
            <v>4,12</v>
          </cell>
          <cell r="AG367">
            <v>0</v>
          </cell>
          <cell r="AH367">
            <v>0</v>
          </cell>
          <cell r="AI367">
            <v>0</v>
          </cell>
          <cell r="AJ367">
            <v>0</v>
          </cell>
          <cell r="AK367">
            <v>0</v>
          </cell>
          <cell r="AL367" t="str">
            <v>-</v>
          </cell>
          <cell r="AM367" t="str">
            <v>-</v>
          </cell>
          <cell r="AN367" t="str">
            <v/>
          </cell>
          <cell r="AO367">
            <v>0</v>
          </cell>
          <cell r="AP367" t="str">
            <v>-</v>
          </cell>
          <cell r="AQ367">
            <v>0</v>
          </cell>
          <cell r="AR367" t="str">
            <v>-</v>
          </cell>
          <cell r="AS367">
            <v>0</v>
          </cell>
          <cell r="AT367" t="str">
            <v/>
          </cell>
          <cell r="AU367">
            <v>0</v>
          </cell>
          <cell r="AV367" t="str">
            <v>-</v>
          </cell>
          <cell r="AW367">
            <v>0</v>
          </cell>
          <cell r="AX367" t="str">
            <v>-</v>
          </cell>
          <cell r="AY367">
            <v>0</v>
          </cell>
          <cell r="AZ367" t="str">
            <v/>
          </cell>
          <cell r="BA367">
            <v>0</v>
          </cell>
          <cell r="BB367" t="str">
            <v>-</v>
          </cell>
          <cell r="BC367">
            <v>0</v>
          </cell>
          <cell r="BD367" t="str">
            <v>-</v>
          </cell>
          <cell r="BE367">
            <v>0</v>
          </cell>
          <cell r="BF367" t="str">
            <v/>
          </cell>
          <cell r="BG367">
            <v>0</v>
          </cell>
          <cell r="BH367" t="str">
            <v>-</v>
          </cell>
          <cell r="BI367">
            <v>0</v>
          </cell>
          <cell r="BJ367" t="str">
            <v>-</v>
          </cell>
          <cell r="BK367">
            <v>0</v>
          </cell>
          <cell r="BL367">
            <v>0</v>
          </cell>
          <cell r="BM367" t="str">
            <v>-</v>
          </cell>
          <cell r="BN367">
            <v>11</v>
          </cell>
          <cell r="BO367" t="str">
            <v/>
          </cell>
          <cell r="BP367">
            <v>0</v>
          </cell>
          <cell r="BQ367">
            <v>0</v>
          </cell>
          <cell r="BR367" t="str">
            <v>-</v>
          </cell>
          <cell r="BS367">
            <v>0</v>
          </cell>
          <cell r="BT367">
            <v>0</v>
          </cell>
          <cell r="BU367" t="str">
            <v>-</v>
          </cell>
        </row>
        <row r="368">
          <cell r="A368" t="str">
            <v>20925RET</v>
          </cell>
          <cell r="B368">
            <v>20925</v>
          </cell>
          <cell r="C368" t="str">
            <v>RET</v>
          </cell>
          <cell r="D368" t="str">
            <v>Space Heating</v>
          </cell>
          <cell r="E368" t="str">
            <v>Programmable Tstat - RET</v>
          </cell>
          <cell r="F368" t="str">
            <v>C</v>
          </cell>
          <cell r="G368" t="str">
            <v>Y</v>
          </cell>
          <cell r="M368" t="str">
            <v>REPL</v>
          </cell>
          <cell r="N368" t="str">
            <v>Manual thermostat</v>
          </cell>
          <cell r="O368">
            <v>2021</v>
          </cell>
          <cell r="P368">
            <v>2030</v>
          </cell>
          <cell r="Q368" t="str">
            <v>Small Office</v>
          </cell>
          <cell r="R368" t="str">
            <v/>
          </cell>
          <cell r="S368">
            <v>0</v>
          </cell>
          <cell r="T368">
            <v>0</v>
          </cell>
          <cell r="U368">
            <v>0</v>
          </cell>
          <cell r="V368">
            <v>0</v>
          </cell>
          <cell r="W368">
            <v>6.8000000000000005E-2</v>
          </cell>
          <cell r="X368" t="str">
            <v>-</v>
          </cell>
          <cell r="Y368" t="str">
            <v>2,3,11,6,46</v>
          </cell>
          <cell r="Z368" t="str">
            <v>2,3,11,6,46</v>
          </cell>
          <cell r="AA368">
            <v>0</v>
          </cell>
          <cell r="AB368">
            <v>0</v>
          </cell>
          <cell r="AC368">
            <v>0</v>
          </cell>
          <cell r="AD368">
            <v>0</v>
          </cell>
          <cell r="AE368" t="str">
            <v>4,12</v>
          </cell>
          <cell r="AF368" t="str">
            <v>4,12</v>
          </cell>
          <cell r="AG368">
            <v>0</v>
          </cell>
          <cell r="AH368">
            <v>0</v>
          </cell>
          <cell r="AI368">
            <v>0</v>
          </cell>
          <cell r="AJ368">
            <v>0</v>
          </cell>
          <cell r="AK368">
            <v>0</v>
          </cell>
          <cell r="AL368" t="str">
            <v>-</v>
          </cell>
          <cell r="AM368" t="str">
            <v>-</v>
          </cell>
          <cell r="AN368" t="str">
            <v/>
          </cell>
          <cell r="AO368">
            <v>0</v>
          </cell>
          <cell r="AP368" t="str">
            <v>-</v>
          </cell>
          <cell r="AQ368">
            <v>0</v>
          </cell>
          <cell r="AR368" t="str">
            <v>-</v>
          </cell>
          <cell r="AS368">
            <v>0</v>
          </cell>
          <cell r="AT368" t="str">
            <v/>
          </cell>
          <cell r="AU368">
            <v>0</v>
          </cell>
          <cell r="AV368" t="str">
            <v>-</v>
          </cell>
          <cell r="AW368">
            <v>0</v>
          </cell>
          <cell r="AX368" t="str">
            <v>-</v>
          </cell>
          <cell r="AY368">
            <v>0</v>
          </cell>
          <cell r="AZ368" t="str">
            <v/>
          </cell>
          <cell r="BA368">
            <v>0</v>
          </cell>
          <cell r="BB368" t="str">
            <v>-</v>
          </cell>
          <cell r="BC368">
            <v>0</v>
          </cell>
          <cell r="BD368" t="str">
            <v>-</v>
          </cell>
          <cell r="BE368">
            <v>0</v>
          </cell>
          <cell r="BF368" t="str">
            <v/>
          </cell>
          <cell r="BG368">
            <v>0</v>
          </cell>
          <cell r="BH368" t="str">
            <v>-</v>
          </cell>
          <cell r="BI368">
            <v>0</v>
          </cell>
          <cell r="BJ368" t="str">
            <v>-</v>
          </cell>
          <cell r="BK368">
            <v>0</v>
          </cell>
          <cell r="BL368">
            <v>0</v>
          </cell>
          <cell r="BM368" t="str">
            <v>-</v>
          </cell>
          <cell r="BN368">
            <v>11</v>
          </cell>
          <cell r="BO368" t="str">
            <v/>
          </cell>
          <cell r="BP368">
            <v>0</v>
          </cell>
          <cell r="BQ368">
            <v>0</v>
          </cell>
          <cell r="BR368" t="str">
            <v>-</v>
          </cell>
          <cell r="BS368">
            <v>0</v>
          </cell>
          <cell r="BT368">
            <v>0</v>
          </cell>
          <cell r="BU368" t="str">
            <v>-</v>
          </cell>
        </row>
        <row r="369">
          <cell r="A369" t="str">
            <v>20926MD</v>
          </cell>
          <cell r="B369">
            <v>20926</v>
          </cell>
          <cell r="C369" t="str">
            <v>MD</v>
          </cell>
          <cell r="D369" t="str">
            <v>Space Heating</v>
          </cell>
          <cell r="E369" t="str">
            <v>Programmable Tstat</v>
          </cell>
          <cell r="F369" t="str">
            <v>C</v>
          </cell>
          <cell r="G369" t="str">
            <v>Y</v>
          </cell>
          <cell r="M369" t="str">
            <v>NC,RENO</v>
          </cell>
          <cell r="N369" t="str">
            <v>Manual thermostat</v>
          </cell>
          <cell r="O369">
            <v>2021</v>
          </cell>
          <cell r="P369">
            <v>2030</v>
          </cell>
          <cell r="Q369" t="str">
            <v>Small Office</v>
          </cell>
          <cell r="R369" t="str">
            <v/>
          </cell>
          <cell r="S369">
            <v>0</v>
          </cell>
          <cell r="T369">
            <v>0</v>
          </cell>
          <cell r="U369">
            <v>0</v>
          </cell>
          <cell r="V369">
            <v>0</v>
          </cell>
          <cell r="W369">
            <v>6.8000000000000005E-2</v>
          </cell>
          <cell r="X369" t="str">
            <v>-</v>
          </cell>
          <cell r="Y369" t="str">
            <v>2,3,11,6,46</v>
          </cell>
          <cell r="Z369" t="str">
            <v>2,3,11,6,46</v>
          </cell>
          <cell r="AA369">
            <v>0</v>
          </cell>
          <cell r="AB369">
            <v>0</v>
          </cell>
          <cell r="AC369">
            <v>0</v>
          </cell>
          <cell r="AD369">
            <v>0</v>
          </cell>
          <cell r="AE369" t="str">
            <v>4,12</v>
          </cell>
          <cell r="AF369" t="str">
            <v>4,12</v>
          </cell>
          <cell r="AG369">
            <v>0</v>
          </cell>
          <cell r="AH369">
            <v>0</v>
          </cell>
          <cell r="AI369">
            <v>0</v>
          </cell>
          <cell r="AJ369">
            <v>0</v>
          </cell>
          <cell r="AK369">
            <v>0</v>
          </cell>
          <cell r="AL369" t="str">
            <v>-</v>
          </cell>
          <cell r="AM369" t="str">
            <v>-</v>
          </cell>
          <cell r="AN369" t="str">
            <v/>
          </cell>
          <cell r="AO369">
            <v>0</v>
          </cell>
          <cell r="AP369" t="str">
            <v>-</v>
          </cell>
          <cell r="AQ369">
            <v>0</v>
          </cell>
          <cell r="AR369" t="str">
            <v>-</v>
          </cell>
          <cell r="AS369">
            <v>0</v>
          </cell>
          <cell r="AT369" t="str">
            <v/>
          </cell>
          <cell r="AU369">
            <v>0</v>
          </cell>
          <cell r="AV369" t="str">
            <v>-</v>
          </cell>
          <cell r="AW369">
            <v>0</v>
          </cell>
          <cell r="AX369" t="str">
            <v>-</v>
          </cell>
          <cell r="AY369">
            <v>0</v>
          </cell>
          <cell r="AZ369" t="str">
            <v/>
          </cell>
          <cell r="BA369">
            <v>0</v>
          </cell>
          <cell r="BB369" t="str">
            <v>-</v>
          </cell>
          <cell r="BC369">
            <v>0</v>
          </cell>
          <cell r="BD369" t="str">
            <v>-</v>
          </cell>
          <cell r="BE369">
            <v>0</v>
          </cell>
          <cell r="BF369" t="str">
            <v/>
          </cell>
          <cell r="BG369">
            <v>0</v>
          </cell>
          <cell r="BH369" t="str">
            <v>-</v>
          </cell>
          <cell r="BI369">
            <v>0</v>
          </cell>
          <cell r="BJ369" t="str">
            <v>-</v>
          </cell>
          <cell r="BK369">
            <v>0</v>
          </cell>
          <cell r="BL369">
            <v>0</v>
          </cell>
          <cell r="BM369" t="str">
            <v>-</v>
          </cell>
          <cell r="BN369">
            <v>11</v>
          </cell>
          <cell r="BO369" t="str">
            <v/>
          </cell>
          <cell r="BP369">
            <v>0</v>
          </cell>
          <cell r="BQ369">
            <v>0</v>
          </cell>
          <cell r="BR369" t="str">
            <v>-</v>
          </cell>
          <cell r="BS369">
            <v>0</v>
          </cell>
          <cell r="BT369">
            <v>0</v>
          </cell>
          <cell r="BU369" t="str">
            <v>-</v>
          </cell>
        </row>
        <row r="370">
          <cell r="A370" t="str">
            <v>20926RET</v>
          </cell>
          <cell r="B370">
            <v>20926</v>
          </cell>
          <cell r="C370" t="str">
            <v>RET</v>
          </cell>
          <cell r="D370" t="str">
            <v>Space Heating</v>
          </cell>
          <cell r="E370" t="str">
            <v>Programmable Tstat - RET</v>
          </cell>
          <cell r="F370" t="str">
            <v>C</v>
          </cell>
          <cell r="G370" t="str">
            <v>Y</v>
          </cell>
          <cell r="M370" t="str">
            <v>RET</v>
          </cell>
          <cell r="N370" t="str">
            <v>Manual thermostat</v>
          </cell>
          <cell r="O370">
            <v>2021</v>
          </cell>
          <cell r="P370">
            <v>2030</v>
          </cell>
          <cell r="Q370" t="str">
            <v>Small Office</v>
          </cell>
          <cell r="R370" t="str">
            <v/>
          </cell>
          <cell r="S370">
            <v>0</v>
          </cell>
          <cell r="T370">
            <v>0</v>
          </cell>
          <cell r="U370">
            <v>0</v>
          </cell>
          <cell r="V370">
            <v>0</v>
          </cell>
          <cell r="W370">
            <v>6.8000000000000005E-2</v>
          </cell>
          <cell r="X370" t="str">
            <v>-</v>
          </cell>
          <cell r="Y370" t="str">
            <v>7,11</v>
          </cell>
          <cell r="Z370" t="str">
            <v>7,11</v>
          </cell>
          <cell r="AA370">
            <v>0</v>
          </cell>
          <cell r="AB370">
            <v>0</v>
          </cell>
          <cell r="AC370">
            <v>0</v>
          </cell>
          <cell r="AD370">
            <v>0</v>
          </cell>
          <cell r="AE370">
            <v>12</v>
          </cell>
          <cell r="AF370">
            <v>12</v>
          </cell>
          <cell r="AG370">
            <v>0</v>
          </cell>
          <cell r="AH370">
            <v>0</v>
          </cell>
          <cell r="AI370">
            <v>0</v>
          </cell>
          <cell r="AJ370">
            <v>0</v>
          </cell>
          <cell r="AK370">
            <v>0</v>
          </cell>
          <cell r="AL370" t="str">
            <v>-</v>
          </cell>
          <cell r="AM370" t="str">
            <v>-</v>
          </cell>
          <cell r="AN370" t="str">
            <v/>
          </cell>
          <cell r="AO370">
            <v>0</v>
          </cell>
          <cell r="AP370" t="str">
            <v>-</v>
          </cell>
          <cell r="AQ370">
            <v>0</v>
          </cell>
          <cell r="AR370" t="str">
            <v>-</v>
          </cell>
          <cell r="AS370">
            <v>0</v>
          </cell>
          <cell r="AT370" t="str">
            <v/>
          </cell>
          <cell r="AU370">
            <v>0</v>
          </cell>
          <cell r="AV370" t="str">
            <v>-</v>
          </cell>
          <cell r="AW370">
            <v>0</v>
          </cell>
          <cell r="AX370" t="str">
            <v>-</v>
          </cell>
          <cell r="AY370">
            <v>0</v>
          </cell>
          <cell r="AZ370" t="str">
            <v/>
          </cell>
          <cell r="BA370">
            <v>0</v>
          </cell>
          <cell r="BB370" t="str">
            <v>-</v>
          </cell>
          <cell r="BC370">
            <v>0</v>
          </cell>
          <cell r="BD370" t="str">
            <v>-</v>
          </cell>
          <cell r="BE370">
            <v>0</v>
          </cell>
          <cell r="BF370" t="str">
            <v/>
          </cell>
          <cell r="BG370">
            <v>0</v>
          </cell>
          <cell r="BH370" t="str">
            <v>-</v>
          </cell>
          <cell r="BI370">
            <v>0</v>
          </cell>
          <cell r="BJ370" t="str">
            <v>-</v>
          </cell>
          <cell r="BK370">
            <v>0</v>
          </cell>
          <cell r="BL370">
            <v>0</v>
          </cell>
          <cell r="BM370" t="str">
            <v>-</v>
          </cell>
          <cell r="BN370">
            <v>11</v>
          </cell>
          <cell r="BO370" t="str">
            <v/>
          </cell>
          <cell r="BP370">
            <v>0</v>
          </cell>
          <cell r="BQ370">
            <v>0</v>
          </cell>
          <cell r="BR370" t="str">
            <v>-</v>
          </cell>
          <cell r="BS370">
            <v>0</v>
          </cell>
          <cell r="BT370">
            <v>0</v>
          </cell>
          <cell r="BU370" t="str">
            <v>-</v>
          </cell>
        </row>
        <row r="371">
          <cell r="A371" t="str">
            <v>20927MD</v>
          </cell>
          <cell r="B371">
            <v>20927</v>
          </cell>
          <cell r="C371" t="str">
            <v>MD</v>
          </cell>
          <cell r="D371" t="str">
            <v>Space Heating</v>
          </cell>
          <cell r="E371" t="str">
            <v>Smart Tstat MD</v>
          </cell>
          <cell r="F371" t="str">
            <v>C</v>
          </cell>
          <cell r="G371" t="str">
            <v>Y</v>
          </cell>
          <cell r="M371" t="str">
            <v>NC,RENO</v>
          </cell>
          <cell r="N371" t="str">
            <v>Non-wifi programmable thermostat</v>
          </cell>
          <cell r="O371">
            <v>2021</v>
          </cell>
          <cell r="P371">
            <v>2030</v>
          </cell>
          <cell r="Q371" t="str">
            <v>Small Office</v>
          </cell>
          <cell r="R371" t="str">
            <v/>
          </cell>
          <cell r="S371">
            <v>0</v>
          </cell>
          <cell r="T371">
            <v>0</v>
          </cell>
          <cell r="U371">
            <v>0</v>
          </cell>
          <cell r="V371">
            <v>0</v>
          </cell>
          <cell r="W371">
            <v>0.15142258116222404</v>
          </cell>
          <cell r="X371" t="str">
            <v>-</v>
          </cell>
          <cell r="Y371" t="str">
            <v>2,3,11,6,46</v>
          </cell>
          <cell r="Z371" t="str">
            <v>2,3,11,6,46</v>
          </cell>
          <cell r="AA371">
            <v>0</v>
          </cell>
          <cell r="AB371">
            <v>0</v>
          </cell>
          <cell r="AC371">
            <v>0</v>
          </cell>
          <cell r="AD371">
            <v>0</v>
          </cell>
          <cell r="AE371" t="str">
            <v>4,12</v>
          </cell>
          <cell r="AF371" t="str">
            <v>4,12</v>
          </cell>
          <cell r="AG371">
            <v>0</v>
          </cell>
          <cell r="AH371">
            <v>0</v>
          </cell>
          <cell r="AI371">
            <v>0</v>
          </cell>
          <cell r="AJ371">
            <v>0</v>
          </cell>
          <cell r="AK371">
            <v>0</v>
          </cell>
          <cell r="AL371" t="str">
            <v>-</v>
          </cell>
          <cell r="AM371" t="str">
            <v>-</v>
          </cell>
          <cell r="AN371" t="str">
            <v/>
          </cell>
          <cell r="AO371">
            <v>0</v>
          </cell>
          <cell r="AP371" t="str">
            <v>-</v>
          </cell>
          <cell r="AQ371">
            <v>0</v>
          </cell>
          <cell r="AR371" t="str">
            <v>-</v>
          </cell>
          <cell r="AS371">
            <v>0</v>
          </cell>
          <cell r="AT371" t="str">
            <v/>
          </cell>
          <cell r="AU371">
            <v>0</v>
          </cell>
          <cell r="AV371" t="str">
            <v>-</v>
          </cell>
          <cell r="AW371">
            <v>0</v>
          </cell>
          <cell r="AX371" t="str">
            <v>-</v>
          </cell>
          <cell r="AY371">
            <v>0</v>
          </cell>
          <cell r="AZ371" t="str">
            <v/>
          </cell>
          <cell r="BA371">
            <v>0</v>
          </cell>
          <cell r="BB371" t="str">
            <v>-</v>
          </cell>
          <cell r="BC371">
            <v>0</v>
          </cell>
          <cell r="BD371" t="str">
            <v>-</v>
          </cell>
          <cell r="BE371">
            <v>0</v>
          </cell>
          <cell r="BF371" t="str">
            <v/>
          </cell>
          <cell r="BG371">
            <v>0</v>
          </cell>
          <cell r="BH371" t="str">
            <v>-</v>
          </cell>
          <cell r="BI371">
            <v>0</v>
          </cell>
          <cell r="BJ371" t="str">
            <v>-</v>
          </cell>
          <cell r="BK371">
            <v>0</v>
          </cell>
          <cell r="BL371">
            <v>0</v>
          </cell>
          <cell r="BM371" t="str">
            <v>-</v>
          </cell>
          <cell r="BN371">
            <v>11</v>
          </cell>
          <cell r="BO371" t="str">
            <v/>
          </cell>
          <cell r="BP371">
            <v>0</v>
          </cell>
          <cell r="BQ371">
            <v>0</v>
          </cell>
          <cell r="BR371" t="str">
            <v>-</v>
          </cell>
          <cell r="BS371">
            <v>0</v>
          </cell>
          <cell r="BT371">
            <v>0</v>
          </cell>
          <cell r="BU371" t="str">
            <v>-</v>
          </cell>
        </row>
        <row r="372">
          <cell r="A372" t="str">
            <v>20927RET</v>
          </cell>
          <cell r="B372">
            <v>20927</v>
          </cell>
          <cell r="C372" t="str">
            <v>RET</v>
          </cell>
          <cell r="D372" t="str">
            <v>Space Heating</v>
          </cell>
          <cell r="E372" t="str">
            <v>Smart Tstat  RET</v>
          </cell>
          <cell r="F372" t="str">
            <v>C</v>
          </cell>
          <cell r="G372" t="str">
            <v>Y</v>
          </cell>
          <cell r="M372" t="str">
            <v>RET</v>
          </cell>
          <cell r="N372" t="str">
            <v>Non-wifi programmable thermostat</v>
          </cell>
          <cell r="O372">
            <v>2021</v>
          </cell>
          <cell r="P372">
            <v>2030</v>
          </cell>
          <cell r="Q372" t="str">
            <v>Small Office</v>
          </cell>
          <cell r="R372" t="str">
            <v/>
          </cell>
          <cell r="S372">
            <v>0</v>
          </cell>
          <cell r="T372">
            <v>0</v>
          </cell>
          <cell r="U372">
            <v>0</v>
          </cell>
          <cell r="V372">
            <v>0</v>
          </cell>
          <cell r="W372">
            <v>0.15142258116222404</v>
          </cell>
          <cell r="X372" t="str">
            <v>-</v>
          </cell>
          <cell r="Y372" t="str">
            <v>2,3,11,6,46</v>
          </cell>
          <cell r="Z372" t="str">
            <v>2,3,11,6,46</v>
          </cell>
          <cell r="AA372">
            <v>0</v>
          </cell>
          <cell r="AB372">
            <v>0</v>
          </cell>
          <cell r="AC372">
            <v>0</v>
          </cell>
          <cell r="AD372">
            <v>0</v>
          </cell>
          <cell r="AE372" t="str">
            <v>4,12</v>
          </cell>
          <cell r="AF372" t="str">
            <v>4,12</v>
          </cell>
          <cell r="AG372">
            <v>0</v>
          </cell>
          <cell r="AH372">
            <v>0</v>
          </cell>
          <cell r="AI372">
            <v>0</v>
          </cell>
          <cell r="AJ372">
            <v>0</v>
          </cell>
          <cell r="AK372">
            <v>0</v>
          </cell>
          <cell r="AL372" t="str">
            <v>-</v>
          </cell>
          <cell r="AM372" t="str">
            <v>-</v>
          </cell>
          <cell r="AN372" t="str">
            <v/>
          </cell>
          <cell r="AO372">
            <v>0</v>
          </cell>
          <cell r="AP372" t="str">
            <v>-</v>
          </cell>
          <cell r="AQ372">
            <v>0</v>
          </cell>
          <cell r="AR372" t="str">
            <v>-</v>
          </cell>
          <cell r="AS372">
            <v>0</v>
          </cell>
          <cell r="AT372" t="str">
            <v/>
          </cell>
          <cell r="AU372">
            <v>0</v>
          </cell>
          <cell r="AV372" t="str">
            <v>-</v>
          </cell>
          <cell r="AW372">
            <v>0</v>
          </cell>
          <cell r="AX372" t="str">
            <v>-</v>
          </cell>
          <cell r="AY372">
            <v>0</v>
          </cell>
          <cell r="AZ372" t="str">
            <v/>
          </cell>
          <cell r="BA372">
            <v>0</v>
          </cell>
          <cell r="BB372" t="str">
            <v>-</v>
          </cell>
          <cell r="BC372">
            <v>0</v>
          </cell>
          <cell r="BD372" t="str">
            <v>-</v>
          </cell>
          <cell r="BE372">
            <v>0</v>
          </cell>
          <cell r="BF372" t="str">
            <v/>
          </cell>
          <cell r="BG372">
            <v>0</v>
          </cell>
          <cell r="BH372" t="str">
            <v>-</v>
          </cell>
          <cell r="BI372">
            <v>0</v>
          </cell>
          <cell r="BJ372" t="str">
            <v>-</v>
          </cell>
          <cell r="BK372">
            <v>0</v>
          </cell>
          <cell r="BL372">
            <v>0</v>
          </cell>
          <cell r="BM372" t="str">
            <v>-</v>
          </cell>
          <cell r="BN372">
            <v>11</v>
          </cell>
          <cell r="BO372" t="str">
            <v/>
          </cell>
          <cell r="BP372">
            <v>0</v>
          </cell>
          <cell r="BQ372">
            <v>0</v>
          </cell>
          <cell r="BR372" t="str">
            <v>-</v>
          </cell>
          <cell r="BS372">
            <v>0</v>
          </cell>
          <cell r="BT372">
            <v>0</v>
          </cell>
          <cell r="BU372" t="str">
            <v>-</v>
          </cell>
        </row>
        <row r="373">
          <cell r="A373" t="str">
            <v>20928MD</v>
          </cell>
          <cell r="B373">
            <v>20928</v>
          </cell>
          <cell r="C373" t="str">
            <v>MD</v>
          </cell>
          <cell r="D373" t="str">
            <v>Space Heating</v>
          </cell>
          <cell r="E373" t="str">
            <v>Smart Tstat MD</v>
          </cell>
          <cell r="F373" t="str">
            <v>C</v>
          </cell>
          <cell r="G373" t="str">
            <v>Y</v>
          </cell>
          <cell r="M373" t="str">
            <v>NC,RENO</v>
          </cell>
          <cell r="N373" t="str">
            <v>Non-wifi programmable thermostat</v>
          </cell>
          <cell r="O373">
            <v>2021</v>
          </cell>
          <cell r="P373">
            <v>2030</v>
          </cell>
          <cell r="Q373" t="str">
            <v>Small Office</v>
          </cell>
          <cell r="R373" t="str">
            <v/>
          </cell>
          <cell r="S373">
            <v>0</v>
          </cell>
          <cell r="T373">
            <v>0</v>
          </cell>
          <cell r="U373">
            <v>0</v>
          </cell>
          <cell r="V373">
            <v>0</v>
          </cell>
          <cell r="W373">
            <v>0.15142258116222404</v>
          </cell>
          <cell r="X373" t="str">
            <v>-</v>
          </cell>
          <cell r="Y373" t="str">
            <v>2,3,11,6,46</v>
          </cell>
          <cell r="Z373" t="str">
            <v>2,3,11,6,46</v>
          </cell>
          <cell r="AA373">
            <v>0</v>
          </cell>
          <cell r="AB373">
            <v>0</v>
          </cell>
          <cell r="AC373">
            <v>0</v>
          </cell>
          <cell r="AD373">
            <v>0</v>
          </cell>
          <cell r="AE373" t="str">
            <v>4,12</v>
          </cell>
          <cell r="AF373" t="str">
            <v>4,12</v>
          </cell>
          <cell r="AG373">
            <v>0</v>
          </cell>
          <cell r="AH373">
            <v>0</v>
          </cell>
          <cell r="AI373">
            <v>0</v>
          </cell>
          <cell r="AJ373">
            <v>0</v>
          </cell>
          <cell r="AK373">
            <v>0</v>
          </cell>
          <cell r="AL373" t="str">
            <v>-</v>
          </cell>
          <cell r="AM373" t="str">
            <v>-</v>
          </cell>
          <cell r="AN373" t="str">
            <v/>
          </cell>
          <cell r="AO373">
            <v>0</v>
          </cell>
          <cell r="AP373" t="str">
            <v>-</v>
          </cell>
          <cell r="AQ373">
            <v>0</v>
          </cell>
          <cell r="AR373" t="str">
            <v>-</v>
          </cell>
          <cell r="AS373">
            <v>0</v>
          </cell>
          <cell r="AT373" t="str">
            <v/>
          </cell>
          <cell r="AU373">
            <v>0</v>
          </cell>
          <cell r="AV373" t="str">
            <v>-</v>
          </cell>
          <cell r="AW373">
            <v>0</v>
          </cell>
          <cell r="AX373" t="str">
            <v>-</v>
          </cell>
          <cell r="AY373">
            <v>0</v>
          </cell>
          <cell r="AZ373" t="str">
            <v/>
          </cell>
          <cell r="BA373">
            <v>0</v>
          </cell>
          <cell r="BB373" t="str">
            <v>-</v>
          </cell>
          <cell r="BC373">
            <v>0</v>
          </cell>
          <cell r="BD373" t="str">
            <v>-</v>
          </cell>
          <cell r="BE373">
            <v>0</v>
          </cell>
          <cell r="BF373" t="str">
            <v/>
          </cell>
          <cell r="BG373">
            <v>0</v>
          </cell>
          <cell r="BH373" t="str">
            <v>-</v>
          </cell>
          <cell r="BI373">
            <v>0</v>
          </cell>
          <cell r="BJ373" t="str">
            <v>-</v>
          </cell>
          <cell r="BK373">
            <v>0</v>
          </cell>
          <cell r="BL373">
            <v>0</v>
          </cell>
          <cell r="BM373" t="str">
            <v>-</v>
          </cell>
          <cell r="BN373">
            <v>11</v>
          </cell>
          <cell r="BO373" t="str">
            <v/>
          </cell>
          <cell r="BP373">
            <v>0</v>
          </cell>
          <cell r="BQ373">
            <v>0</v>
          </cell>
          <cell r="BR373" t="str">
            <v>-</v>
          </cell>
          <cell r="BS373">
            <v>0</v>
          </cell>
          <cell r="BT373">
            <v>0</v>
          </cell>
          <cell r="BU373" t="str">
            <v>-</v>
          </cell>
        </row>
        <row r="374">
          <cell r="A374" t="str">
            <v>20928RET</v>
          </cell>
          <cell r="B374">
            <v>20928</v>
          </cell>
          <cell r="C374" t="str">
            <v>RET</v>
          </cell>
          <cell r="D374" t="str">
            <v>Space Heating</v>
          </cell>
          <cell r="E374" t="str">
            <v>Smart Tstat  RET</v>
          </cell>
          <cell r="F374" t="str">
            <v>C</v>
          </cell>
          <cell r="G374" t="str">
            <v>Y</v>
          </cell>
          <cell r="M374" t="str">
            <v>RET</v>
          </cell>
          <cell r="N374" t="str">
            <v>Non-wifi programmable thermostat</v>
          </cell>
          <cell r="O374">
            <v>2021</v>
          </cell>
          <cell r="P374">
            <v>2030</v>
          </cell>
          <cell r="Q374" t="str">
            <v>Small Office</v>
          </cell>
          <cell r="R374" t="str">
            <v/>
          </cell>
          <cell r="S374">
            <v>0</v>
          </cell>
          <cell r="T374">
            <v>0</v>
          </cell>
          <cell r="U374">
            <v>0</v>
          </cell>
          <cell r="V374">
            <v>0</v>
          </cell>
          <cell r="W374">
            <v>0.15142258116222404</v>
          </cell>
          <cell r="X374" t="str">
            <v>-</v>
          </cell>
          <cell r="Y374" t="str">
            <v>2,3,11,6,46</v>
          </cell>
          <cell r="Z374" t="str">
            <v>2,3,11,6,46</v>
          </cell>
          <cell r="AA374">
            <v>0</v>
          </cell>
          <cell r="AB374">
            <v>0</v>
          </cell>
          <cell r="AC374">
            <v>0</v>
          </cell>
          <cell r="AD374">
            <v>0</v>
          </cell>
          <cell r="AE374" t="str">
            <v>4,12</v>
          </cell>
          <cell r="AF374" t="str">
            <v>4,12</v>
          </cell>
          <cell r="AG374">
            <v>0</v>
          </cell>
          <cell r="AH374">
            <v>0</v>
          </cell>
          <cell r="AI374">
            <v>0</v>
          </cell>
          <cell r="AJ374">
            <v>0</v>
          </cell>
          <cell r="AK374">
            <v>0</v>
          </cell>
          <cell r="AL374" t="str">
            <v>-</v>
          </cell>
          <cell r="AM374" t="str">
            <v>-</v>
          </cell>
          <cell r="AN374" t="str">
            <v/>
          </cell>
          <cell r="AO374">
            <v>0</v>
          </cell>
          <cell r="AP374" t="str">
            <v>-</v>
          </cell>
          <cell r="AQ374">
            <v>0</v>
          </cell>
          <cell r="AR374" t="str">
            <v>-</v>
          </cell>
          <cell r="AS374">
            <v>0</v>
          </cell>
          <cell r="AT374" t="str">
            <v/>
          </cell>
          <cell r="AU374">
            <v>0</v>
          </cell>
          <cell r="AV374" t="str">
            <v>-</v>
          </cell>
          <cell r="AW374">
            <v>0</v>
          </cell>
          <cell r="AX374" t="str">
            <v>-</v>
          </cell>
          <cell r="AY374">
            <v>0</v>
          </cell>
          <cell r="AZ374" t="str">
            <v/>
          </cell>
          <cell r="BA374">
            <v>0</v>
          </cell>
          <cell r="BB374" t="str">
            <v>-</v>
          </cell>
          <cell r="BC374">
            <v>0</v>
          </cell>
          <cell r="BD374" t="str">
            <v>-</v>
          </cell>
          <cell r="BE374">
            <v>0</v>
          </cell>
          <cell r="BF374" t="str">
            <v/>
          </cell>
          <cell r="BG374">
            <v>0</v>
          </cell>
          <cell r="BH374" t="str">
            <v>-</v>
          </cell>
          <cell r="BI374">
            <v>0</v>
          </cell>
          <cell r="BJ374" t="str">
            <v>-</v>
          </cell>
          <cell r="BK374">
            <v>0</v>
          </cell>
          <cell r="BL374">
            <v>0</v>
          </cell>
          <cell r="BM374" t="str">
            <v>-</v>
          </cell>
          <cell r="BN374">
            <v>11</v>
          </cell>
          <cell r="BO374" t="str">
            <v/>
          </cell>
          <cell r="BP374">
            <v>0</v>
          </cell>
          <cell r="BQ374">
            <v>0</v>
          </cell>
          <cell r="BR374" t="str">
            <v>-</v>
          </cell>
          <cell r="BS374">
            <v>0</v>
          </cell>
          <cell r="BT374">
            <v>0</v>
          </cell>
          <cell r="BU374" t="str">
            <v>-</v>
          </cell>
        </row>
        <row r="375">
          <cell r="A375" t="str">
            <v>20929RET</v>
          </cell>
          <cell r="B375">
            <v>20929</v>
          </cell>
          <cell r="C375" t="str">
            <v>RET</v>
          </cell>
          <cell r="D375" t="str">
            <v>Space Heating</v>
          </cell>
          <cell r="E375" t="str">
            <v>Duct Sealing Regulated</v>
          </cell>
          <cell r="F375" t="str">
            <v>C</v>
          </cell>
          <cell r="G375" t="str">
            <v>Y</v>
          </cell>
          <cell r="M375" t="str">
            <v>RET</v>
          </cell>
          <cell r="N375" t="str">
            <v>Over a very broad set of buildings, we measured average duct leakage at 8%</v>
          </cell>
          <cell r="O375">
            <v>2021</v>
          </cell>
          <cell r="P375">
            <v>2030</v>
          </cell>
          <cell r="Q375" t="str">
            <v>Small Office</v>
          </cell>
          <cell r="R375" t="str">
            <v/>
          </cell>
          <cell r="S375">
            <v>0</v>
          </cell>
          <cell r="T375">
            <v>0</v>
          </cell>
          <cell r="U375">
            <v>0</v>
          </cell>
          <cell r="V375">
            <v>0</v>
          </cell>
          <cell r="W375">
            <v>5.1999999999999998E-2</v>
          </cell>
          <cell r="X375" t="str">
            <v>-</v>
          </cell>
          <cell r="Y375">
            <v>24</v>
          </cell>
          <cell r="Z375">
            <v>24</v>
          </cell>
          <cell r="AA375">
            <v>0</v>
          </cell>
          <cell r="AB375">
            <v>0</v>
          </cell>
          <cell r="AC375">
            <v>0</v>
          </cell>
          <cell r="AD375">
            <v>0</v>
          </cell>
          <cell r="AE375">
            <v>24</v>
          </cell>
          <cell r="AF375">
            <v>24</v>
          </cell>
          <cell r="AG375">
            <v>0</v>
          </cell>
          <cell r="AH375">
            <v>0</v>
          </cell>
          <cell r="AI375">
            <v>0</v>
          </cell>
          <cell r="AJ375">
            <v>0</v>
          </cell>
          <cell r="AK375">
            <v>0</v>
          </cell>
          <cell r="AL375" t="str">
            <v>-</v>
          </cell>
          <cell r="AM375" t="str">
            <v>-</v>
          </cell>
          <cell r="AN375" t="str">
            <v/>
          </cell>
          <cell r="AO375">
            <v>0</v>
          </cell>
          <cell r="AP375" t="str">
            <v>-</v>
          </cell>
          <cell r="AQ375">
            <v>0</v>
          </cell>
          <cell r="AR375" t="str">
            <v>-</v>
          </cell>
          <cell r="AS375">
            <v>0</v>
          </cell>
          <cell r="AT375" t="str">
            <v/>
          </cell>
          <cell r="AU375">
            <v>0</v>
          </cell>
          <cell r="AV375" t="str">
            <v>-</v>
          </cell>
          <cell r="AW375">
            <v>0</v>
          </cell>
          <cell r="AX375" t="str">
            <v>-</v>
          </cell>
          <cell r="AY375">
            <v>0</v>
          </cell>
          <cell r="AZ375" t="str">
            <v/>
          </cell>
          <cell r="BA375">
            <v>0</v>
          </cell>
          <cell r="BB375" t="str">
            <v>-</v>
          </cell>
          <cell r="BC375">
            <v>0</v>
          </cell>
          <cell r="BD375" t="str">
            <v>-</v>
          </cell>
          <cell r="BE375">
            <v>0</v>
          </cell>
          <cell r="BF375" t="str">
            <v/>
          </cell>
          <cell r="BG375">
            <v>0</v>
          </cell>
          <cell r="BH375" t="str">
            <v>-</v>
          </cell>
          <cell r="BI375">
            <v>0</v>
          </cell>
          <cell r="BJ375" t="str">
            <v>-</v>
          </cell>
          <cell r="BK375">
            <v>0</v>
          </cell>
          <cell r="BL375">
            <v>0</v>
          </cell>
          <cell r="BM375" t="str">
            <v>-</v>
          </cell>
          <cell r="BN375">
            <v>15</v>
          </cell>
          <cell r="BO375" t="str">
            <v/>
          </cell>
          <cell r="BP375">
            <v>0</v>
          </cell>
          <cell r="BQ375">
            <v>0</v>
          </cell>
          <cell r="BR375" t="str">
            <v>-</v>
          </cell>
          <cell r="BS375">
            <v>0</v>
          </cell>
          <cell r="BT375">
            <v>0</v>
          </cell>
          <cell r="BU375" t="str">
            <v>-</v>
          </cell>
        </row>
        <row r="376">
          <cell r="A376" t="str">
            <v>20930RET</v>
          </cell>
          <cell r="B376">
            <v>20930</v>
          </cell>
          <cell r="C376" t="str">
            <v>RET</v>
          </cell>
          <cell r="D376" t="str">
            <v>Space Heating</v>
          </cell>
          <cell r="E376" t="str">
            <v>Duct Sealing Regulated</v>
          </cell>
          <cell r="F376" t="str">
            <v>C</v>
          </cell>
          <cell r="G376" t="str">
            <v>Y</v>
          </cell>
          <cell r="M376" t="str">
            <v>RET</v>
          </cell>
          <cell r="N376" t="str">
            <v>Over a very broad set of buildings, we measured average duct leakage at 8%</v>
          </cell>
          <cell r="O376">
            <v>2021</v>
          </cell>
          <cell r="P376">
            <v>2030</v>
          </cell>
          <cell r="Q376" t="str">
            <v>Small Office</v>
          </cell>
          <cell r="R376" t="str">
            <v/>
          </cell>
          <cell r="S376">
            <v>0</v>
          </cell>
          <cell r="T376">
            <v>0</v>
          </cell>
          <cell r="U376">
            <v>0</v>
          </cell>
          <cell r="V376">
            <v>0</v>
          </cell>
          <cell r="W376">
            <v>5.1999999999999998E-2</v>
          </cell>
          <cell r="X376" t="str">
            <v>-</v>
          </cell>
          <cell r="Y376">
            <v>24</v>
          </cell>
          <cell r="Z376">
            <v>24</v>
          </cell>
          <cell r="AA376">
            <v>0</v>
          </cell>
          <cell r="AB376">
            <v>0</v>
          </cell>
          <cell r="AC376">
            <v>0</v>
          </cell>
          <cell r="AD376">
            <v>0</v>
          </cell>
          <cell r="AE376">
            <v>24</v>
          </cell>
          <cell r="AF376">
            <v>24</v>
          </cell>
          <cell r="AG376">
            <v>0</v>
          </cell>
          <cell r="AH376">
            <v>0</v>
          </cell>
          <cell r="AI376">
            <v>0</v>
          </cell>
          <cell r="AJ376">
            <v>0</v>
          </cell>
          <cell r="AK376">
            <v>0</v>
          </cell>
          <cell r="AL376" t="str">
            <v>-</v>
          </cell>
          <cell r="AM376" t="str">
            <v>-</v>
          </cell>
          <cell r="AN376" t="str">
            <v/>
          </cell>
          <cell r="AO376">
            <v>0</v>
          </cell>
          <cell r="AP376" t="str">
            <v>-</v>
          </cell>
          <cell r="AQ376">
            <v>0</v>
          </cell>
          <cell r="AR376" t="str">
            <v>-</v>
          </cell>
          <cell r="AS376">
            <v>0</v>
          </cell>
          <cell r="AT376" t="str">
            <v/>
          </cell>
          <cell r="AU376">
            <v>0</v>
          </cell>
          <cell r="AV376" t="str">
            <v>-</v>
          </cell>
          <cell r="AW376">
            <v>0</v>
          </cell>
          <cell r="AX376" t="str">
            <v>-</v>
          </cell>
          <cell r="AY376">
            <v>0</v>
          </cell>
          <cell r="AZ376" t="str">
            <v/>
          </cell>
          <cell r="BA376">
            <v>0</v>
          </cell>
          <cell r="BB376" t="str">
            <v>-</v>
          </cell>
          <cell r="BC376">
            <v>0</v>
          </cell>
          <cell r="BD376" t="str">
            <v>-</v>
          </cell>
          <cell r="BE376">
            <v>0</v>
          </cell>
          <cell r="BF376" t="str">
            <v/>
          </cell>
          <cell r="BG376">
            <v>0</v>
          </cell>
          <cell r="BH376" t="str">
            <v>-</v>
          </cell>
          <cell r="BI376">
            <v>0</v>
          </cell>
          <cell r="BJ376" t="str">
            <v>-</v>
          </cell>
          <cell r="BK376">
            <v>0</v>
          </cell>
          <cell r="BL376">
            <v>0</v>
          </cell>
          <cell r="BM376" t="str">
            <v>-</v>
          </cell>
          <cell r="BN376">
            <v>15</v>
          </cell>
          <cell r="BO376" t="str">
            <v/>
          </cell>
          <cell r="BP376">
            <v>0</v>
          </cell>
          <cell r="BQ376">
            <v>0</v>
          </cell>
          <cell r="BR376" t="str">
            <v>-</v>
          </cell>
          <cell r="BS376">
            <v>0</v>
          </cell>
          <cell r="BT376">
            <v>0</v>
          </cell>
          <cell r="BU376" t="str">
            <v>-</v>
          </cell>
        </row>
        <row r="377">
          <cell r="A377" t="str">
            <v>20931RET</v>
          </cell>
          <cell r="B377">
            <v>20931</v>
          </cell>
          <cell r="C377" t="str">
            <v>RET</v>
          </cell>
          <cell r="D377" t="str">
            <v>Space Heating</v>
          </cell>
          <cell r="E377" t="str">
            <v>Commercial Air Sealing</v>
          </cell>
          <cell r="F377" t="str">
            <v>C</v>
          </cell>
          <cell r="G377" t="str">
            <v>Y</v>
          </cell>
          <cell r="M377" t="str">
            <v>RET</v>
          </cell>
          <cell r="N377" t="str">
            <v>Existing building envelop without additional air sealing</v>
          </cell>
          <cell r="O377">
            <v>2021</v>
          </cell>
          <cell r="P377">
            <v>2030</v>
          </cell>
          <cell r="Q377" t="str">
            <v>Small Office</v>
          </cell>
          <cell r="R377" t="str">
            <v>CFM Reduction</v>
          </cell>
          <cell r="S377">
            <v>0</v>
          </cell>
          <cell r="T377">
            <v>0</v>
          </cell>
          <cell r="U377">
            <v>0</v>
          </cell>
          <cell r="V377">
            <v>0.80212459098443811</v>
          </cell>
          <cell r="W377">
            <v>0.14876190476190476</v>
          </cell>
          <cell r="X377" t="str">
            <v>-</v>
          </cell>
          <cell r="Y377" t="str">
            <v>8,2,12</v>
          </cell>
          <cell r="Z377" t="str">
            <v>8,2,12</v>
          </cell>
          <cell r="AA377">
            <v>0</v>
          </cell>
          <cell r="AB377">
            <v>0</v>
          </cell>
          <cell r="AC377">
            <v>1.1499999999999999</v>
          </cell>
          <cell r="AD377">
            <v>1.4336924873336927</v>
          </cell>
          <cell r="AE377" t="str">
            <v>41,12</v>
          </cell>
          <cell r="AF377" t="str">
            <v>41,12</v>
          </cell>
          <cell r="AG377">
            <v>0</v>
          </cell>
          <cell r="AH377">
            <v>0</v>
          </cell>
          <cell r="AI377">
            <v>0</v>
          </cell>
          <cell r="AJ377">
            <v>0</v>
          </cell>
          <cell r="AK377">
            <v>0</v>
          </cell>
          <cell r="AL377" t="str">
            <v>-</v>
          </cell>
          <cell r="AM377" t="str">
            <v>-</v>
          </cell>
          <cell r="AN377" t="str">
            <v/>
          </cell>
          <cell r="AO377">
            <v>0</v>
          </cell>
          <cell r="AP377" t="str">
            <v>-</v>
          </cell>
          <cell r="AQ377">
            <v>0</v>
          </cell>
          <cell r="AR377" t="str">
            <v>-</v>
          </cell>
          <cell r="AS377">
            <v>0</v>
          </cell>
          <cell r="AT377" t="str">
            <v/>
          </cell>
          <cell r="AU377">
            <v>0</v>
          </cell>
          <cell r="AV377" t="str">
            <v>-</v>
          </cell>
          <cell r="AW377">
            <v>0</v>
          </cell>
          <cell r="AX377" t="str">
            <v>-</v>
          </cell>
          <cell r="AY377">
            <v>0</v>
          </cell>
          <cell r="AZ377" t="str">
            <v/>
          </cell>
          <cell r="BA377">
            <v>0</v>
          </cell>
          <cell r="BB377" t="str">
            <v>-</v>
          </cell>
          <cell r="BC377">
            <v>0</v>
          </cell>
          <cell r="BD377" t="str">
            <v>-</v>
          </cell>
          <cell r="BE377">
            <v>0</v>
          </cell>
          <cell r="BF377" t="str">
            <v/>
          </cell>
          <cell r="BG377">
            <v>0</v>
          </cell>
          <cell r="BH377" t="str">
            <v>-</v>
          </cell>
          <cell r="BI377">
            <v>0</v>
          </cell>
          <cell r="BJ377" t="str">
            <v>-</v>
          </cell>
          <cell r="BK377">
            <v>0</v>
          </cell>
          <cell r="BL377">
            <v>0</v>
          </cell>
          <cell r="BM377" t="str">
            <v>-</v>
          </cell>
          <cell r="BN377">
            <v>20</v>
          </cell>
          <cell r="BO377" t="str">
            <v/>
          </cell>
          <cell r="BP377">
            <v>0</v>
          </cell>
          <cell r="BQ377">
            <v>0</v>
          </cell>
          <cell r="BR377" t="str">
            <v>-</v>
          </cell>
          <cell r="BS377">
            <v>0</v>
          </cell>
          <cell r="BT377">
            <v>0</v>
          </cell>
          <cell r="BU377" t="str">
            <v>-</v>
          </cell>
        </row>
        <row r="378">
          <cell r="A378" t="str">
            <v>20932MD</v>
          </cell>
          <cell r="B378">
            <v>20932</v>
          </cell>
          <cell r="C378" t="str">
            <v>MD</v>
          </cell>
          <cell r="D378" t="str">
            <v>Space Heating</v>
          </cell>
          <cell r="E378" t="str">
            <v>Windows</v>
          </cell>
          <cell r="F378" t="str">
            <v>C</v>
          </cell>
          <cell r="G378" t="str">
            <v>Y</v>
          </cell>
          <cell r="M378" t="str">
            <v>NC,RENO</v>
          </cell>
          <cell r="N378" t="str">
            <v>Standard Windows</v>
          </cell>
          <cell r="O378">
            <v>2021</v>
          </cell>
          <cell r="P378">
            <v>2030</v>
          </cell>
          <cell r="Q378" t="str">
            <v>Small Office</v>
          </cell>
          <cell r="R378" t="str">
            <v/>
          </cell>
          <cell r="S378">
            <v>0</v>
          </cell>
          <cell r="T378">
            <v>0</v>
          </cell>
          <cell r="U378">
            <v>0</v>
          </cell>
          <cell r="V378">
            <v>0</v>
          </cell>
          <cell r="W378">
            <v>8.5798816568047345E-2</v>
          </cell>
          <cell r="X378" t="str">
            <v>-</v>
          </cell>
          <cell r="Y378" t="str">
            <v>11,23</v>
          </cell>
          <cell r="Z378" t="str">
            <v>11,23</v>
          </cell>
          <cell r="AA378">
            <v>0</v>
          </cell>
          <cell r="AB378">
            <v>0</v>
          </cell>
          <cell r="AC378">
            <v>0</v>
          </cell>
          <cell r="AD378">
            <v>0</v>
          </cell>
          <cell r="AE378">
            <v>9</v>
          </cell>
          <cell r="AF378">
            <v>9</v>
          </cell>
          <cell r="AG378">
            <v>0</v>
          </cell>
          <cell r="AH378">
            <v>0</v>
          </cell>
          <cell r="AI378">
            <v>0</v>
          </cell>
          <cell r="AJ378">
            <v>0</v>
          </cell>
          <cell r="AK378">
            <v>0</v>
          </cell>
          <cell r="AL378" t="str">
            <v>-</v>
          </cell>
          <cell r="AM378" t="str">
            <v>-</v>
          </cell>
          <cell r="AN378" t="str">
            <v/>
          </cell>
          <cell r="AO378">
            <v>0</v>
          </cell>
          <cell r="AP378" t="str">
            <v>-</v>
          </cell>
          <cell r="AQ378">
            <v>0</v>
          </cell>
          <cell r="AR378" t="str">
            <v>-</v>
          </cell>
          <cell r="AS378">
            <v>0</v>
          </cell>
          <cell r="AT378" t="str">
            <v/>
          </cell>
          <cell r="AU378">
            <v>0</v>
          </cell>
          <cell r="AV378" t="str">
            <v>-</v>
          </cell>
          <cell r="AW378">
            <v>0</v>
          </cell>
          <cell r="AX378" t="str">
            <v>-</v>
          </cell>
          <cell r="AY378">
            <v>0</v>
          </cell>
          <cell r="AZ378" t="str">
            <v/>
          </cell>
          <cell r="BA378">
            <v>0</v>
          </cell>
          <cell r="BB378" t="str">
            <v>-</v>
          </cell>
          <cell r="BC378">
            <v>0</v>
          </cell>
          <cell r="BD378" t="str">
            <v>-</v>
          </cell>
          <cell r="BE378">
            <v>0</v>
          </cell>
          <cell r="BF378" t="str">
            <v/>
          </cell>
          <cell r="BG378">
            <v>0</v>
          </cell>
          <cell r="BH378" t="str">
            <v>-</v>
          </cell>
          <cell r="BI378">
            <v>0</v>
          </cell>
          <cell r="BJ378" t="str">
            <v>-</v>
          </cell>
          <cell r="BK378">
            <v>0</v>
          </cell>
          <cell r="BL378">
            <v>0</v>
          </cell>
          <cell r="BM378" t="str">
            <v>-</v>
          </cell>
          <cell r="BN378">
            <v>20</v>
          </cell>
          <cell r="BO378" t="str">
            <v/>
          </cell>
          <cell r="BP378">
            <v>0</v>
          </cell>
          <cell r="BQ378">
            <v>0</v>
          </cell>
          <cell r="BR378" t="str">
            <v>-</v>
          </cell>
          <cell r="BS378">
            <v>0</v>
          </cell>
          <cell r="BT378">
            <v>0</v>
          </cell>
          <cell r="BU378" t="str">
            <v>-</v>
          </cell>
        </row>
        <row r="379">
          <cell r="A379" t="str">
            <v>20933MD</v>
          </cell>
          <cell r="B379">
            <v>20933</v>
          </cell>
          <cell r="C379" t="str">
            <v>MD</v>
          </cell>
          <cell r="D379" t="str">
            <v>Space Heating</v>
          </cell>
          <cell r="E379" t="str">
            <v>Windows</v>
          </cell>
          <cell r="F379" t="str">
            <v>C</v>
          </cell>
          <cell r="G379" t="str">
            <v>Y</v>
          </cell>
          <cell r="M379" t="str">
            <v>NC,RENO</v>
          </cell>
          <cell r="N379" t="str">
            <v>Standard Windows</v>
          </cell>
          <cell r="O379">
            <v>2021</v>
          </cell>
          <cell r="P379">
            <v>2030</v>
          </cell>
          <cell r="Q379" t="str">
            <v>Small Office</v>
          </cell>
          <cell r="R379" t="str">
            <v/>
          </cell>
          <cell r="S379">
            <v>0</v>
          </cell>
          <cell r="T379">
            <v>0</v>
          </cell>
          <cell r="U379">
            <v>0</v>
          </cell>
          <cell r="V379">
            <v>0</v>
          </cell>
          <cell r="W379">
            <v>8.5798816568047345E-2</v>
          </cell>
          <cell r="X379" t="str">
            <v>-</v>
          </cell>
          <cell r="Y379" t="str">
            <v>11,23</v>
          </cell>
          <cell r="Z379" t="str">
            <v>11,23</v>
          </cell>
          <cell r="AA379">
            <v>0</v>
          </cell>
          <cell r="AB379">
            <v>0</v>
          </cell>
          <cell r="AC379">
            <v>0</v>
          </cell>
          <cell r="AD379">
            <v>0</v>
          </cell>
          <cell r="AE379">
            <v>9</v>
          </cell>
          <cell r="AF379">
            <v>9</v>
          </cell>
          <cell r="AG379">
            <v>0</v>
          </cell>
          <cell r="AH379">
            <v>0</v>
          </cell>
          <cell r="AI379">
            <v>0</v>
          </cell>
          <cell r="AJ379">
            <v>0</v>
          </cell>
          <cell r="AK379">
            <v>0</v>
          </cell>
          <cell r="AL379" t="str">
            <v>-</v>
          </cell>
          <cell r="AM379" t="str">
            <v>-</v>
          </cell>
          <cell r="AN379" t="str">
            <v/>
          </cell>
          <cell r="AO379">
            <v>0</v>
          </cell>
          <cell r="AP379" t="str">
            <v>-</v>
          </cell>
          <cell r="AQ379">
            <v>0</v>
          </cell>
          <cell r="AR379" t="str">
            <v>-</v>
          </cell>
          <cell r="AS379">
            <v>0</v>
          </cell>
          <cell r="AT379" t="str">
            <v/>
          </cell>
          <cell r="AU379">
            <v>0</v>
          </cell>
          <cell r="AV379" t="str">
            <v>-</v>
          </cell>
          <cell r="AW379">
            <v>0</v>
          </cell>
          <cell r="AX379" t="str">
            <v>-</v>
          </cell>
          <cell r="AY379">
            <v>0</v>
          </cell>
          <cell r="AZ379" t="str">
            <v/>
          </cell>
          <cell r="BA379">
            <v>0</v>
          </cell>
          <cell r="BB379" t="str">
            <v>-</v>
          </cell>
          <cell r="BC379">
            <v>0</v>
          </cell>
          <cell r="BD379" t="str">
            <v>-</v>
          </cell>
          <cell r="BE379">
            <v>0</v>
          </cell>
          <cell r="BF379" t="str">
            <v/>
          </cell>
          <cell r="BG379">
            <v>0</v>
          </cell>
          <cell r="BH379" t="str">
            <v>-</v>
          </cell>
          <cell r="BI379">
            <v>0</v>
          </cell>
          <cell r="BJ379" t="str">
            <v>-</v>
          </cell>
          <cell r="BK379">
            <v>0</v>
          </cell>
          <cell r="BL379">
            <v>0</v>
          </cell>
          <cell r="BM379" t="str">
            <v>-</v>
          </cell>
          <cell r="BN379">
            <v>20</v>
          </cell>
          <cell r="BO379" t="str">
            <v/>
          </cell>
          <cell r="BP379">
            <v>0</v>
          </cell>
          <cell r="BQ379">
            <v>0</v>
          </cell>
          <cell r="BR379" t="str">
            <v>-</v>
          </cell>
          <cell r="BS379">
            <v>0</v>
          </cell>
          <cell r="BT379">
            <v>0</v>
          </cell>
          <cell r="BU379" t="str">
            <v>-</v>
          </cell>
        </row>
        <row r="380">
          <cell r="A380" t="str">
            <v>20934RET</v>
          </cell>
          <cell r="B380">
            <v>20934</v>
          </cell>
          <cell r="C380" t="str">
            <v>RET</v>
          </cell>
          <cell r="D380" t="str">
            <v>Space Heating</v>
          </cell>
          <cell r="E380" t="str">
            <v>Window Film</v>
          </cell>
          <cell r="F380" t="str">
            <v>C</v>
          </cell>
          <cell r="G380" t="str">
            <v>Y</v>
          </cell>
          <cell r="M380" t="str">
            <v>RET</v>
          </cell>
          <cell r="N380" t="str">
            <v>No window film</v>
          </cell>
          <cell r="O380">
            <v>2021</v>
          </cell>
          <cell r="P380">
            <v>2030</v>
          </cell>
          <cell r="Q380" t="str">
            <v>Small Office</v>
          </cell>
          <cell r="R380" t="str">
            <v/>
          </cell>
          <cell r="S380">
            <v>0</v>
          </cell>
          <cell r="T380">
            <v>0</v>
          </cell>
          <cell r="U380">
            <v>0</v>
          </cell>
          <cell r="V380">
            <v>0</v>
          </cell>
          <cell r="W380">
            <v>-0.27278106508875744</v>
          </cell>
          <cell r="X380" t="str">
            <v>-</v>
          </cell>
          <cell r="Y380" t="str">
            <v>11,23</v>
          </cell>
          <cell r="Z380" t="str">
            <v>11,23</v>
          </cell>
          <cell r="AA380">
            <v>0</v>
          </cell>
          <cell r="AB380">
            <v>0</v>
          </cell>
          <cell r="AC380">
            <v>0</v>
          </cell>
          <cell r="AD380">
            <v>0</v>
          </cell>
          <cell r="AE380">
            <v>12</v>
          </cell>
          <cell r="AF380">
            <v>12</v>
          </cell>
          <cell r="AG380">
            <v>0</v>
          </cell>
          <cell r="AH380">
            <v>0</v>
          </cell>
          <cell r="AI380">
            <v>0</v>
          </cell>
          <cell r="AJ380">
            <v>0</v>
          </cell>
          <cell r="AK380">
            <v>0</v>
          </cell>
          <cell r="AL380" t="str">
            <v>-</v>
          </cell>
          <cell r="AM380" t="str">
            <v>-</v>
          </cell>
          <cell r="AN380" t="str">
            <v/>
          </cell>
          <cell r="AO380">
            <v>0</v>
          </cell>
          <cell r="AP380" t="str">
            <v>-</v>
          </cell>
          <cell r="AQ380">
            <v>0</v>
          </cell>
          <cell r="AR380" t="str">
            <v>-</v>
          </cell>
          <cell r="AS380">
            <v>0</v>
          </cell>
          <cell r="AT380" t="str">
            <v/>
          </cell>
          <cell r="AU380">
            <v>0</v>
          </cell>
          <cell r="AV380" t="str">
            <v>-</v>
          </cell>
          <cell r="AW380">
            <v>0</v>
          </cell>
          <cell r="AX380" t="str">
            <v>-</v>
          </cell>
          <cell r="AY380">
            <v>0</v>
          </cell>
          <cell r="AZ380" t="str">
            <v/>
          </cell>
          <cell r="BA380">
            <v>0</v>
          </cell>
          <cell r="BB380" t="str">
            <v>-</v>
          </cell>
          <cell r="BC380">
            <v>0</v>
          </cell>
          <cell r="BD380" t="str">
            <v>-</v>
          </cell>
          <cell r="BE380">
            <v>0</v>
          </cell>
          <cell r="BF380" t="str">
            <v/>
          </cell>
          <cell r="BG380">
            <v>0</v>
          </cell>
          <cell r="BH380" t="str">
            <v>-</v>
          </cell>
          <cell r="BI380">
            <v>0</v>
          </cell>
          <cell r="BJ380" t="str">
            <v>-</v>
          </cell>
          <cell r="BK380">
            <v>0</v>
          </cell>
          <cell r="BL380">
            <v>0</v>
          </cell>
          <cell r="BM380" t="str">
            <v>-</v>
          </cell>
          <cell r="BN380">
            <v>10</v>
          </cell>
          <cell r="BO380" t="str">
            <v/>
          </cell>
          <cell r="BP380">
            <v>0</v>
          </cell>
          <cell r="BQ380">
            <v>0</v>
          </cell>
          <cell r="BR380" t="str">
            <v>-</v>
          </cell>
          <cell r="BS380">
            <v>0</v>
          </cell>
          <cell r="BT380">
            <v>0</v>
          </cell>
          <cell r="BU380" t="str">
            <v>-</v>
          </cell>
        </row>
        <row r="381">
          <cell r="A381" t="str">
            <v>20935RET</v>
          </cell>
          <cell r="B381">
            <v>20935</v>
          </cell>
          <cell r="C381" t="str">
            <v>RET</v>
          </cell>
          <cell r="D381" t="str">
            <v>Space Heating</v>
          </cell>
          <cell r="E381" t="str">
            <v>Window Film</v>
          </cell>
          <cell r="F381" t="str">
            <v>C</v>
          </cell>
          <cell r="G381" t="str">
            <v>Y</v>
          </cell>
          <cell r="M381" t="str">
            <v>RET</v>
          </cell>
          <cell r="N381" t="str">
            <v>No window film</v>
          </cell>
          <cell r="O381">
            <v>2021</v>
          </cell>
          <cell r="P381">
            <v>2030</v>
          </cell>
          <cell r="Q381" t="str">
            <v>Small Office</v>
          </cell>
          <cell r="R381" t="str">
            <v/>
          </cell>
          <cell r="S381">
            <v>0</v>
          </cell>
          <cell r="T381">
            <v>0</v>
          </cell>
          <cell r="U381">
            <v>0</v>
          </cell>
          <cell r="V381">
            <v>0</v>
          </cell>
          <cell r="W381">
            <v>-0.27278106508875744</v>
          </cell>
          <cell r="X381" t="str">
            <v>-</v>
          </cell>
          <cell r="Y381" t="str">
            <v>11,23</v>
          </cell>
          <cell r="Z381" t="str">
            <v>11,23</v>
          </cell>
          <cell r="AA381">
            <v>0</v>
          </cell>
          <cell r="AB381">
            <v>0</v>
          </cell>
          <cell r="AC381">
            <v>0</v>
          </cell>
          <cell r="AD381">
            <v>0</v>
          </cell>
          <cell r="AE381">
            <v>12</v>
          </cell>
          <cell r="AF381">
            <v>12</v>
          </cell>
          <cell r="AG381">
            <v>0</v>
          </cell>
          <cell r="AH381">
            <v>0</v>
          </cell>
          <cell r="AI381">
            <v>0</v>
          </cell>
          <cell r="AJ381">
            <v>0</v>
          </cell>
          <cell r="AK381">
            <v>0</v>
          </cell>
          <cell r="AL381" t="str">
            <v>-</v>
          </cell>
          <cell r="AM381" t="str">
            <v>-</v>
          </cell>
          <cell r="AN381" t="str">
            <v/>
          </cell>
          <cell r="AO381">
            <v>0</v>
          </cell>
          <cell r="AP381" t="str">
            <v>-</v>
          </cell>
          <cell r="AQ381">
            <v>0</v>
          </cell>
          <cell r="AR381" t="str">
            <v>-</v>
          </cell>
          <cell r="AS381">
            <v>0</v>
          </cell>
          <cell r="AT381" t="str">
            <v/>
          </cell>
          <cell r="AU381">
            <v>0</v>
          </cell>
          <cell r="AV381" t="str">
            <v>-</v>
          </cell>
          <cell r="AW381">
            <v>0</v>
          </cell>
          <cell r="AX381" t="str">
            <v>-</v>
          </cell>
          <cell r="AY381">
            <v>0</v>
          </cell>
          <cell r="AZ381" t="str">
            <v/>
          </cell>
          <cell r="BA381">
            <v>0</v>
          </cell>
          <cell r="BB381" t="str">
            <v>-</v>
          </cell>
          <cell r="BC381">
            <v>0</v>
          </cell>
          <cell r="BD381" t="str">
            <v>-</v>
          </cell>
          <cell r="BE381">
            <v>0</v>
          </cell>
          <cell r="BF381" t="str">
            <v/>
          </cell>
          <cell r="BG381">
            <v>0</v>
          </cell>
          <cell r="BH381" t="str">
            <v>-</v>
          </cell>
          <cell r="BI381">
            <v>0</v>
          </cell>
          <cell r="BJ381" t="str">
            <v>-</v>
          </cell>
          <cell r="BK381">
            <v>0</v>
          </cell>
          <cell r="BL381">
            <v>0</v>
          </cell>
          <cell r="BM381" t="str">
            <v>-</v>
          </cell>
          <cell r="BN381">
            <v>10</v>
          </cell>
          <cell r="BO381" t="str">
            <v/>
          </cell>
          <cell r="BP381">
            <v>0</v>
          </cell>
          <cell r="BQ381">
            <v>0</v>
          </cell>
          <cell r="BR381" t="str">
            <v>-</v>
          </cell>
          <cell r="BS381">
            <v>0</v>
          </cell>
          <cell r="BT381">
            <v>0</v>
          </cell>
          <cell r="BU381" t="str">
            <v>-</v>
          </cell>
        </row>
        <row r="382">
          <cell r="A382" t="str">
            <v>20936MD</v>
          </cell>
          <cell r="B382">
            <v>20936</v>
          </cell>
          <cell r="C382" t="str">
            <v>MD</v>
          </cell>
          <cell r="D382" t="str">
            <v>Space Heating</v>
          </cell>
          <cell r="E382" t="str">
            <v>Cool Roof - MD</v>
          </cell>
          <cell r="F382" t="str">
            <v>C</v>
          </cell>
          <cell r="G382" t="str">
            <v>Y</v>
          </cell>
          <cell r="M382" t="str">
            <v>NC,RENO</v>
          </cell>
          <cell r="N382" t="str">
            <v>Conventional dark-colored roofing materials</v>
          </cell>
          <cell r="O382">
            <v>2021</v>
          </cell>
          <cell r="P382">
            <v>2030</v>
          </cell>
          <cell r="Q382" t="str">
            <v>Small Office</v>
          </cell>
          <cell r="R382" t="str">
            <v/>
          </cell>
          <cell r="S382">
            <v>0</v>
          </cell>
          <cell r="T382">
            <v>0</v>
          </cell>
          <cell r="U382">
            <v>0</v>
          </cell>
          <cell r="V382">
            <v>0</v>
          </cell>
          <cell r="W382">
            <v>-2.3668639053254441E-2</v>
          </cell>
          <cell r="X382" t="str">
            <v>-</v>
          </cell>
          <cell r="Y382" t="str">
            <v>11,23</v>
          </cell>
          <cell r="Z382" t="str">
            <v>11,23</v>
          </cell>
          <cell r="AA382">
            <v>0</v>
          </cell>
          <cell r="AB382">
            <v>0</v>
          </cell>
          <cell r="AC382">
            <v>0</v>
          </cell>
          <cell r="AD382">
            <v>0</v>
          </cell>
          <cell r="AE382">
            <v>16</v>
          </cell>
          <cell r="AF382">
            <v>16</v>
          </cell>
          <cell r="AG382">
            <v>0</v>
          </cell>
          <cell r="AH382">
            <v>0</v>
          </cell>
          <cell r="AI382">
            <v>0</v>
          </cell>
          <cell r="AJ382">
            <v>0</v>
          </cell>
          <cell r="AK382">
            <v>0</v>
          </cell>
          <cell r="AL382" t="str">
            <v>-</v>
          </cell>
          <cell r="AM382" t="str">
            <v>-</v>
          </cell>
          <cell r="AN382" t="str">
            <v/>
          </cell>
          <cell r="AO382">
            <v>0</v>
          </cell>
          <cell r="AP382" t="str">
            <v>-</v>
          </cell>
          <cell r="AQ382">
            <v>0</v>
          </cell>
          <cell r="AR382" t="str">
            <v>-</v>
          </cell>
          <cell r="AS382">
            <v>0</v>
          </cell>
          <cell r="AT382" t="str">
            <v/>
          </cell>
          <cell r="AU382">
            <v>0</v>
          </cell>
          <cell r="AV382" t="str">
            <v>-</v>
          </cell>
          <cell r="AW382">
            <v>0</v>
          </cell>
          <cell r="AX382" t="str">
            <v>-</v>
          </cell>
          <cell r="AY382">
            <v>0</v>
          </cell>
          <cell r="AZ382" t="str">
            <v/>
          </cell>
          <cell r="BA382">
            <v>0</v>
          </cell>
          <cell r="BB382" t="str">
            <v>-</v>
          </cell>
          <cell r="BC382">
            <v>0</v>
          </cell>
          <cell r="BD382" t="str">
            <v>-</v>
          </cell>
          <cell r="BE382">
            <v>0</v>
          </cell>
          <cell r="BF382" t="str">
            <v/>
          </cell>
          <cell r="BG382">
            <v>0</v>
          </cell>
          <cell r="BH382" t="str">
            <v>-</v>
          </cell>
          <cell r="BI382">
            <v>0</v>
          </cell>
          <cell r="BJ382" t="str">
            <v>-</v>
          </cell>
          <cell r="BK382">
            <v>0</v>
          </cell>
          <cell r="BL382">
            <v>0</v>
          </cell>
          <cell r="BM382" t="str">
            <v>-</v>
          </cell>
          <cell r="BN382">
            <v>15</v>
          </cell>
          <cell r="BO382" t="str">
            <v/>
          </cell>
          <cell r="BP382">
            <v>0</v>
          </cell>
          <cell r="BQ382">
            <v>0</v>
          </cell>
          <cell r="BR382" t="str">
            <v>-</v>
          </cell>
          <cell r="BS382">
            <v>0</v>
          </cell>
          <cell r="BT382">
            <v>0</v>
          </cell>
          <cell r="BU382" t="str">
            <v>-</v>
          </cell>
        </row>
        <row r="383">
          <cell r="A383" t="str">
            <v>20936RET</v>
          </cell>
          <cell r="B383">
            <v>20936</v>
          </cell>
          <cell r="C383" t="str">
            <v>RET</v>
          </cell>
          <cell r="D383" t="str">
            <v>Space Heating</v>
          </cell>
          <cell r="E383" t="str">
            <v>Cool Roof - Ret</v>
          </cell>
          <cell r="F383" t="str">
            <v>C</v>
          </cell>
          <cell r="G383" t="str">
            <v>Y</v>
          </cell>
          <cell r="M383" t="str">
            <v>RET</v>
          </cell>
          <cell r="N383" t="str">
            <v>Conventional dark-colored roofing materials</v>
          </cell>
          <cell r="O383">
            <v>2021</v>
          </cell>
          <cell r="P383">
            <v>2030</v>
          </cell>
          <cell r="Q383" t="str">
            <v>Small Office</v>
          </cell>
          <cell r="R383" t="str">
            <v/>
          </cell>
          <cell r="S383">
            <v>0</v>
          </cell>
          <cell r="T383">
            <v>0</v>
          </cell>
          <cell r="U383">
            <v>0</v>
          </cell>
          <cell r="V383">
            <v>0</v>
          </cell>
          <cell r="W383">
            <v>-2.3668639053254441E-2</v>
          </cell>
          <cell r="X383" t="str">
            <v>-</v>
          </cell>
          <cell r="Y383" t="str">
            <v>11,23</v>
          </cell>
          <cell r="Z383" t="str">
            <v>11,23</v>
          </cell>
          <cell r="AA383">
            <v>0</v>
          </cell>
          <cell r="AB383">
            <v>0</v>
          </cell>
          <cell r="AC383">
            <v>0</v>
          </cell>
          <cell r="AD383">
            <v>0</v>
          </cell>
          <cell r="AE383">
            <v>16</v>
          </cell>
          <cell r="AF383">
            <v>16</v>
          </cell>
          <cell r="AG383">
            <v>0</v>
          </cell>
          <cell r="AH383">
            <v>0</v>
          </cell>
          <cell r="AI383">
            <v>0</v>
          </cell>
          <cell r="AJ383">
            <v>0</v>
          </cell>
          <cell r="AK383">
            <v>0</v>
          </cell>
          <cell r="AL383" t="str">
            <v>-</v>
          </cell>
          <cell r="AM383" t="str">
            <v>-</v>
          </cell>
          <cell r="AN383" t="str">
            <v/>
          </cell>
          <cell r="AO383">
            <v>0</v>
          </cell>
          <cell r="AP383" t="str">
            <v>-</v>
          </cell>
          <cell r="AQ383">
            <v>0</v>
          </cell>
          <cell r="AR383" t="str">
            <v>-</v>
          </cell>
          <cell r="AS383">
            <v>0</v>
          </cell>
          <cell r="AT383" t="str">
            <v/>
          </cell>
          <cell r="AU383">
            <v>0</v>
          </cell>
          <cell r="AV383" t="str">
            <v>-</v>
          </cell>
          <cell r="AW383">
            <v>0</v>
          </cell>
          <cell r="AX383" t="str">
            <v>-</v>
          </cell>
          <cell r="AY383">
            <v>0</v>
          </cell>
          <cell r="AZ383" t="str">
            <v/>
          </cell>
          <cell r="BA383">
            <v>0</v>
          </cell>
          <cell r="BB383" t="str">
            <v>-</v>
          </cell>
          <cell r="BC383">
            <v>0</v>
          </cell>
          <cell r="BD383" t="str">
            <v>-</v>
          </cell>
          <cell r="BE383">
            <v>0</v>
          </cell>
          <cell r="BF383" t="str">
            <v/>
          </cell>
          <cell r="BG383">
            <v>0</v>
          </cell>
          <cell r="BH383" t="str">
            <v>-</v>
          </cell>
          <cell r="BI383">
            <v>0</v>
          </cell>
          <cell r="BJ383" t="str">
            <v>-</v>
          </cell>
          <cell r="BK383">
            <v>0</v>
          </cell>
          <cell r="BL383">
            <v>0</v>
          </cell>
          <cell r="BM383" t="str">
            <v>-</v>
          </cell>
          <cell r="BN383">
            <v>15</v>
          </cell>
          <cell r="BO383" t="str">
            <v/>
          </cell>
          <cell r="BP383">
            <v>0</v>
          </cell>
          <cell r="BQ383">
            <v>0</v>
          </cell>
          <cell r="BR383" t="str">
            <v>-</v>
          </cell>
          <cell r="BS383">
            <v>0</v>
          </cell>
          <cell r="BT383">
            <v>0</v>
          </cell>
          <cell r="BU383" t="str">
            <v>-</v>
          </cell>
        </row>
        <row r="384">
          <cell r="A384" t="str">
            <v>20937MD</v>
          </cell>
          <cell r="B384">
            <v>20937</v>
          </cell>
          <cell r="C384" t="str">
            <v>MD</v>
          </cell>
          <cell r="D384" t="str">
            <v>Space Heating</v>
          </cell>
          <cell r="E384" t="str">
            <v>Cool Roof - MD</v>
          </cell>
          <cell r="F384" t="str">
            <v>C</v>
          </cell>
          <cell r="G384" t="str">
            <v>Y</v>
          </cell>
          <cell r="M384" t="str">
            <v>NC,RENO</v>
          </cell>
          <cell r="N384" t="str">
            <v>Conventional dark-colored roofing materials</v>
          </cell>
          <cell r="O384">
            <v>2021</v>
          </cell>
          <cell r="P384">
            <v>2030</v>
          </cell>
          <cell r="Q384" t="str">
            <v>Small Office</v>
          </cell>
          <cell r="R384" t="str">
            <v/>
          </cell>
          <cell r="S384">
            <v>0</v>
          </cell>
          <cell r="T384">
            <v>0</v>
          </cell>
          <cell r="U384">
            <v>0</v>
          </cell>
          <cell r="V384">
            <v>0</v>
          </cell>
          <cell r="W384">
            <v>-2.3668639053254441E-2</v>
          </cell>
          <cell r="X384" t="str">
            <v>-</v>
          </cell>
          <cell r="Y384">
            <v>11</v>
          </cell>
          <cell r="Z384">
            <v>11</v>
          </cell>
          <cell r="AA384">
            <v>0</v>
          </cell>
          <cell r="AB384">
            <v>0</v>
          </cell>
          <cell r="AC384">
            <v>0</v>
          </cell>
          <cell r="AD384">
            <v>0</v>
          </cell>
          <cell r="AE384">
            <v>16</v>
          </cell>
          <cell r="AF384">
            <v>16</v>
          </cell>
          <cell r="AG384">
            <v>0</v>
          </cell>
          <cell r="AH384">
            <v>0</v>
          </cell>
          <cell r="AI384">
            <v>0</v>
          </cell>
          <cell r="AJ384">
            <v>0</v>
          </cell>
          <cell r="AK384">
            <v>0</v>
          </cell>
          <cell r="AL384" t="str">
            <v>-</v>
          </cell>
          <cell r="AM384" t="str">
            <v>-</v>
          </cell>
          <cell r="AN384" t="str">
            <v/>
          </cell>
          <cell r="AO384">
            <v>0</v>
          </cell>
          <cell r="AP384" t="str">
            <v>-</v>
          </cell>
          <cell r="AQ384">
            <v>0</v>
          </cell>
          <cell r="AR384" t="str">
            <v>-</v>
          </cell>
          <cell r="AS384">
            <v>0</v>
          </cell>
          <cell r="AT384" t="str">
            <v/>
          </cell>
          <cell r="AU384">
            <v>0</v>
          </cell>
          <cell r="AV384" t="str">
            <v>-</v>
          </cell>
          <cell r="AW384">
            <v>0</v>
          </cell>
          <cell r="AX384" t="str">
            <v>-</v>
          </cell>
          <cell r="AY384">
            <v>0</v>
          </cell>
          <cell r="AZ384" t="str">
            <v/>
          </cell>
          <cell r="BA384">
            <v>0</v>
          </cell>
          <cell r="BB384" t="str">
            <v>-</v>
          </cell>
          <cell r="BC384">
            <v>0</v>
          </cell>
          <cell r="BD384" t="str">
            <v>-</v>
          </cell>
          <cell r="BE384">
            <v>0</v>
          </cell>
          <cell r="BF384" t="str">
            <v/>
          </cell>
          <cell r="BG384">
            <v>0</v>
          </cell>
          <cell r="BH384" t="str">
            <v>-</v>
          </cell>
          <cell r="BI384">
            <v>0</v>
          </cell>
          <cell r="BJ384" t="str">
            <v>-</v>
          </cell>
          <cell r="BK384">
            <v>0</v>
          </cell>
          <cell r="BL384">
            <v>0</v>
          </cell>
          <cell r="BM384" t="str">
            <v>-</v>
          </cell>
          <cell r="BN384">
            <v>15</v>
          </cell>
          <cell r="BO384" t="str">
            <v/>
          </cell>
          <cell r="BP384">
            <v>0</v>
          </cell>
          <cell r="BQ384">
            <v>0</v>
          </cell>
          <cell r="BR384" t="str">
            <v>-</v>
          </cell>
          <cell r="BS384">
            <v>0</v>
          </cell>
          <cell r="BT384">
            <v>0</v>
          </cell>
          <cell r="BU384" t="str">
            <v>-</v>
          </cell>
        </row>
        <row r="385">
          <cell r="A385" t="str">
            <v>20937RET</v>
          </cell>
          <cell r="B385">
            <v>20937</v>
          </cell>
          <cell r="C385" t="str">
            <v>RET</v>
          </cell>
          <cell r="D385" t="str">
            <v>Space Heating</v>
          </cell>
          <cell r="E385" t="str">
            <v>Cool Roof - Ret</v>
          </cell>
          <cell r="F385" t="str">
            <v>C</v>
          </cell>
          <cell r="G385" t="str">
            <v>Y</v>
          </cell>
          <cell r="M385" t="str">
            <v>RET</v>
          </cell>
          <cell r="N385" t="str">
            <v>Conventional dark-colored roofing materials</v>
          </cell>
          <cell r="O385">
            <v>2021</v>
          </cell>
          <cell r="P385">
            <v>2030</v>
          </cell>
          <cell r="Q385" t="str">
            <v>Small Office</v>
          </cell>
          <cell r="R385" t="str">
            <v/>
          </cell>
          <cell r="S385">
            <v>0</v>
          </cell>
          <cell r="T385">
            <v>0</v>
          </cell>
          <cell r="U385">
            <v>0</v>
          </cell>
          <cell r="V385">
            <v>0</v>
          </cell>
          <cell r="W385">
            <v>-2.3668639053254441E-2</v>
          </cell>
          <cell r="X385" t="str">
            <v>-</v>
          </cell>
          <cell r="Y385">
            <v>11</v>
          </cell>
          <cell r="Z385">
            <v>11</v>
          </cell>
          <cell r="AA385">
            <v>0</v>
          </cell>
          <cell r="AB385">
            <v>0</v>
          </cell>
          <cell r="AC385">
            <v>0</v>
          </cell>
          <cell r="AD385">
            <v>0</v>
          </cell>
          <cell r="AE385">
            <v>16</v>
          </cell>
          <cell r="AF385">
            <v>16</v>
          </cell>
          <cell r="AG385">
            <v>0</v>
          </cell>
          <cell r="AH385">
            <v>0</v>
          </cell>
          <cell r="AI385">
            <v>0</v>
          </cell>
          <cell r="AJ385">
            <v>0</v>
          </cell>
          <cell r="AK385">
            <v>0</v>
          </cell>
          <cell r="AL385" t="str">
            <v>-</v>
          </cell>
          <cell r="AM385" t="str">
            <v>-</v>
          </cell>
          <cell r="AN385" t="str">
            <v/>
          </cell>
          <cell r="AO385">
            <v>0</v>
          </cell>
          <cell r="AP385" t="str">
            <v>-</v>
          </cell>
          <cell r="AQ385">
            <v>0</v>
          </cell>
          <cell r="AR385" t="str">
            <v>-</v>
          </cell>
          <cell r="AS385">
            <v>0</v>
          </cell>
          <cell r="AT385" t="str">
            <v/>
          </cell>
          <cell r="AU385">
            <v>0</v>
          </cell>
          <cell r="AV385" t="str">
            <v>-</v>
          </cell>
          <cell r="AW385">
            <v>0</v>
          </cell>
          <cell r="AX385" t="str">
            <v>-</v>
          </cell>
          <cell r="AY385">
            <v>0</v>
          </cell>
          <cell r="AZ385" t="str">
            <v/>
          </cell>
          <cell r="BA385">
            <v>0</v>
          </cell>
          <cell r="BB385" t="str">
            <v>-</v>
          </cell>
          <cell r="BC385">
            <v>0</v>
          </cell>
          <cell r="BD385" t="str">
            <v>-</v>
          </cell>
          <cell r="BE385">
            <v>0</v>
          </cell>
          <cell r="BF385" t="str">
            <v/>
          </cell>
          <cell r="BG385">
            <v>0</v>
          </cell>
          <cell r="BH385" t="str">
            <v>-</v>
          </cell>
          <cell r="BI385">
            <v>0</v>
          </cell>
          <cell r="BJ385" t="str">
            <v>-</v>
          </cell>
          <cell r="BK385">
            <v>0</v>
          </cell>
          <cell r="BL385">
            <v>0</v>
          </cell>
          <cell r="BM385" t="str">
            <v>-</v>
          </cell>
          <cell r="BN385">
            <v>15</v>
          </cell>
          <cell r="BO385" t="str">
            <v/>
          </cell>
          <cell r="BP385">
            <v>0</v>
          </cell>
          <cell r="BQ385">
            <v>0</v>
          </cell>
          <cell r="BR385" t="str">
            <v>-</v>
          </cell>
          <cell r="BS385">
            <v>0</v>
          </cell>
          <cell r="BT385">
            <v>0</v>
          </cell>
          <cell r="BU385" t="str">
            <v>-</v>
          </cell>
        </row>
        <row r="386">
          <cell r="A386" t="str">
            <v>20938RET</v>
          </cell>
          <cell r="B386">
            <v>20938</v>
          </cell>
          <cell r="C386" t="str">
            <v>RET</v>
          </cell>
          <cell r="D386" t="str">
            <v>Space Heating</v>
          </cell>
          <cell r="E386" t="str">
            <v>ECM Circulators</v>
          </cell>
          <cell r="F386" t="str">
            <v>C</v>
          </cell>
          <cell r="G386" t="str">
            <v>Y</v>
          </cell>
          <cell r="M386" t="str">
            <v>RET</v>
          </cell>
          <cell r="N386" t="str">
            <v>Permanent Split Capacitor (PSC) circulator motors</v>
          </cell>
          <cell r="O386">
            <v>2021</v>
          </cell>
          <cell r="P386">
            <v>2030</v>
          </cell>
          <cell r="Q386" t="str">
            <v>Large Office</v>
          </cell>
          <cell r="R386" t="str">
            <v/>
          </cell>
          <cell r="S386">
            <v>0</v>
          </cell>
          <cell r="T386">
            <v>0</v>
          </cell>
          <cell r="U386">
            <v>0</v>
          </cell>
          <cell r="V386">
            <v>1402.1102180392159</v>
          </cell>
          <cell r="W386">
            <v>0.82</v>
          </cell>
          <cell r="X386" t="str">
            <v>-</v>
          </cell>
          <cell r="Y386" t="str">
            <v>3,12</v>
          </cell>
          <cell r="Z386" t="str">
            <v>3,12</v>
          </cell>
          <cell r="AA386">
            <v>0</v>
          </cell>
          <cell r="AB386">
            <v>0</v>
          </cell>
          <cell r="AC386">
            <v>278.125</v>
          </cell>
          <cell r="AD386">
            <v>0</v>
          </cell>
          <cell r="AE386">
            <v>4</v>
          </cell>
          <cell r="AF386">
            <v>4</v>
          </cell>
          <cell r="AG386">
            <v>0</v>
          </cell>
          <cell r="AH386">
            <v>0</v>
          </cell>
          <cell r="AI386">
            <v>0</v>
          </cell>
          <cell r="AJ386">
            <v>0</v>
          </cell>
          <cell r="AK386">
            <v>0</v>
          </cell>
          <cell r="AL386" t="str">
            <v>-</v>
          </cell>
          <cell r="AM386" t="str">
            <v>-</v>
          </cell>
          <cell r="AN386" t="str">
            <v/>
          </cell>
          <cell r="AO386">
            <v>0</v>
          </cell>
          <cell r="AP386" t="str">
            <v>-</v>
          </cell>
          <cell r="AQ386">
            <v>0</v>
          </cell>
          <cell r="AR386" t="str">
            <v>-</v>
          </cell>
          <cell r="AS386">
            <v>0</v>
          </cell>
          <cell r="AT386" t="str">
            <v/>
          </cell>
          <cell r="AU386">
            <v>0</v>
          </cell>
          <cell r="AV386" t="str">
            <v>-</v>
          </cell>
          <cell r="AW386">
            <v>0</v>
          </cell>
          <cell r="AX386" t="str">
            <v>-</v>
          </cell>
          <cell r="AY386">
            <v>0</v>
          </cell>
          <cell r="AZ386" t="str">
            <v/>
          </cell>
          <cell r="BA386">
            <v>0</v>
          </cell>
          <cell r="BB386" t="str">
            <v>-</v>
          </cell>
          <cell r="BC386">
            <v>0</v>
          </cell>
          <cell r="BD386" t="str">
            <v>-</v>
          </cell>
          <cell r="BE386">
            <v>0</v>
          </cell>
          <cell r="BF386" t="str">
            <v/>
          </cell>
          <cell r="BG386">
            <v>0</v>
          </cell>
          <cell r="BH386" t="str">
            <v>-</v>
          </cell>
          <cell r="BI386">
            <v>0</v>
          </cell>
          <cell r="BJ386" t="str">
            <v>-</v>
          </cell>
          <cell r="BK386">
            <v>0</v>
          </cell>
          <cell r="BL386">
            <v>0</v>
          </cell>
          <cell r="BM386" t="str">
            <v>-</v>
          </cell>
          <cell r="BN386">
            <v>15</v>
          </cell>
          <cell r="BO386" t="str">
            <v/>
          </cell>
          <cell r="BP386">
            <v>0</v>
          </cell>
          <cell r="BQ386">
            <v>0</v>
          </cell>
          <cell r="BR386" t="str">
            <v>-</v>
          </cell>
          <cell r="BS386">
            <v>0</v>
          </cell>
          <cell r="BT386">
            <v>0</v>
          </cell>
          <cell r="BU386" t="str">
            <v>-</v>
          </cell>
        </row>
        <row r="387">
          <cell r="A387" t="str">
            <v>20939RET</v>
          </cell>
          <cell r="B387">
            <v>20939</v>
          </cell>
          <cell r="C387" t="str">
            <v>RET</v>
          </cell>
          <cell r="D387" t="str">
            <v>Space Heating</v>
          </cell>
          <cell r="E387" t="str">
            <v>Steam Trap Maintenance</v>
          </cell>
          <cell r="F387" t="str">
            <v>C</v>
          </cell>
          <cell r="G387" t="str">
            <v>Y</v>
          </cell>
          <cell r="M387" t="str">
            <v>RET</v>
          </cell>
          <cell r="N387" t="str">
            <v>Failed (leaking) steam traps</v>
          </cell>
          <cell r="O387">
            <v>2021</v>
          </cell>
          <cell r="P387">
            <v>2030</v>
          </cell>
          <cell r="Q387" t="str">
            <v>Small Office</v>
          </cell>
          <cell r="R387" t="str">
            <v/>
          </cell>
          <cell r="S387">
            <v>0</v>
          </cell>
          <cell r="T387">
            <v>0</v>
          </cell>
          <cell r="U387">
            <v>0</v>
          </cell>
          <cell r="V387">
            <v>2.4015950674218751</v>
          </cell>
          <cell r="W387">
            <v>0.5</v>
          </cell>
          <cell r="X387" t="str">
            <v>-</v>
          </cell>
          <cell r="Y387" t="str">
            <v>11,7</v>
          </cell>
          <cell r="Z387" t="str">
            <v>11,7</v>
          </cell>
          <cell r="AA387">
            <v>0</v>
          </cell>
          <cell r="AB387">
            <v>0</v>
          </cell>
          <cell r="AC387">
            <v>77</v>
          </cell>
          <cell r="AD387">
            <v>32.062024545486722</v>
          </cell>
          <cell r="AE387">
            <v>8</v>
          </cell>
          <cell r="AF387">
            <v>8</v>
          </cell>
          <cell r="AG387">
            <v>0</v>
          </cell>
          <cell r="AH387">
            <v>0</v>
          </cell>
          <cell r="AI387">
            <v>0</v>
          </cell>
          <cell r="AJ387">
            <v>0</v>
          </cell>
          <cell r="AK387">
            <v>0</v>
          </cell>
          <cell r="AL387" t="str">
            <v>-</v>
          </cell>
          <cell r="AM387" t="str">
            <v>-</v>
          </cell>
          <cell r="AN387" t="str">
            <v/>
          </cell>
          <cell r="AO387">
            <v>0</v>
          </cell>
          <cell r="AP387" t="str">
            <v>-</v>
          </cell>
          <cell r="AQ387">
            <v>0</v>
          </cell>
          <cell r="AR387" t="str">
            <v>-</v>
          </cell>
          <cell r="AS387">
            <v>0</v>
          </cell>
          <cell r="AT387" t="str">
            <v/>
          </cell>
          <cell r="AU387">
            <v>0</v>
          </cell>
          <cell r="AV387" t="str">
            <v>-</v>
          </cell>
          <cell r="AW387">
            <v>0</v>
          </cell>
          <cell r="AX387" t="str">
            <v>-</v>
          </cell>
          <cell r="AY387">
            <v>0</v>
          </cell>
          <cell r="AZ387" t="str">
            <v/>
          </cell>
          <cell r="BA387">
            <v>0</v>
          </cell>
          <cell r="BB387" t="str">
            <v>-</v>
          </cell>
          <cell r="BC387">
            <v>0</v>
          </cell>
          <cell r="BD387" t="str">
            <v>-</v>
          </cell>
          <cell r="BE387">
            <v>0</v>
          </cell>
          <cell r="BF387" t="str">
            <v/>
          </cell>
          <cell r="BG387">
            <v>0</v>
          </cell>
          <cell r="BH387" t="str">
            <v>-</v>
          </cell>
          <cell r="BI387">
            <v>0</v>
          </cell>
          <cell r="BJ387" t="str">
            <v>-</v>
          </cell>
          <cell r="BK387">
            <v>0</v>
          </cell>
          <cell r="BL387">
            <v>0</v>
          </cell>
          <cell r="BM387" t="str">
            <v>-</v>
          </cell>
          <cell r="BN387">
            <v>6</v>
          </cell>
          <cell r="BO387" t="str">
            <v/>
          </cell>
          <cell r="BP387">
            <v>0</v>
          </cell>
          <cell r="BQ387">
            <v>0</v>
          </cell>
          <cell r="BR387" t="str">
            <v>-</v>
          </cell>
          <cell r="BS387">
            <v>0</v>
          </cell>
          <cell r="BT387">
            <v>0</v>
          </cell>
          <cell r="BU387" t="str">
            <v>-</v>
          </cell>
        </row>
        <row r="388">
          <cell r="A388" t="str">
            <v>21001MD</v>
          </cell>
          <cell r="B388">
            <v>21001</v>
          </cell>
          <cell r="C388" t="str">
            <v>MD</v>
          </cell>
          <cell r="D388" t="str">
            <v>Ventilation</v>
          </cell>
          <cell r="E388" t="str">
            <v>Motors and Fans</v>
          </cell>
          <cell r="F388" t="str">
            <v>C</v>
          </cell>
          <cell r="G388" t="str">
            <v>Y</v>
          </cell>
          <cell r="M388" t="str">
            <v>NC, RENO, REPL</v>
          </cell>
          <cell r="N388" t="str">
            <v>Baseline Efficiency per NJ 2018 Protocol p. 82</v>
          </cell>
          <cell r="O388">
            <v>2021</v>
          </cell>
          <cell r="P388">
            <v>2030</v>
          </cell>
          <cell r="Q388" t="str">
            <v>Small Office</v>
          </cell>
          <cell r="R388" t="str">
            <v/>
          </cell>
          <cell r="S388">
            <v>0</v>
          </cell>
          <cell r="T388">
            <v>0</v>
          </cell>
          <cell r="U388">
            <v>0</v>
          </cell>
          <cell r="V388">
            <v>476.77962095550902</v>
          </cell>
          <cell r="W388">
            <v>2.3991275899672888E-2</v>
          </cell>
          <cell r="X388" t="str">
            <v>-</v>
          </cell>
          <cell r="Y388">
            <v>3</v>
          </cell>
          <cell r="Z388">
            <v>3</v>
          </cell>
          <cell r="AA388">
            <v>0</v>
          </cell>
          <cell r="AB388">
            <v>0</v>
          </cell>
          <cell r="AC388">
            <v>148</v>
          </cell>
          <cell r="AD388">
            <v>0.31041595214030909</v>
          </cell>
          <cell r="AE388">
            <v>4</v>
          </cell>
          <cell r="AF388">
            <v>4</v>
          </cell>
          <cell r="AG388">
            <v>0</v>
          </cell>
          <cell r="AH388">
            <v>0</v>
          </cell>
          <cell r="AI388">
            <v>0</v>
          </cell>
          <cell r="AJ388">
            <v>0</v>
          </cell>
          <cell r="AK388">
            <v>0</v>
          </cell>
          <cell r="AL388" t="str">
            <v>-</v>
          </cell>
          <cell r="AM388" t="str">
            <v>-</v>
          </cell>
          <cell r="AN388" t="str">
            <v/>
          </cell>
          <cell r="AO388">
            <v>0</v>
          </cell>
          <cell r="AP388" t="str">
            <v>-</v>
          </cell>
          <cell r="AQ388">
            <v>0</v>
          </cell>
          <cell r="AR388" t="str">
            <v>-</v>
          </cell>
          <cell r="AS388">
            <v>0</v>
          </cell>
          <cell r="AT388" t="str">
            <v/>
          </cell>
          <cell r="AU388">
            <v>0</v>
          </cell>
          <cell r="AV388" t="str">
            <v>-</v>
          </cell>
          <cell r="AW388">
            <v>0</v>
          </cell>
          <cell r="AX388" t="str">
            <v>-</v>
          </cell>
          <cell r="AY388">
            <v>0</v>
          </cell>
          <cell r="AZ388" t="str">
            <v/>
          </cell>
          <cell r="BA388">
            <v>0</v>
          </cell>
          <cell r="BB388" t="str">
            <v>-</v>
          </cell>
          <cell r="BC388">
            <v>0</v>
          </cell>
          <cell r="BD388" t="str">
            <v>-</v>
          </cell>
          <cell r="BE388">
            <v>0</v>
          </cell>
          <cell r="BF388" t="str">
            <v/>
          </cell>
          <cell r="BG388">
            <v>0</v>
          </cell>
          <cell r="BH388" t="str">
            <v>-</v>
          </cell>
          <cell r="BI388">
            <v>0</v>
          </cell>
          <cell r="BJ388" t="str">
            <v>-</v>
          </cell>
          <cell r="BK388">
            <v>0</v>
          </cell>
          <cell r="BL388">
            <v>0</v>
          </cell>
          <cell r="BM388" t="str">
            <v>-</v>
          </cell>
          <cell r="BN388">
            <v>15</v>
          </cell>
          <cell r="BO388" t="str">
            <v/>
          </cell>
          <cell r="BP388">
            <v>0</v>
          </cell>
          <cell r="BQ388">
            <v>0</v>
          </cell>
          <cell r="BR388" t="str">
            <v>-</v>
          </cell>
          <cell r="BS388">
            <v>0</v>
          </cell>
          <cell r="BT388">
            <v>0</v>
          </cell>
          <cell r="BU388" t="str">
            <v>-</v>
          </cell>
        </row>
        <row r="389">
          <cell r="A389" t="str">
            <v>21001RET</v>
          </cell>
          <cell r="B389">
            <v>21001</v>
          </cell>
          <cell r="C389" t="str">
            <v>RET</v>
          </cell>
          <cell r="D389" t="str">
            <v>Ventilation</v>
          </cell>
          <cell r="E389" t="str">
            <v>Motors and Fans</v>
          </cell>
          <cell r="F389" t="str">
            <v>C</v>
          </cell>
          <cell r="G389" t="str">
            <v>Y</v>
          </cell>
          <cell r="M389" t="str">
            <v>RET</v>
          </cell>
          <cell r="N389" t="str">
            <v>Baseline Efficiency per NJ 2018 Protocol p. 82</v>
          </cell>
          <cell r="O389">
            <v>2021</v>
          </cell>
          <cell r="P389">
            <v>2030</v>
          </cell>
          <cell r="Q389" t="str">
            <v>Small Office</v>
          </cell>
          <cell r="R389" t="str">
            <v/>
          </cell>
          <cell r="S389">
            <v>0</v>
          </cell>
          <cell r="T389">
            <v>0</v>
          </cell>
          <cell r="U389">
            <v>0</v>
          </cell>
          <cell r="V389">
            <v>931.02056892039764</v>
          </cell>
          <cell r="W389">
            <v>2.3991275899672888E-2</v>
          </cell>
          <cell r="X389" t="str">
            <v>-</v>
          </cell>
          <cell r="Y389">
            <v>3</v>
          </cell>
          <cell r="Z389">
            <v>3</v>
          </cell>
          <cell r="AA389">
            <v>0</v>
          </cell>
          <cell r="AB389">
            <v>0</v>
          </cell>
          <cell r="AC389">
            <v>519</v>
          </cell>
          <cell r="AD389">
            <v>0.55745277529349035</v>
          </cell>
          <cell r="AE389">
            <v>4</v>
          </cell>
          <cell r="AF389">
            <v>4</v>
          </cell>
          <cell r="AG389">
            <v>15</v>
          </cell>
          <cell r="AH389">
            <v>10</v>
          </cell>
          <cell r="AI389">
            <v>371</v>
          </cell>
          <cell r="AJ389">
            <v>0.3984874366741521</v>
          </cell>
          <cell r="AK389">
            <v>0.51210428305400169</v>
          </cell>
          <cell r="AL389" t="str">
            <v>-</v>
          </cell>
          <cell r="AM389" t="str">
            <v>-</v>
          </cell>
          <cell r="AN389" t="str">
            <v/>
          </cell>
          <cell r="AO389">
            <v>0</v>
          </cell>
          <cell r="AP389" t="str">
            <v>-</v>
          </cell>
          <cell r="AQ389">
            <v>0</v>
          </cell>
          <cell r="AR389" t="str">
            <v>-</v>
          </cell>
          <cell r="AS389">
            <v>0</v>
          </cell>
          <cell r="AT389" t="str">
            <v/>
          </cell>
          <cell r="AU389">
            <v>0</v>
          </cell>
          <cell r="AV389" t="str">
            <v>-</v>
          </cell>
          <cell r="AW389">
            <v>0</v>
          </cell>
          <cell r="AX389" t="str">
            <v>-</v>
          </cell>
          <cell r="AY389">
            <v>0</v>
          </cell>
          <cell r="AZ389" t="str">
            <v/>
          </cell>
          <cell r="BA389">
            <v>0</v>
          </cell>
          <cell r="BB389" t="str">
            <v>-</v>
          </cell>
          <cell r="BC389">
            <v>0</v>
          </cell>
          <cell r="BD389" t="str">
            <v>-</v>
          </cell>
          <cell r="BE389">
            <v>0</v>
          </cell>
          <cell r="BF389" t="str">
            <v/>
          </cell>
          <cell r="BG389">
            <v>0</v>
          </cell>
          <cell r="BH389" t="str">
            <v>-</v>
          </cell>
          <cell r="BI389">
            <v>0</v>
          </cell>
          <cell r="BJ389" t="str">
            <v>-</v>
          </cell>
          <cell r="BK389">
            <v>0</v>
          </cell>
          <cell r="BL389">
            <v>0</v>
          </cell>
          <cell r="BM389" t="str">
            <v>-</v>
          </cell>
          <cell r="BN389">
            <v>15</v>
          </cell>
          <cell r="BO389" t="str">
            <v/>
          </cell>
          <cell r="BP389">
            <v>0</v>
          </cell>
          <cell r="BQ389">
            <v>0</v>
          </cell>
          <cell r="BR389" t="str">
            <v>-</v>
          </cell>
          <cell r="BS389">
            <v>0</v>
          </cell>
          <cell r="BT389">
            <v>0</v>
          </cell>
          <cell r="BU389" t="str">
            <v>-</v>
          </cell>
        </row>
        <row r="390">
          <cell r="A390" t="str">
            <v>21002RET</v>
          </cell>
          <cell r="B390">
            <v>21002</v>
          </cell>
          <cell r="C390" t="str">
            <v>RET</v>
          </cell>
          <cell r="D390" t="str">
            <v>Ventilation</v>
          </cell>
          <cell r="E390" t="str">
            <v>VFD on HVAC System</v>
          </cell>
          <cell r="F390" t="str">
            <v>C</v>
          </cell>
          <cell r="G390" t="str">
            <v>Y</v>
          </cell>
          <cell r="M390" t="str">
            <v>RET</v>
          </cell>
          <cell r="N390" t="str">
            <v>Weighted average of baseline control type on HVAC motor</v>
          </cell>
          <cell r="O390">
            <v>2021</v>
          </cell>
          <cell r="P390">
            <v>2030</v>
          </cell>
          <cell r="Q390" t="str">
            <v>Large Office</v>
          </cell>
          <cell r="R390" t="str">
            <v/>
          </cell>
          <cell r="S390">
            <v>0</v>
          </cell>
          <cell r="T390">
            <v>0</v>
          </cell>
          <cell r="U390">
            <v>0</v>
          </cell>
          <cell r="V390">
            <v>1910.5</v>
          </cell>
          <cell r="W390">
            <v>0.53400000000000003</v>
          </cell>
          <cell r="X390" t="str">
            <v>-</v>
          </cell>
          <cell r="Y390">
            <v>3</v>
          </cell>
          <cell r="Z390">
            <v>3</v>
          </cell>
          <cell r="AA390">
            <v>0</v>
          </cell>
          <cell r="AB390">
            <v>0</v>
          </cell>
          <cell r="AC390">
            <v>215.93</v>
          </cell>
          <cell r="AD390">
            <v>0.11302276890866265</v>
          </cell>
          <cell r="AE390">
            <v>4</v>
          </cell>
          <cell r="AF390">
            <v>4</v>
          </cell>
          <cell r="AG390">
            <v>0</v>
          </cell>
          <cell r="AH390">
            <v>0</v>
          </cell>
          <cell r="AI390">
            <v>0</v>
          </cell>
          <cell r="AJ390">
            <v>0</v>
          </cell>
          <cell r="AK390">
            <v>0</v>
          </cell>
          <cell r="AL390" t="str">
            <v>-</v>
          </cell>
          <cell r="AM390" t="str">
            <v>-</v>
          </cell>
          <cell r="AN390" t="str">
            <v/>
          </cell>
          <cell r="AO390">
            <v>0</v>
          </cell>
          <cell r="AP390" t="str">
            <v>-</v>
          </cell>
          <cell r="AQ390">
            <v>0</v>
          </cell>
          <cell r="AR390" t="str">
            <v>-</v>
          </cell>
          <cell r="AS390">
            <v>0</v>
          </cell>
          <cell r="AT390" t="str">
            <v/>
          </cell>
          <cell r="AU390">
            <v>0</v>
          </cell>
          <cell r="AV390" t="str">
            <v>-</v>
          </cell>
          <cell r="AW390">
            <v>0</v>
          </cell>
          <cell r="AX390" t="str">
            <v>-</v>
          </cell>
          <cell r="AY390">
            <v>0</v>
          </cell>
          <cell r="AZ390" t="str">
            <v/>
          </cell>
          <cell r="BA390">
            <v>0</v>
          </cell>
          <cell r="BB390" t="str">
            <v>-</v>
          </cell>
          <cell r="BC390">
            <v>0</v>
          </cell>
          <cell r="BD390" t="str">
            <v>-</v>
          </cell>
          <cell r="BE390">
            <v>0</v>
          </cell>
          <cell r="BF390" t="str">
            <v/>
          </cell>
          <cell r="BG390">
            <v>0</v>
          </cell>
          <cell r="BH390" t="str">
            <v>-</v>
          </cell>
          <cell r="BI390">
            <v>0</v>
          </cell>
          <cell r="BJ390" t="str">
            <v>-</v>
          </cell>
          <cell r="BK390">
            <v>0</v>
          </cell>
          <cell r="BL390">
            <v>0</v>
          </cell>
          <cell r="BM390" t="str">
            <v>-</v>
          </cell>
          <cell r="BN390">
            <v>15</v>
          </cell>
          <cell r="BO390" t="str">
            <v/>
          </cell>
          <cell r="BP390">
            <v>0</v>
          </cell>
          <cell r="BQ390">
            <v>0</v>
          </cell>
          <cell r="BR390" t="str">
            <v>-</v>
          </cell>
          <cell r="BS390">
            <v>0</v>
          </cell>
          <cell r="BT390">
            <v>0</v>
          </cell>
          <cell r="BU390" t="str">
            <v>-</v>
          </cell>
        </row>
        <row r="391">
          <cell r="A391" t="str">
            <v>21003RET</v>
          </cell>
          <cell r="B391">
            <v>21003</v>
          </cell>
          <cell r="C391" t="str">
            <v>RET</v>
          </cell>
          <cell r="D391" t="str">
            <v>Ventilation</v>
          </cell>
          <cell r="E391" t="str">
            <v>ECM Furnace Motors</v>
          </cell>
          <cell r="F391" t="str">
            <v>C</v>
          </cell>
          <cell r="G391" t="str">
            <v>Y</v>
          </cell>
          <cell r="M391" t="str">
            <v>RET</v>
          </cell>
          <cell r="N391" t="str">
            <v>PSC Furnace motors</v>
          </cell>
          <cell r="O391">
            <v>2021</v>
          </cell>
          <cell r="P391">
            <v>2030</v>
          </cell>
          <cell r="Q391" t="str">
            <v>Small Office</v>
          </cell>
          <cell r="R391" t="str">
            <v/>
          </cell>
          <cell r="S391">
            <v>0</v>
          </cell>
          <cell r="T391">
            <v>0</v>
          </cell>
          <cell r="U391">
            <v>0</v>
          </cell>
          <cell r="V391">
            <v>0</v>
          </cell>
          <cell r="W391">
            <v>0.39</v>
          </cell>
          <cell r="X391" t="str">
            <v>-</v>
          </cell>
          <cell r="Y391" t="str">
            <v>40,9</v>
          </cell>
          <cell r="Z391" t="str">
            <v>40,9</v>
          </cell>
          <cell r="AA391">
            <v>0</v>
          </cell>
          <cell r="AB391">
            <v>0</v>
          </cell>
          <cell r="AC391">
            <v>0</v>
          </cell>
          <cell r="AD391">
            <v>0.17991554984395078</v>
          </cell>
          <cell r="AE391">
            <v>9</v>
          </cell>
          <cell r="AF391">
            <v>9</v>
          </cell>
          <cell r="AG391">
            <v>15</v>
          </cell>
          <cell r="AH391">
            <v>10</v>
          </cell>
          <cell r="AI391">
            <v>-89</v>
          </cell>
          <cell r="AJ391">
            <v>-0.16339269322562877</v>
          </cell>
          <cell r="AK391">
            <v>1</v>
          </cell>
          <cell r="AL391" t="str">
            <v>-</v>
          </cell>
          <cell r="AM391" t="str">
            <v>-</v>
          </cell>
          <cell r="AN391" t="str">
            <v/>
          </cell>
          <cell r="AO391">
            <v>0</v>
          </cell>
          <cell r="AP391" t="str">
            <v>-</v>
          </cell>
          <cell r="AQ391">
            <v>0</v>
          </cell>
          <cell r="AR391" t="str">
            <v>-</v>
          </cell>
          <cell r="AS391">
            <v>0</v>
          </cell>
          <cell r="AT391" t="str">
            <v/>
          </cell>
          <cell r="AU391">
            <v>0</v>
          </cell>
          <cell r="AV391" t="str">
            <v>-</v>
          </cell>
          <cell r="AW391">
            <v>0</v>
          </cell>
          <cell r="AX391" t="str">
            <v>-</v>
          </cell>
          <cell r="AY391">
            <v>0</v>
          </cell>
          <cell r="AZ391" t="str">
            <v/>
          </cell>
          <cell r="BA391">
            <v>0</v>
          </cell>
          <cell r="BB391" t="str">
            <v>-</v>
          </cell>
          <cell r="BC391">
            <v>0</v>
          </cell>
          <cell r="BD391" t="str">
            <v>-</v>
          </cell>
          <cell r="BE391">
            <v>0</v>
          </cell>
          <cell r="BF391" t="str">
            <v/>
          </cell>
          <cell r="BG391">
            <v>0</v>
          </cell>
          <cell r="BH391" t="str">
            <v>-</v>
          </cell>
          <cell r="BI391">
            <v>0</v>
          </cell>
          <cell r="BJ391" t="str">
            <v>-</v>
          </cell>
          <cell r="BK391">
            <v>0</v>
          </cell>
          <cell r="BL391">
            <v>0</v>
          </cell>
          <cell r="BM391" t="str">
            <v>-</v>
          </cell>
          <cell r="BN391">
            <v>15</v>
          </cell>
          <cell r="BO391" t="str">
            <v/>
          </cell>
          <cell r="BP391">
            <v>0</v>
          </cell>
          <cell r="BQ391">
            <v>0</v>
          </cell>
          <cell r="BR391" t="str">
            <v>-</v>
          </cell>
          <cell r="BS391">
            <v>0</v>
          </cell>
          <cell r="BT391">
            <v>0</v>
          </cell>
          <cell r="BU391" t="str">
            <v>-</v>
          </cell>
        </row>
        <row r="392">
          <cell r="A392" t="str">
            <v>21004RET</v>
          </cell>
          <cell r="B392">
            <v>21004</v>
          </cell>
          <cell r="C392" t="str">
            <v>RET</v>
          </cell>
          <cell r="D392" t="str">
            <v>Ventilation</v>
          </cell>
          <cell r="E392" t="str">
            <v>ECM Circulator Fan</v>
          </cell>
          <cell r="F392" t="str">
            <v>C</v>
          </cell>
          <cell r="G392" t="str">
            <v>Y</v>
          </cell>
          <cell r="M392" t="str">
            <v>RET</v>
          </cell>
          <cell r="N392" t="str">
            <v>Permanent Split Capacitor (PSC) circulator motors or shade pole (SP) motors</v>
          </cell>
          <cell r="O392">
            <v>2021</v>
          </cell>
          <cell r="P392">
            <v>2030</v>
          </cell>
          <cell r="Q392" t="str">
            <v>Large Office</v>
          </cell>
          <cell r="R392" t="str">
            <v/>
          </cell>
          <cell r="S392">
            <v>0</v>
          </cell>
          <cell r="T392">
            <v>0</v>
          </cell>
          <cell r="U392">
            <v>0</v>
          </cell>
          <cell r="V392">
            <v>630.06522169999971</v>
          </cell>
          <cell r="W392">
            <v>0.35714285714285704</v>
          </cell>
          <cell r="X392" t="str">
            <v>-</v>
          </cell>
          <cell r="Y392">
            <v>3</v>
          </cell>
          <cell r="Z392">
            <v>3</v>
          </cell>
          <cell r="AA392">
            <v>0</v>
          </cell>
          <cell r="AB392">
            <v>0</v>
          </cell>
          <cell r="AC392">
            <v>224.375</v>
          </cell>
          <cell r="AD392">
            <v>0.35611392641956402</v>
          </cell>
          <cell r="AE392">
            <v>4</v>
          </cell>
          <cell r="AF392">
            <v>4</v>
          </cell>
          <cell r="AG392">
            <v>0</v>
          </cell>
          <cell r="AH392">
            <v>0</v>
          </cell>
          <cell r="AI392">
            <v>0</v>
          </cell>
          <cell r="AJ392">
            <v>0</v>
          </cell>
          <cell r="AK392">
            <v>0</v>
          </cell>
          <cell r="AL392" t="str">
            <v>-</v>
          </cell>
          <cell r="AM392" t="str">
            <v>-</v>
          </cell>
          <cell r="AN392" t="str">
            <v/>
          </cell>
          <cell r="AO392">
            <v>0</v>
          </cell>
          <cell r="AP392" t="str">
            <v>-</v>
          </cell>
          <cell r="AQ392">
            <v>0</v>
          </cell>
          <cell r="AR392" t="str">
            <v>-</v>
          </cell>
          <cell r="AS392">
            <v>0</v>
          </cell>
          <cell r="AT392" t="str">
            <v/>
          </cell>
          <cell r="AU392">
            <v>0</v>
          </cell>
          <cell r="AV392" t="str">
            <v>-</v>
          </cell>
          <cell r="AW392">
            <v>0</v>
          </cell>
          <cell r="AX392" t="str">
            <v>-</v>
          </cell>
          <cell r="AY392">
            <v>0</v>
          </cell>
          <cell r="AZ392" t="str">
            <v/>
          </cell>
          <cell r="BA392">
            <v>0</v>
          </cell>
          <cell r="BB392" t="str">
            <v>-</v>
          </cell>
          <cell r="BC392">
            <v>0</v>
          </cell>
          <cell r="BD392" t="str">
            <v>-</v>
          </cell>
          <cell r="BE392">
            <v>0</v>
          </cell>
          <cell r="BF392" t="str">
            <v/>
          </cell>
          <cell r="BG392">
            <v>0</v>
          </cell>
          <cell r="BH392" t="str">
            <v>-</v>
          </cell>
          <cell r="BI392">
            <v>0</v>
          </cell>
          <cell r="BJ392" t="str">
            <v>-</v>
          </cell>
          <cell r="BK392">
            <v>0</v>
          </cell>
          <cell r="BL392">
            <v>0</v>
          </cell>
          <cell r="BM392" t="str">
            <v>-</v>
          </cell>
          <cell r="BN392">
            <v>15</v>
          </cell>
          <cell r="BO392" t="str">
            <v/>
          </cell>
          <cell r="BP392">
            <v>0</v>
          </cell>
          <cell r="BQ392">
            <v>0</v>
          </cell>
          <cell r="BR392" t="str">
            <v>-</v>
          </cell>
          <cell r="BS392">
            <v>0</v>
          </cell>
          <cell r="BT392">
            <v>0</v>
          </cell>
          <cell r="BU392" t="str">
            <v>-</v>
          </cell>
        </row>
        <row r="393">
          <cell r="A393" t="str">
            <v>21005RET</v>
          </cell>
          <cell r="B393">
            <v>21005</v>
          </cell>
          <cell r="C393" t="str">
            <v>RET</v>
          </cell>
          <cell r="D393" t="str">
            <v>Ventilation</v>
          </cell>
          <cell r="E393" t="str">
            <v>Demand Control Ventilation</v>
          </cell>
          <cell r="F393" t="str">
            <v>C</v>
          </cell>
          <cell r="G393" t="str">
            <v>Y</v>
          </cell>
          <cell r="M393" t="str">
            <v>RET</v>
          </cell>
          <cell r="N393" t="str">
            <v>Existing DX or water cooled air systems without DCV</v>
          </cell>
          <cell r="O393">
            <v>2021</v>
          </cell>
          <cell r="P393">
            <v>2030</v>
          </cell>
          <cell r="Q393" t="str">
            <v>Small Office</v>
          </cell>
          <cell r="R393" t="str">
            <v/>
          </cell>
          <cell r="S393">
            <v>0</v>
          </cell>
          <cell r="T393">
            <v>0</v>
          </cell>
          <cell r="U393">
            <v>0</v>
          </cell>
          <cell r="V393">
            <v>0</v>
          </cell>
          <cell r="W393" t="e">
            <v>#REF!</v>
          </cell>
          <cell r="X393" t="str">
            <v>-</v>
          </cell>
          <cell r="Y393" t="str">
            <v>18,46,12</v>
          </cell>
          <cell r="Z393" t="str">
            <v>18,46,12</v>
          </cell>
          <cell r="AA393">
            <v>0</v>
          </cell>
          <cell r="AB393">
            <v>0</v>
          </cell>
          <cell r="AC393">
            <v>0</v>
          </cell>
          <cell r="AD393">
            <v>0</v>
          </cell>
          <cell r="AE393" t="str">
            <v>18,42</v>
          </cell>
          <cell r="AF393" t="str">
            <v>18,42</v>
          </cell>
          <cell r="AG393">
            <v>0</v>
          </cell>
          <cell r="AH393">
            <v>0</v>
          </cell>
          <cell r="AI393">
            <v>0</v>
          </cell>
          <cell r="AJ393">
            <v>0</v>
          </cell>
          <cell r="AK393">
            <v>0</v>
          </cell>
          <cell r="AL393" t="str">
            <v>-</v>
          </cell>
          <cell r="AM393" t="str">
            <v>-</v>
          </cell>
          <cell r="AN393" t="str">
            <v/>
          </cell>
          <cell r="AO393">
            <v>0</v>
          </cell>
          <cell r="AP393" t="str">
            <v>-</v>
          </cell>
          <cell r="AQ393">
            <v>0</v>
          </cell>
          <cell r="AR393" t="str">
            <v>-</v>
          </cell>
          <cell r="AS393">
            <v>0</v>
          </cell>
          <cell r="AT393" t="str">
            <v/>
          </cell>
          <cell r="AU393">
            <v>0</v>
          </cell>
          <cell r="AV393" t="str">
            <v>-</v>
          </cell>
          <cell r="AW393">
            <v>0</v>
          </cell>
          <cell r="AX393" t="str">
            <v>-</v>
          </cell>
          <cell r="AY393">
            <v>0</v>
          </cell>
          <cell r="AZ393" t="str">
            <v/>
          </cell>
          <cell r="BA393">
            <v>0</v>
          </cell>
          <cell r="BB393" t="str">
            <v>-</v>
          </cell>
          <cell r="BC393">
            <v>0</v>
          </cell>
          <cell r="BD393" t="str">
            <v>-</v>
          </cell>
          <cell r="BE393">
            <v>0</v>
          </cell>
          <cell r="BF393" t="str">
            <v/>
          </cell>
          <cell r="BG393">
            <v>0</v>
          </cell>
          <cell r="BH393" t="str">
            <v>-</v>
          </cell>
          <cell r="BI393">
            <v>0</v>
          </cell>
          <cell r="BJ393" t="str">
            <v>-</v>
          </cell>
          <cell r="BK393">
            <v>0</v>
          </cell>
          <cell r="BL393">
            <v>0</v>
          </cell>
          <cell r="BM393" t="str">
            <v>-</v>
          </cell>
          <cell r="BN393" t="e">
            <v>#REF!</v>
          </cell>
          <cell r="BO393" t="str">
            <v/>
          </cell>
          <cell r="BP393">
            <v>0</v>
          </cell>
          <cell r="BQ393">
            <v>0</v>
          </cell>
          <cell r="BR393" t="str">
            <v>-</v>
          </cell>
          <cell r="BS393">
            <v>0</v>
          </cell>
          <cell r="BT393">
            <v>0</v>
          </cell>
          <cell r="BU393" t="str">
            <v>-</v>
          </cell>
        </row>
        <row r="394">
          <cell r="A394" t="str">
            <v>21006RET</v>
          </cell>
          <cell r="B394">
            <v>21006</v>
          </cell>
          <cell r="C394" t="str">
            <v>RET</v>
          </cell>
          <cell r="D394" t="str">
            <v>Ventilation</v>
          </cell>
          <cell r="E394" t="str">
            <v>Demand Control Ventilation</v>
          </cell>
          <cell r="F394" t="str">
            <v>C</v>
          </cell>
          <cell r="G394" t="str">
            <v>Y</v>
          </cell>
          <cell r="M394" t="str">
            <v>RET</v>
          </cell>
          <cell r="N394" t="str">
            <v>Existing DX or water cooled air systems without DCV</v>
          </cell>
          <cell r="O394">
            <v>2021</v>
          </cell>
          <cell r="P394">
            <v>2030</v>
          </cell>
          <cell r="Q394" t="str">
            <v>Small Office</v>
          </cell>
          <cell r="R394" t="str">
            <v/>
          </cell>
          <cell r="S394">
            <v>0</v>
          </cell>
          <cell r="T394">
            <v>0</v>
          </cell>
          <cell r="U394">
            <v>0</v>
          </cell>
          <cell r="V394">
            <v>0</v>
          </cell>
          <cell r="W394" t="e">
            <v>#REF!</v>
          </cell>
          <cell r="X394" t="str">
            <v>-</v>
          </cell>
          <cell r="Y394" t="str">
            <v>18,46,12</v>
          </cell>
          <cell r="Z394" t="str">
            <v>18,46,12</v>
          </cell>
          <cell r="AA394">
            <v>0</v>
          </cell>
          <cell r="AB394">
            <v>0</v>
          </cell>
          <cell r="AC394">
            <v>0</v>
          </cell>
          <cell r="AD394">
            <v>0</v>
          </cell>
          <cell r="AE394" t="str">
            <v>18,42</v>
          </cell>
          <cell r="AF394" t="str">
            <v>18,42</v>
          </cell>
          <cell r="AG394">
            <v>0</v>
          </cell>
          <cell r="AH394">
            <v>0</v>
          </cell>
          <cell r="AI394">
            <v>0</v>
          </cell>
          <cell r="AJ394">
            <v>0</v>
          </cell>
          <cell r="AK394">
            <v>0</v>
          </cell>
          <cell r="AL394" t="str">
            <v>-</v>
          </cell>
          <cell r="AM394" t="str">
            <v>-</v>
          </cell>
          <cell r="AN394" t="str">
            <v/>
          </cell>
          <cell r="AO394">
            <v>0</v>
          </cell>
          <cell r="AP394" t="str">
            <v>-</v>
          </cell>
          <cell r="AQ394">
            <v>0</v>
          </cell>
          <cell r="AR394" t="str">
            <v>-</v>
          </cell>
          <cell r="AS394">
            <v>0</v>
          </cell>
          <cell r="AT394" t="str">
            <v/>
          </cell>
          <cell r="AU394">
            <v>0</v>
          </cell>
          <cell r="AV394" t="str">
            <v>-</v>
          </cell>
          <cell r="AW394">
            <v>0</v>
          </cell>
          <cell r="AX394" t="str">
            <v>-</v>
          </cell>
          <cell r="AY394">
            <v>0</v>
          </cell>
          <cell r="AZ394" t="str">
            <v/>
          </cell>
          <cell r="BA394">
            <v>0</v>
          </cell>
          <cell r="BB394" t="str">
            <v>-</v>
          </cell>
          <cell r="BC394">
            <v>0</v>
          </cell>
          <cell r="BD394" t="str">
            <v>-</v>
          </cell>
          <cell r="BE394">
            <v>0</v>
          </cell>
          <cell r="BF394" t="str">
            <v/>
          </cell>
          <cell r="BG394">
            <v>0</v>
          </cell>
          <cell r="BH394" t="str">
            <v>-</v>
          </cell>
          <cell r="BI394">
            <v>0</v>
          </cell>
          <cell r="BJ394" t="str">
            <v>-</v>
          </cell>
          <cell r="BK394">
            <v>0</v>
          </cell>
          <cell r="BL394">
            <v>0</v>
          </cell>
          <cell r="BM394" t="str">
            <v>-</v>
          </cell>
          <cell r="BN394" t="e">
            <v>#REF!</v>
          </cell>
          <cell r="BO394" t="str">
            <v/>
          </cell>
          <cell r="BP394">
            <v>0</v>
          </cell>
          <cell r="BQ394">
            <v>0</v>
          </cell>
          <cell r="BR394" t="str">
            <v>-</v>
          </cell>
          <cell r="BS394">
            <v>0</v>
          </cell>
          <cell r="BT394">
            <v>0</v>
          </cell>
          <cell r="BU394" t="str">
            <v>-</v>
          </cell>
        </row>
        <row r="395">
          <cell r="A395" t="str">
            <v>21007MD</v>
          </cell>
          <cell r="B395">
            <v>21007</v>
          </cell>
          <cell r="C395" t="str">
            <v>MD</v>
          </cell>
          <cell r="D395" t="str">
            <v>Ventilation</v>
          </cell>
          <cell r="E395" t="str">
            <v>Kitchen DCV - MD</v>
          </cell>
          <cell r="F395" t="str">
            <v>C</v>
          </cell>
          <cell r="G395" t="str">
            <v>Y</v>
          </cell>
          <cell r="M395" t="str">
            <v>NC,RENO,REPL</v>
          </cell>
          <cell r="N395" t="str">
            <v>No Demand Control Ventilation on Commercial Kitchen</v>
          </cell>
          <cell r="O395">
            <v>2021</v>
          </cell>
          <cell r="P395">
            <v>2030</v>
          </cell>
          <cell r="Q395" t="str">
            <v>Small Restaurant</v>
          </cell>
          <cell r="R395" t="str">
            <v/>
          </cell>
          <cell r="S395">
            <v>0</v>
          </cell>
          <cell r="T395">
            <v>0</v>
          </cell>
          <cell r="U395">
            <v>0</v>
          </cell>
          <cell r="V395">
            <v>4447.8147769833167</v>
          </cell>
          <cell r="W395">
            <v>0.58217470902922996</v>
          </cell>
          <cell r="X395" t="str">
            <v>-</v>
          </cell>
          <cell r="Y395">
            <v>7</v>
          </cell>
          <cell r="Z395">
            <v>7</v>
          </cell>
          <cell r="AA395">
            <v>0</v>
          </cell>
          <cell r="AB395">
            <v>0</v>
          </cell>
          <cell r="AC395">
            <v>1000</v>
          </cell>
          <cell r="AD395">
            <v>0.22482950620489628</v>
          </cell>
          <cell r="AE395">
            <v>8</v>
          </cell>
          <cell r="AF395">
            <v>8</v>
          </cell>
          <cell r="AG395">
            <v>0</v>
          </cell>
          <cell r="AH395">
            <v>0</v>
          </cell>
          <cell r="AI395">
            <v>0</v>
          </cell>
          <cell r="AJ395">
            <v>0</v>
          </cell>
          <cell r="AK395">
            <v>0</v>
          </cell>
          <cell r="AL395" t="str">
            <v>-</v>
          </cell>
          <cell r="AM395" t="str">
            <v>-</v>
          </cell>
          <cell r="AN395" t="str">
            <v/>
          </cell>
          <cell r="AO395">
            <v>0</v>
          </cell>
          <cell r="AP395" t="str">
            <v>-</v>
          </cell>
          <cell r="AQ395">
            <v>0</v>
          </cell>
          <cell r="AR395" t="str">
            <v>-</v>
          </cell>
          <cell r="AS395">
            <v>0</v>
          </cell>
          <cell r="AT395" t="str">
            <v/>
          </cell>
          <cell r="AU395">
            <v>0</v>
          </cell>
          <cell r="AV395" t="str">
            <v>-</v>
          </cell>
          <cell r="AW395">
            <v>0</v>
          </cell>
          <cell r="AX395" t="str">
            <v>-</v>
          </cell>
          <cell r="AY395">
            <v>0</v>
          </cell>
          <cell r="AZ395" t="str">
            <v/>
          </cell>
          <cell r="BA395">
            <v>0</v>
          </cell>
          <cell r="BB395" t="str">
            <v>-</v>
          </cell>
          <cell r="BC395">
            <v>0</v>
          </cell>
          <cell r="BD395" t="str">
            <v>-</v>
          </cell>
          <cell r="BE395">
            <v>0</v>
          </cell>
          <cell r="BF395" t="str">
            <v/>
          </cell>
          <cell r="BG395">
            <v>0</v>
          </cell>
          <cell r="BH395" t="str">
            <v>-</v>
          </cell>
          <cell r="BI395">
            <v>0</v>
          </cell>
          <cell r="BJ395" t="str">
            <v>-</v>
          </cell>
          <cell r="BK395">
            <v>0</v>
          </cell>
          <cell r="BL395">
            <v>0</v>
          </cell>
          <cell r="BM395" t="str">
            <v>-</v>
          </cell>
          <cell r="BN395">
            <v>15</v>
          </cell>
          <cell r="BO395" t="str">
            <v/>
          </cell>
          <cell r="BP395">
            <v>0</v>
          </cell>
          <cell r="BQ395">
            <v>0</v>
          </cell>
          <cell r="BR395" t="str">
            <v>-</v>
          </cell>
          <cell r="BS395">
            <v>0</v>
          </cell>
          <cell r="BT395">
            <v>0</v>
          </cell>
          <cell r="BU395" t="str">
            <v>-</v>
          </cell>
        </row>
        <row r="396">
          <cell r="A396" t="str">
            <v>21007RET</v>
          </cell>
          <cell r="B396">
            <v>21007</v>
          </cell>
          <cell r="C396" t="str">
            <v>RET</v>
          </cell>
          <cell r="D396" t="str">
            <v>Ventilation</v>
          </cell>
          <cell r="E396" t="str">
            <v>Kitchen DCV - RET</v>
          </cell>
          <cell r="F396" t="str">
            <v>C</v>
          </cell>
          <cell r="G396" t="str">
            <v>Y</v>
          </cell>
          <cell r="M396" t="str">
            <v>RET</v>
          </cell>
          <cell r="N396" t="str">
            <v>No Demand Control Ventilation on Commercial Kitchen</v>
          </cell>
          <cell r="O396">
            <v>2021</v>
          </cell>
          <cell r="P396">
            <v>2030</v>
          </cell>
          <cell r="Q396" t="str">
            <v>Small Restaurant</v>
          </cell>
          <cell r="R396" t="str">
            <v/>
          </cell>
          <cell r="S396">
            <v>0</v>
          </cell>
          <cell r="T396">
            <v>0</v>
          </cell>
          <cell r="U396">
            <v>0</v>
          </cell>
          <cell r="V396">
            <v>4385.3510384746342</v>
          </cell>
          <cell r="W396">
            <v>0.57399882702547567</v>
          </cell>
          <cell r="X396" t="str">
            <v>-</v>
          </cell>
          <cell r="Y396">
            <v>7</v>
          </cell>
          <cell r="Z396">
            <v>7</v>
          </cell>
          <cell r="AA396">
            <v>0</v>
          </cell>
          <cell r="AB396">
            <v>0</v>
          </cell>
          <cell r="AC396">
            <v>1000</v>
          </cell>
          <cell r="AD396">
            <v>0.22803191608301263</v>
          </cell>
          <cell r="AE396">
            <v>8</v>
          </cell>
          <cell r="AF396">
            <v>8</v>
          </cell>
          <cell r="AG396">
            <v>0</v>
          </cell>
          <cell r="AH396">
            <v>0</v>
          </cell>
          <cell r="AI396">
            <v>0</v>
          </cell>
          <cell r="AJ396">
            <v>0</v>
          </cell>
          <cell r="AK396">
            <v>0</v>
          </cell>
          <cell r="AL396" t="str">
            <v>-</v>
          </cell>
          <cell r="AM396" t="str">
            <v>-</v>
          </cell>
          <cell r="AN396" t="str">
            <v/>
          </cell>
          <cell r="AO396">
            <v>0</v>
          </cell>
          <cell r="AP396" t="str">
            <v>-</v>
          </cell>
          <cell r="AQ396">
            <v>0</v>
          </cell>
          <cell r="AR396" t="str">
            <v>-</v>
          </cell>
          <cell r="AS396">
            <v>0</v>
          </cell>
          <cell r="AT396" t="str">
            <v/>
          </cell>
          <cell r="AU396">
            <v>0</v>
          </cell>
          <cell r="AV396" t="str">
            <v>-</v>
          </cell>
          <cell r="AW396">
            <v>0</v>
          </cell>
          <cell r="AX396" t="str">
            <v>-</v>
          </cell>
          <cell r="AY396">
            <v>0</v>
          </cell>
          <cell r="AZ396" t="str">
            <v/>
          </cell>
          <cell r="BA396">
            <v>0</v>
          </cell>
          <cell r="BB396" t="str">
            <v>-</v>
          </cell>
          <cell r="BC396">
            <v>0</v>
          </cell>
          <cell r="BD396" t="str">
            <v>-</v>
          </cell>
          <cell r="BE396">
            <v>0</v>
          </cell>
          <cell r="BF396" t="str">
            <v/>
          </cell>
          <cell r="BG396">
            <v>0</v>
          </cell>
          <cell r="BH396" t="str">
            <v>-</v>
          </cell>
          <cell r="BI396">
            <v>0</v>
          </cell>
          <cell r="BJ396" t="str">
            <v>-</v>
          </cell>
          <cell r="BK396">
            <v>0</v>
          </cell>
          <cell r="BL396">
            <v>0</v>
          </cell>
          <cell r="BM396" t="str">
            <v>-</v>
          </cell>
          <cell r="BN396">
            <v>15</v>
          </cell>
          <cell r="BO396" t="str">
            <v/>
          </cell>
          <cell r="BP396">
            <v>0</v>
          </cell>
          <cell r="BQ396">
            <v>0</v>
          </cell>
          <cell r="BR396" t="str">
            <v>-</v>
          </cell>
          <cell r="BS396">
            <v>0</v>
          </cell>
          <cell r="BT396">
            <v>0</v>
          </cell>
          <cell r="BU396" t="str">
            <v>-</v>
          </cell>
        </row>
        <row r="397">
          <cell r="A397" t="str">
            <v>21008MD</v>
          </cell>
          <cell r="B397">
            <v>21008</v>
          </cell>
          <cell r="C397" t="str">
            <v>MD</v>
          </cell>
          <cell r="D397" t="str">
            <v>Ventilation</v>
          </cell>
          <cell r="E397" t="str">
            <v>Kitchen DCV - MD</v>
          </cell>
          <cell r="F397" t="str">
            <v>C</v>
          </cell>
          <cell r="G397" t="str">
            <v>Y</v>
          </cell>
          <cell r="M397" t="str">
            <v>NC,RENO,REPL</v>
          </cell>
          <cell r="N397" t="str">
            <v>No Demand Control Ventilation on Commercial Kitchen</v>
          </cell>
          <cell r="O397">
            <v>2021</v>
          </cell>
          <cell r="P397">
            <v>2030</v>
          </cell>
          <cell r="Q397" t="str">
            <v>Small Restaurant</v>
          </cell>
          <cell r="R397" t="str">
            <v/>
          </cell>
          <cell r="S397">
            <v>0</v>
          </cell>
          <cell r="T397">
            <v>0</v>
          </cell>
          <cell r="U397">
            <v>0</v>
          </cell>
          <cell r="V397">
            <v>4447.8147769833167</v>
          </cell>
          <cell r="W397">
            <v>0.58217470902922996</v>
          </cell>
          <cell r="X397" t="str">
            <v>-</v>
          </cell>
          <cell r="Y397">
            <v>7</v>
          </cell>
          <cell r="Z397">
            <v>7</v>
          </cell>
          <cell r="AA397">
            <v>0</v>
          </cell>
          <cell r="AB397">
            <v>0</v>
          </cell>
          <cell r="AC397">
            <v>1000</v>
          </cell>
          <cell r="AD397">
            <v>0</v>
          </cell>
          <cell r="AE397">
            <v>8</v>
          </cell>
          <cell r="AF397">
            <v>8</v>
          </cell>
          <cell r="AG397">
            <v>0</v>
          </cell>
          <cell r="AH397">
            <v>0</v>
          </cell>
          <cell r="AI397">
            <v>0</v>
          </cell>
          <cell r="AJ397">
            <v>0</v>
          </cell>
          <cell r="AK397">
            <v>0</v>
          </cell>
          <cell r="AL397" t="str">
            <v>-</v>
          </cell>
          <cell r="AM397" t="str">
            <v>-</v>
          </cell>
          <cell r="AN397" t="str">
            <v/>
          </cell>
          <cell r="AO397">
            <v>0</v>
          </cell>
          <cell r="AP397" t="str">
            <v>-</v>
          </cell>
          <cell r="AQ397">
            <v>0</v>
          </cell>
          <cell r="AR397" t="str">
            <v>-</v>
          </cell>
          <cell r="AS397">
            <v>0</v>
          </cell>
          <cell r="AT397" t="str">
            <v/>
          </cell>
          <cell r="AU397">
            <v>0</v>
          </cell>
          <cell r="AV397" t="str">
            <v>-</v>
          </cell>
          <cell r="AW397">
            <v>0</v>
          </cell>
          <cell r="AX397" t="str">
            <v>-</v>
          </cell>
          <cell r="AY397">
            <v>0</v>
          </cell>
          <cell r="AZ397" t="str">
            <v/>
          </cell>
          <cell r="BA397">
            <v>0</v>
          </cell>
          <cell r="BB397" t="str">
            <v>-</v>
          </cell>
          <cell r="BC397">
            <v>0</v>
          </cell>
          <cell r="BD397" t="str">
            <v>-</v>
          </cell>
          <cell r="BE397">
            <v>0</v>
          </cell>
          <cell r="BF397" t="str">
            <v/>
          </cell>
          <cell r="BG397">
            <v>0</v>
          </cell>
          <cell r="BH397" t="str">
            <v>-</v>
          </cell>
          <cell r="BI397">
            <v>0</v>
          </cell>
          <cell r="BJ397" t="str">
            <v>-</v>
          </cell>
          <cell r="BK397">
            <v>0</v>
          </cell>
          <cell r="BL397">
            <v>0</v>
          </cell>
          <cell r="BM397" t="str">
            <v>-</v>
          </cell>
          <cell r="BN397">
            <v>15</v>
          </cell>
          <cell r="BO397" t="str">
            <v/>
          </cell>
          <cell r="BP397">
            <v>0</v>
          </cell>
          <cell r="BQ397">
            <v>0</v>
          </cell>
          <cell r="BR397" t="str">
            <v>-</v>
          </cell>
          <cell r="BS397">
            <v>0</v>
          </cell>
          <cell r="BT397">
            <v>0</v>
          </cell>
          <cell r="BU397" t="str">
            <v>-</v>
          </cell>
        </row>
        <row r="398">
          <cell r="A398" t="str">
            <v>21008RET</v>
          </cell>
          <cell r="B398">
            <v>21008</v>
          </cell>
          <cell r="C398" t="str">
            <v>RET</v>
          </cell>
          <cell r="D398" t="str">
            <v>Ventilation</v>
          </cell>
          <cell r="E398" t="str">
            <v>Kitchen DCV - RET</v>
          </cell>
          <cell r="F398" t="str">
            <v>C</v>
          </cell>
          <cell r="G398" t="str">
            <v>Y</v>
          </cell>
          <cell r="M398" t="str">
            <v>RET</v>
          </cell>
          <cell r="N398" t="str">
            <v>No Demand Control Ventilation on Commercial Kitchen</v>
          </cell>
          <cell r="O398">
            <v>2021</v>
          </cell>
          <cell r="P398">
            <v>2030</v>
          </cell>
          <cell r="Q398" t="str">
            <v>Small Restaurant</v>
          </cell>
          <cell r="R398" t="str">
            <v/>
          </cell>
          <cell r="S398">
            <v>0</v>
          </cell>
          <cell r="T398">
            <v>0</v>
          </cell>
          <cell r="U398">
            <v>0</v>
          </cell>
          <cell r="V398">
            <v>4385.3510384746342</v>
          </cell>
          <cell r="W398">
            <v>0.57399882702547567</v>
          </cell>
          <cell r="X398" t="str">
            <v>-</v>
          </cell>
          <cell r="Y398">
            <v>7</v>
          </cell>
          <cell r="Z398">
            <v>7</v>
          </cell>
          <cell r="AA398">
            <v>0</v>
          </cell>
          <cell r="AB398">
            <v>0</v>
          </cell>
          <cell r="AC398">
            <v>1000</v>
          </cell>
          <cell r="AD398">
            <v>0</v>
          </cell>
          <cell r="AE398">
            <v>8</v>
          </cell>
          <cell r="AF398">
            <v>8</v>
          </cell>
          <cell r="AG398">
            <v>0</v>
          </cell>
          <cell r="AH398">
            <v>0</v>
          </cell>
          <cell r="AI398">
            <v>0</v>
          </cell>
          <cell r="AJ398">
            <v>0</v>
          </cell>
          <cell r="AK398">
            <v>0</v>
          </cell>
          <cell r="AL398" t="str">
            <v>-</v>
          </cell>
          <cell r="AM398" t="str">
            <v>-</v>
          </cell>
          <cell r="AN398" t="str">
            <v/>
          </cell>
          <cell r="AO398">
            <v>0</v>
          </cell>
          <cell r="AP398" t="str">
            <v>-</v>
          </cell>
          <cell r="AQ398">
            <v>0</v>
          </cell>
          <cell r="AR398" t="str">
            <v>-</v>
          </cell>
          <cell r="AS398">
            <v>0</v>
          </cell>
          <cell r="AT398" t="str">
            <v/>
          </cell>
          <cell r="AU398">
            <v>0</v>
          </cell>
          <cell r="AV398" t="str">
            <v>-</v>
          </cell>
          <cell r="AW398">
            <v>0</v>
          </cell>
          <cell r="AX398" t="str">
            <v>-</v>
          </cell>
          <cell r="AY398">
            <v>0</v>
          </cell>
          <cell r="AZ398" t="str">
            <v/>
          </cell>
          <cell r="BA398">
            <v>0</v>
          </cell>
          <cell r="BB398" t="str">
            <v>-</v>
          </cell>
          <cell r="BC398">
            <v>0</v>
          </cell>
          <cell r="BD398" t="str">
            <v>-</v>
          </cell>
          <cell r="BE398">
            <v>0</v>
          </cell>
          <cell r="BF398" t="str">
            <v/>
          </cell>
          <cell r="BG398">
            <v>0</v>
          </cell>
          <cell r="BH398" t="str">
            <v>-</v>
          </cell>
          <cell r="BI398">
            <v>0</v>
          </cell>
          <cell r="BJ398" t="str">
            <v>-</v>
          </cell>
          <cell r="BK398">
            <v>0</v>
          </cell>
          <cell r="BL398">
            <v>0</v>
          </cell>
          <cell r="BM398" t="str">
            <v>-</v>
          </cell>
          <cell r="BN398">
            <v>15</v>
          </cell>
          <cell r="BO398" t="str">
            <v/>
          </cell>
          <cell r="BP398">
            <v>0</v>
          </cell>
          <cell r="BQ398">
            <v>0</v>
          </cell>
          <cell r="BR398" t="str">
            <v>-</v>
          </cell>
          <cell r="BS398">
            <v>0</v>
          </cell>
          <cell r="BT398">
            <v>0</v>
          </cell>
          <cell r="BU398" t="str">
            <v>-</v>
          </cell>
        </row>
        <row r="399">
          <cell r="A399" t="str">
            <v>21009RET</v>
          </cell>
          <cell r="B399">
            <v>21009</v>
          </cell>
          <cell r="C399" t="str">
            <v>RET</v>
          </cell>
          <cell r="D399" t="str">
            <v>Ventilation</v>
          </cell>
          <cell r="E399" t="str">
            <v>Duct Sealing Regulated</v>
          </cell>
          <cell r="F399" t="str">
            <v>C</v>
          </cell>
          <cell r="G399" t="str">
            <v>Y</v>
          </cell>
          <cell r="M399" t="str">
            <v>RET</v>
          </cell>
          <cell r="N399" t="str">
            <v>Over a very broad set of buildings, we measured average duct leakage at 8%</v>
          </cell>
          <cell r="O399">
            <v>2021</v>
          </cell>
          <cell r="P399">
            <v>2030</v>
          </cell>
          <cell r="Q399" t="str">
            <v>Small Office</v>
          </cell>
          <cell r="R399" t="str">
            <v/>
          </cell>
          <cell r="S399">
            <v>0</v>
          </cell>
          <cell r="T399">
            <v>0</v>
          </cell>
          <cell r="U399">
            <v>0</v>
          </cell>
          <cell r="V399">
            <v>0</v>
          </cell>
          <cell r="W399">
            <v>0.13</v>
          </cell>
          <cell r="X399" t="str">
            <v>-</v>
          </cell>
          <cell r="Y399">
            <v>24</v>
          </cell>
          <cell r="Z399">
            <v>24</v>
          </cell>
          <cell r="AA399">
            <v>0</v>
          </cell>
          <cell r="AB399">
            <v>0</v>
          </cell>
          <cell r="AC399">
            <v>0</v>
          </cell>
          <cell r="AD399">
            <v>1.49</v>
          </cell>
          <cell r="AE399">
            <v>24</v>
          </cell>
          <cell r="AF399">
            <v>24</v>
          </cell>
          <cell r="AG399">
            <v>0</v>
          </cell>
          <cell r="AH399">
            <v>0</v>
          </cell>
          <cell r="AI399">
            <v>0</v>
          </cell>
          <cell r="AJ399">
            <v>0</v>
          </cell>
          <cell r="AK399">
            <v>0</v>
          </cell>
          <cell r="AL399" t="str">
            <v>-</v>
          </cell>
          <cell r="AM399" t="str">
            <v>-</v>
          </cell>
          <cell r="AN399" t="str">
            <v/>
          </cell>
          <cell r="AO399">
            <v>0</v>
          </cell>
          <cell r="AP399" t="str">
            <v>-</v>
          </cell>
          <cell r="AQ399">
            <v>0</v>
          </cell>
          <cell r="AR399" t="str">
            <v>-</v>
          </cell>
          <cell r="AS399">
            <v>0</v>
          </cell>
          <cell r="AT399" t="str">
            <v/>
          </cell>
          <cell r="AU399">
            <v>0</v>
          </cell>
          <cell r="AV399" t="str">
            <v>-</v>
          </cell>
          <cell r="AW399">
            <v>0</v>
          </cell>
          <cell r="AX399" t="str">
            <v>-</v>
          </cell>
          <cell r="AY399">
            <v>0</v>
          </cell>
          <cell r="AZ399" t="str">
            <v/>
          </cell>
          <cell r="BA399">
            <v>0</v>
          </cell>
          <cell r="BB399" t="str">
            <v>-</v>
          </cell>
          <cell r="BC399">
            <v>0</v>
          </cell>
          <cell r="BD399" t="str">
            <v>-</v>
          </cell>
          <cell r="BE399">
            <v>0</v>
          </cell>
          <cell r="BF399" t="str">
            <v/>
          </cell>
          <cell r="BG399">
            <v>0</v>
          </cell>
          <cell r="BH399" t="str">
            <v>-</v>
          </cell>
          <cell r="BI399">
            <v>0</v>
          </cell>
          <cell r="BJ399" t="str">
            <v>-</v>
          </cell>
          <cell r="BK399">
            <v>0</v>
          </cell>
          <cell r="BL399">
            <v>0</v>
          </cell>
          <cell r="BM399" t="str">
            <v>-</v>
          </cell>
          <cell r="BN399">
            <v>15</v>
          </cell>
          <cell r="BO399" t="str">
            <v/>
          </cell>
          <cell r="BP399">
            <v>0</v>
          </cell>
          <cell r="BQ399">
            <v>0</v>
          </cell>
          <cell r="BR399" t="str">
            <v>-</v>
          </cell>
          <cell r="BS399">
            <v>0</v>
          </cell>
          <cell r="BT399">
            <v>0</v>
          </cell>
          <cell r="BU399" t="str">
            <v>-</v>
          </cell>
        </row>
        <row r="400">
          <cell r="A400" t="str">
            <v>21010RET</v>
          </cell>
          <cell r="B400">
            <v>21010</v>
          </cell>
          <cell r="C400" t="str">
            <v>RET</v>
          </cell>
          <cell r="D400" t="str">
            <v>Ventilation</v>
          </cell>
          <cell r="E400" t="str">
            <v>Duct Sealing Regulated</v>
          </cell>
          <cell r="F400" t="str">
            <v>C</v>
          </cell>
          <cell r="G400" t="str">
            <v>Y</v>
          </cell>
          <cell r="M400" t="str">
            <v>RET</v>
          </cell>
          <cell r="N400" t="str">
            <v>Over a very broad set of buildings, we measured average duct leakage at 8%</v>
          </cell>
          <cell r="O400">
            <v>2021</v>
          </cell>
          <cell r="P400">
            <v>2030</v>
          </cell>
          <cell r="Q400" t="str">
            <v>Small Office</v>
          </cell>
          <cell r="R400" t="str">
            <v/>
          </cell>
          <cell r="S400">
            <v>0</v>
          </cell>
          <cell r="T400">
            <v>0</v>
          </cell>
          <cell r="U400">
            <v>0</v>
          </cell>
          <cell r="V400">
            <v>0</v>
          </cell>
          <cell r="W400">
            <v>0.13</v>
          </cell>
          <cell r="X400" t="str">
            <v>-</v>
          </cell>
          <cell r="Y400">
            <v>24</v>
          </cell>
          <cell r="Z400">
            <v>24</v>
          </cell>
          <cell r="AA400">
            <v>0</v>
          </cell>
          <cell r="AB400">
            <v>0</v>
          </cell>
          <cell r="AC400">
            <v>0</v>
          </cell>
          <cell r="AD400">
            <v>1.49</v>
          </cell>
          <cell r="AE400">
            <v>24</v>
          </cell>
          <cell r="AF400">
            <v>24</v>
          </cell>
          <cell r="AG400">
            <v>0</v>
          </cell>
          <cell r="AH400">
            <v>0</v>
          </cell>
          <cell r="AI400">
            <v>0</v>
          </cell>
          <cell r="AJ400">
            <v>0</v>
          </cell>
          <cell r="AK400">
            <v>0</v>
          </cell>
          <cell r="AL400" t="str">
            <v>-</v>
          </cell>
          <cell r="AM400" t="str">
            <v>-</v>
          </cell>
          <cell r="AN400" t="str">
            <v/>
          </cell>
          <cell r="AO400">
            <v>0</v>
          </cell>
          <cell r="AP400" t="str">
            <v>-</v>
          </cell>
          <cell r="AQ400">
            <v>0</v>
          </cell>
          <cell r="AR400" t="str">
            <v>-</v>
          </cell>
          <cell r="AS400">
            <v>0</v>
          </cell>
          <cell r="AT400" t="str">
            <v/>
          </cell>
          <cell r="AU400">
            <v>0</v>
          </cell>
          <cell r="AV400" t="str">
            <v>-</v>
          </cell>
          <cell r="AW400">
            <v>0</v>
          </cell>
          <cell r="AX400" t="str">
            <v>-</v>
          </cell>
          <cell r="AY400">
            <v>0</v>
          </cell>
          <cell r="AZ400" t="str">
            <v/>
          </cell>
          <cell r="BA400">
            <v>0</v>
          </cell>
          <cell r="BB400" t="str">
            <v>-</v>
          </cell>
          <cell r="BC400">
            <v>0</v>
          </cell>
          <cell r="BD400" t="str">
            <v>-</v>
          </cell>
          <cell r="BE400">
            <v>0</v>
          </cell>
          <cell r="BF400" t="str">
            <v/>
          </cell>
          <cell r="BG400">
            <v>0</v>
          </cell>
          <cell r="BH400" t="str">
            <v>-</v>
          </cell>
          <cell r="BI400">
            <v>0</v>
          </cell>
          <cell r="BJ400" t="str">
            <v>-</v>
          </cell>
          <cell r="BK400">
            <v>0</v>
          </cell>
          <cell r="BL400">
            <v>0</v>
          </cell>
          <cell r="BM400" t="str">
            <v>-</v>
          </cell>
          <cell r="BN400">
            <v>15</v>
          </cell>
          <cell r="BO400" t="str">
            <v/>
          </cell>
          <cell r="BP400">
            <v>0</v>
          </cell>
          <cell r="BQ400">
            <v>0</v>
          </cell>
          <cell r="BR400" t="str">
            <v>-</v>
          </cell>
          <cell r="BS400">
            <v>0</v>
          </cell>
          <cell r="BT400">
            <v>0</v>
          </cell>
          <cell r="BU400" t="str">
            <v>-</v>
          </cell>
        </row>
        <row r="401">
          <cell r="A401" t="str">
            <v>21101MD</v>
          </cell>
          <cell r="B401">
            <v>21101</v>
          </cell>
          <cell r="C401" t="str">
            <v>MD</v>
          </cell>
          <cell r="D401" t="e">
            <v>#REF!</v>
          </cell>
          <cell r="E401" t="e">
            <v>#REF!</v>
          </cell>
          <cell r="F401" t="e">
            <v>#REF!</v>
          </cell>
          <cell r="G401" t="str">
            <v>N</v>
          </cell>
          <cell r="M401" t="e">
            <v>#REF!</v>
          </cell>
          <cell r="N401" t="e">
            <v>#REF!</v>
          </cell>
          <cell r="O401" t="e">
            <v>#REF!</v>
          </cell>
          <cell r="P401" t="e">
            <v>#REF!</v>
          </cell>
          <cell r="Q401" t="e">
            <v>#REF!</v>
          </cell>
          <cell r="R401" t="e">
            <v>#REF!</v>
          </cell>
          <cell r="S401" t="e">
            <v>#REF!</v>
          </cell>
          <cell r="T401" t="e">
            <v>#REF!</v>
          </cell>
          <cell r="U401" t="e">
            <v>#REF!</v>
          </cell>
          <cell r="V401" t="e">
            <v>#REF!</v>
          </cell>
          <cell r="W401" t="e">
            <v>#REF!</v>
          </cell>
          <cell r="X401" t="e">
            <v>#REF!</v>
          </cell>
          <cell r="Y401" t="e">
            <v>#REF!</v>
          </cell>
          <cell r="Z401" t="e">
            <v>#REF!</v>
          </cell>
          <cell r="AA401" t="e">
            <v>#REF!</v>
          </cell>
          <cell r="AB401" t="e">
            <v>#REF!</v>
          </cell>
          <cell r="AC401" t="e">
            <v>#REF!</v>
          </cell>
          <cell r="AD401" t="e">
            <v>#REF!</v>
          </cell>
          <cell r="AE401" t="e">
            <v>#REF!</v>
          </cell>
          <cell r="AF401" t="e">
            <v>#REF!</v>
          </cell>
          <cell r="AG401" t="e">
            <v>#REF!</v>
          </cell>
          <cell r="AH401" t="e">
            <v>#REF!</v>
          </cell>
          <cell r="AI401" t="e">
            <v>#REF!</v>
          </cell>
          <cell r="AJ401" t="e">
            <v>#REF!</v>
          </cell>
          <cell r="AK401" t="e">
            <v>#REF!</v>
          </cell>
          <cell r="AL401" t="e">
            <v>#REF!</v>
          </cell>
          <cell r="AM401" t="e">
            <v>#REF!</v>
          </cell>
          <cell r="AN401" t="e">
            <v>#REF!</v>
          </cell>
          <cell r="AO401" t="e">
            <v>#REF!</v>
          </cell>
          <cell r="AP401" t="e">
            <v>#REF!</v>
          </cell>
          <cell r="AQ401" t="e">
            <v>#REF!</v>
          </cell>
          <cell r="AR401" t="e">
            <v>#REF!</v>
          </cell>
          <cell r="AS401" t="e">
            <v>#REF!</v>
          </cell>
          <cell r="AT401" t="e">
            <v>#REF!</v>
          </cell>
          <cell r="AU401" t="e">
            <v>#REF!</v>
          </cell>
          <cell r="AV401" t="e">
            <v>#REF!</v>
          </cell>
          <cell r="AW401" t="e">
            <v>#REF!</v>
          </cell>
          <cell r="AX401" t="e">
            <v>#REF!</v>
          </cell>
          <cell r="AY401" t="e">
            <v>#REF!</v>
          </cell>
          <cell r="AZ401" t="e">
            <v>#REF!</v>
          </cell>
          <cell r="BA401" t="e">
            <v>#REF!</v>
          </cell>
          <cell r="BB401" t="e">
            <v>#REF!</v>
          </cell>
          <cell r="BC401" t="e">
            <v>#REF!</v>
          </cell>
          <cell r="BD401" t="e">
            <v>#REF!</v>
          </cell>
          <cell r="BE401" t="e">
            <v>#REF!</v>
          </cell>
          <cell r="BF401" t="e">
            <v>#REF!</v>
          </cell>
          <cell r="BG401" t="e">
            <v>#REF!</v>
          </cell>
          <cell r="BH401" t="e">
            <v>#REF!</v>
          </cell>
          <cell r="BI401" t="e">
            <v>#REF!</v>
          </cell>
          <cell r="BJ401" t="e">
            <v>#REF!</v>
          </cell>
          <cell r="BK401" t="e">
            <v>#REF!</v>
          </cell>
          <cell r="BL401" t="e">
            <v>#REF!</v>
          </cell>
          <cell r="BM401" t="e">
            <v>#REF!</v>
          </cell>
          <cell r="BN401" t="e">
            <v>#REF!</v>
          </cell>
          <cell r="BO401" t="e">
            <v>#REF!</v>
          </cell>
          <cell r="BP401" t="e">
            <v>#REF!</v>
          </cell>
          <cell r="BQ401" t="e">
            <v>#REF!</v>
          </cell>
          <cell r="BR401" t="e">
            <v>#REF!</v>
          </cell>
          <cell r="BS401" t="e">
            <v>#REF!</v>
          </cell>
          <cell r="BT401" t="e">
            <v>#REF!</v>
          </cell>
          <cell r="BU401" t="e">
            <v>#REF!</v>
          </cell>
        </row>
        <row r="402">
          <cell r="A402" t="str">
            <v>21101RET</v>
          </cell>
          <cell r="B402">
            <v>21101</v>
          </cell>
          <cell r="C402" t="str">
            <v>RET</v>
          </cell>
          <cell r="D402" t="e">
            <v>#REF!</v>
          </cell>
          <cell r="E402" t="e">
            <v>#REF!</v>
          </cell>
          <cell r="F402" t="e">
            <v>#REF!</v>
          </cell>
          <cell r="G402" t="str">
            <v>N</v>
          </cell>
          <cell r="M402" t="e">
            <v>#REF!</v>
          </cell>
          <cell r="N402" t="e">
            <v>#REF!</v>
          </cell>
          <cell r="O402" t="e">
            <v>#REF!</v>
          </cell>
          <cell r="P402" t="e">
            <v>#REF!</v>
          </cell>
          <cell r="Q402" t="e">
            <v>#REF!</v>
          </cell>
          <cell r="R402" t="e">
            <v>#REF!</v>
          </cell>
          <cell r="S402" t="e">
            <v>#REF!</v>
          </cell>
          <cell r="T402" t="e">
            <v>#REF!</v>
          </cell>
          <cell r="U402" t="e">
            <v>#REF!</v>
          </cell>
          <cell r="V402" t="e">
            <v>#REF!</v>
          </cell>
          <cell r="W402" t="e">
            <v>#REF!</v>
          </cell>
          <cell r="X402" t="e">
            <v>#REF!</v>
          </cell>
          <cell r="Y402" t="e">
            <v>#REF!</v>
          </cell>
          <cell r="Z402" t="e">
            <v>#REF!</v>
          </cell>
          <cell r="AA402" t="e">
            <v>#REF!</v>
          </cell>
          <cell r="AB402" t="e">
            <v>#REF!</v>
          </cell>
          <cell r="AC402" t="e">
            <v>#REF!</v>
          </cell>
          <cell r="AD402" t="e">
            <v>#REF!</v>
          </cell>
          <cell r="AE402" t="e">
            <v>#REF!</v>
          </cell>
          <cell r="AF402" t="e">
            <v>#REF!</v>
          </cell>
          <cell r="AG402" t="e">
            <v>#REF!</v>
          </cell>
          <cell r="AH402" t="e">
            <v>#REF!</v>
          </cell>
          <cell r="AI402" t="e">
            <v>#REF!</v>
          </cell>
          <cell r="AJ402" t="e">
            <v>#REF!</v>
          </cell>
          <cell r="AK402" t="e">
            <v>#REF!</v>
          </cell>
          <cell r="AL402" t="e">
            <v>#REF!</v>
          </cell>
          <cell r="AM402" t="e">
            <v>#REF!</v>
          </cell>
          <cell r="AN402" t="e">
            <v>#REF!</v>
          </cell>
          <cell r="AO402" t="e">
            <v>#REF!</v>
          </cell>
          <cell r="AP402" t="e">
            <v>#REF!</v>
          </cell>
          <cell r="AQ402" t="e">
            <v>#REF!</v>
          </cell>
          <cell r="AR402" t="e">
            <v>#REF!</v>
          </cell>
          <cell r="AS402" t="e">
            <v>#REF!</v>
          </cell>
          <cell r="AT402" t="e">
            <v>#REF!</v>
          </cell>
          <cell r="AU402" t="e">
            <v>#REF!</v>
          </cell>
          <cell r="AV402" t="e">
            <v>#REF!</v>
          </cell>
          <cell r="AW402" t="e">
            <v>#REF!</v>
          </cell>
          <cell r="AX402" t="e">
            <v>#REF!</v>
          </cell>
          <cell r="AY402" t="e">
            <v>#REF!</v>
          </cell>
          <cell r="AZ402" t="e">
            <v>#REF!</v>
          </cell>
          <cell r="BA402" t="e">
            <v>#REF!</v>
          </cell>
          <cell r="BB402" t="e">
            <v>#REF!</v>
          </cell>
          <cell r="BC402" t="e">
            <v>#REF!</v>
          </cell>
          <cell r="BD402" t="e">
            <v>#REF!</v>
          </cell>
          <cell r="BE402" t="e">
            <v>#REF!</v>
          </cell>
          <cell r="BF402" t="e">
            <v>#REF!</v>
          </cell>
          <cell r="BG402" t="e">
            <v>#REF!</v>
          </cell>
          <cell r="BH402" t="e">
            <v>#REF!</v>
          </cell>
          <cell r="BI402" t="e">
            <v>#REF!</v>
          </cell>
          <cell r="BJ402" t="e">
            <v>#REF!</v>
          </cell>
          <cell r="BK402" t="e">
            <v>#REF!</v>
          </cell>
          <cell r="BL402" t="e">
            <v>#REF!</v>
          </cell>
          <cell r="BM402" t="e">
            <v>#REF!</v>
          </cell>
          <cell r="BN402" t="e">
            <v>#REF!</v>
          </cell>
          <cell r="BO402" t="e">
            <v>#REF!</v>
          </cell>
          <cell r="BP402" t="e">
            <v>#REF!</v>
          </cell>
          <cell r="BQ402" t="e">
            <v>#REF!</v>
          </cell>
          <cell r="BR402" t="e">
            <v>#REF!</v>
          </cell>
          <cell r="BS402" t="e">
            <v>#REF!</v>
          </cell>
          <cell r="BT402" t="e">
            <v>#REF!</v>
          </cell>
          <cell r="BU402" t="e">
            <v>#REF!</v>
          </cell>
        </row>
        <row r="403">
          <cell r="A403" t="str">
            <v>21102MD</v>
          </cell>
          <cell r="B403">
            <v>21102</v>
          </cell>
          <cell r="C403" t="str">
            <v>MD</v>
          </cell>
          <cell r="D403" t="e">
            <v>#REF!</v>
          </cell>
          <cell r="E403" t="e">
            <v>#REF!</v>
          </cell>
          <cell r="F403" t="e">
            <v>#REF!</v>
          </cell>
          <cell r="G403" t="str">
            <v>N</v>
          </cell>
          <cell r="M403" t="e">
            <v>#REF!</v>
          </cell>
          <cell r="N403" t="e">
            <v>#REF!</v>
          </cell>
          <cell r="O403" t="e">
            <v>#REF!</v>
          </cell>
          <cell r="P403" t="e">
            <v>#REF!</v>
          </cell>
          <cell r="Q403" t="e">
            <v>#REF!</v>
          </cell>
          <cell r="R403" t="e">
            <v>#REF!</v>
          </cell>
          <cell r="S403" t="e">
            <v>#REF!</v>
          </cell>
          <cell r="T403" t="e">
            <v>#REF!</v>
          </cell>
          <cell r="U403" t="e">
            <v>#REF!</v>
          </cell>
          <cell r="V403" t="e">
            <v>#REF!</v>
          </cell>
          <cell r="W403" t="e">
            <v>#REF!</v>
          </cell>
          <cell r="X403" t="e">
            <v>#REF!</v>
          </cell>
          <cell r="Y403" t="e">
            <v>#REF!</v>
          </cell>
          <cell r="Z403" t="e">
            <v>#REF!</v>
          </cell>
          <cell r="AA403" t="e">
            <v>#REF!</v>
          </cell>
          <cell r="AB403" t="e">
            <v>#REF!</v>
          </cell>
          <cell r="AC403" t="e">
            <v>#REF!</v>
          </cell>
          <cell r="AD403" t="e">
            <v>#REF!</v>
          </cell>
          <cell r="AE403" t="e">
            <v>#REF!</v>
          </cell>
          <cell r="AF403" t="e">
            <v>#REF!</v>
          </cell>
          <cell r="AG403" t="e">
            <v>#REF!</v>
          </cell>
          <cell r="AH403" t="e">
            <v>#REF!</v>
          </cell>
          <cell r="AI403" t="e">
            <v>#REF!</v>
          </cell>
          <cell r="AJ403" t="e">
            <v>#REF!</v>
          </cell>
          <cell r="AK403" t="e">
            <v>#REF!</v>
          </cell>
          <cell r="AL403" t="e">
            <v>#REF!</v>
          </cell>
          <cell r="AM403" t="e">
            <v>#REF!</v>
          </cell>
          <cell r="AN403" t="e">
            <v>#REF!</v>
          </cell>
          <cell r="AO403" t="e">
            <v>#REF!</v>
          </cell>
          <cell r="AP403" t="e">
            <v>#REF!</v>
          </cell>
          <cell r="AQ403" t="e">
            <v>#REF!</v>
          </cell>
          <cell r="AR403" t="e">
            <v>#REF!</v>
          </cell>
          <cell r="AS403" t="e">
            <v>#REF!</v>
          </cell>
          <cell r="AT403" t="e">
            <v>#REF!</v>
          </cell>
          <cell r="AU403" t="e">
            <v>#REF!</v>
          </cell>
          <cell r="AV403" t="e">
            <v>#REF!</v>
          </cell>
          <cell r="AW403" t="e">
            <v>#REF!</v>
          </cell>
          <cell r="AX403" t="e">
            <v>#REF!</v>
          </cell>
          <cell r="AY403" t="e">
            <v>#REF!</v>
          </cell>
          <cell r="AZ403" t="e">
            <v>#REF!</v>
          </cell>
          <cell r="BA403" t="e">
            <v>#REF!</v>
          </cell>
          <cell r="BB403" t="e">
            <v>#REF!</v>
          </cell>
          <cell r="BC403" t="e">
            <v>#REF!</v>
          </cell>
          <cell r="BD403" t="e">
            <v>#REF!</v>
          </cell>
          <cell r="BE403" t="e">
            <v>#REF!</v>
          </cell>
          <cell r="BF403" t="e">
            <v>#REF!</v>
          </cell>
          <cell r="BG403" t="e">
            <v>#REF!</v>
          </cell>
          <cell r="BH403" t="e">
            <v>#REF!</v>
          </cell>
          <cell r="BI403" t="e">
            <v>#REF!</v>
          </cell>
          <cell r="BJ403" t="e">
            <v>#REF!</v>
          </cell>
          <cell r="BK403" t="e">
            <v>#REF!</v>
          </cell>
          <cell r="BL403" t="e">
            <v>#REF!</v>
          </cell>
          <cell r="BM403" t="e">
            <v>#REF!</v>
          </cell>
          <cell r="BN403" t="e">
            <v>#REF!</v>
          </cell>
          <cell r="BO403" t="e">
            <v>#REF!</v>
          </cell>
          <cell r="BP403" t="e">
            <v>#REF!</v>
          </cell>
          <cell r="BQ403" t="e">
            <v>#REF!</v>
          </cell>
          <cell r="BR403" t="e">
            <v>#REF!</v>
          </cell>
          <cell r="BS403" t="e">
            <v>#REF!</v>
          </cell>
          <cell r="BT403" t="e">
            <v>#REF!</v>
          </cell>
          <cell r="BU403" t="e">
            <v>#REF!</v>
          </cell>
        </row>
        <row r="404">
          <cell r="A404" t="str">
            <v>21102RET</v>
          </cell>
          <cell r="B404">
            <v>21102</v>
          </cell>
          <cell r="C404" t="str">
            <v>RET</v>
          </cell>
          <cell r="D404" t="e">
            <v>#REF!</v>
          </cell>
          <cell r="E404" t="e">
            <v>#REF!</v>
          </cell>
          <cell r="F404" t="e">
            <v>#REF!</v>
          </cell>
          <cell r="G404" t="str">
            <v>N</v>
          </cell>
          <cell r="M404" t="e">
            <v>#REF!</v>
          </cell>
          <cell r="N404" t="e">
            <v>#REF!</v>
          </cell>
          <cell r="O404" t="e">
            <v>#REF!</v>
          </cell>
          <cell r="P404" t="e">
            <v>#REF!</v>
          </cell>
          <cell r="Q404" t="e">
            <v>#REF!</v>
          </cell>
          <cell r="R404" t="e">
            <v>#REF!</v>
          </cell>
          <cell r="S404" t="e">
            <v>#REF!</v>
          </cell>
          <cell r="T404" t="e">
            <v>#REF!</v>
          </cell>
          <cell r="U404" t="e">
            <v>#REF!</v>
          </cell>
          <cell r="V404" t="e">
            <v>#REF!</v>
          </cell>
          <cell r="W404" t="e">
            <v>#REF!</v>
          </cell>
          <cell r="X404" t="e">
            <v>#REF!</v>
          </cell>
          <cell r="Y404" t="e">
            <v>#REF!</v>
          </cell>
          <cell r="Z404" t="e">
            <v>#REF!</v>
          </cell>
          <cell r="AA404" t="e">
            <v>#REF!</v>
          </cell>
          <cell r="AB404" t="e">
            <v>#REF!</v>
          </cell>
          <cell r="AC404" t="e">
            <v>#REF!</v>
          </cell>
          <cell r="AD404" t="e">
            <v>#REF!</v>
          </cell>
          <cell r="AE404" t="e">
            <v>#REF!</v>
          </cell>
          <cell r="AF404" t="e">
            <v>#REF!</v>
          </cell>
          <cell r="AG404" t="e">
            <v>#REF!</v>
          </cell>
          <cell r="AH404" t="e">
            <v>#REF!</v>
          </cell>
          <cell r="AI404" t="e">
            <v>#REF!</v>
          </cell>
          <cell r="AJ404" t="e">
            <v>#REF!</v>
          </cell>
          <cell r="AK404" t="e">
            <v>#REF!</v>
          </cell>
          <cell r="AL404" t="e">
            <v>#REF!</v>
          </cell>
          <cell r="AM404" t="e">
            <v>#REF!</v>
          </cell>
          <cell r="AN404" t="e">
            <v>#REF!</v>
          </cell>
          <cell r="AO404" t="e">
            <v>#REF!</v>
          </cell>
          <cell r="AP404" t="e">
            <v>#REF!</v>
          </cell>
          <cell r="AQ404" t="e">
            <v>#REF!</v>
          </cell>
          <cell r="AR404" t="e">
            <v>#REF!</v>
          </cell>
          <cell r="AS404" t="e">
            <v>#REF!</v>
          </cell>
          <cell r="AT404" t="e">
            <v>#REF!</v>
          </cell>
          <cell r="AU404" t="e">
            <v>#REF!</v>
          </cell>
          <cell r="AV404" t="e">
            <v>#REF!</v>
          </cell>
          <cell r="AW404" t="e">
            <v>#REF!</v>
          </cell>
          <cell r="AX404" t="e">
            <v>#REF!</v>
          </cell>
          <cell r="AY404" t="e">
            <v>#REF!</v>
          </cell>
          <cell r="AZ404" t="e">
            <v>#REF!</v>
          </cell>
          <cell r="BA404" t="e">
            <v>#REF!</v>
          </cell>
          <cell r="BB404" t="e">
            <v>#REF!</v>
          </cell>
          <cell r="BC404" t="e">
            <v>#REF!</v>
          </cell>
          <cell r="BD404" t="e">
            <v>#REF!</v>
          </cell>
          <cell r="BE404" t="e">
            <v>#REF!</v>
          </cell>
          <cell r="BF404" t="e">
            <v>#REF!</v>
          </cell>
          <cell r="BG404" t="e">
            <v>#REF!</v>
          </cell>
          <cell r="BH404" t="e">
            <v>#REF!</v>
          </cell>
          <cell r="BI404" t="e">
            <v>#REF!</v>
          </cell>
          <cell r="BJ404" t="e">
            <v>#REF!</v>
          </cell>
          <cell r="BK404" t="e">
            <v>#REF!</v>
          </cell>
          <cell r="BL404" t="e">
            <v>#REF!</v>
          </cell>
          <cell r="BM404" t="e">
            <v>#REF!</v>
          </cell>
          <cell r="BN404" t="e">
            <v>#REF!</v>
          </cell>
          <cell r="BO404" t="e">
            <v>#REF!</v>
          </cell>
          <cell r="BP404" t="e">
            <v>#REF!</v>
          </cell>
          <cell r="BQ404" t="e">
            <v>#REF!</v>
          </cell>
          <cell r="BR404" t="e">
            <v>#REF!</v>
          </cell>
          <cell r="BS404" t="e">
            <v>#REF!</v>
          </cell>
          <cell r="BT404" t="e">
            <v>#REF!</v>
          </cell>
          <cell r="BU404" t="e">
            <v>#REF!</v>
          </cell>
        </row>
        <row r="405">
          <cell r="A405" t="str">
            <v>21103MD</v>
          </cell>
          <cell r="B405">
            <v>21103</v>
          </cell>
          <cell r="C405" t="str">
            <v>MD</v>
          </cell>
          <cell r="D405" t="str">
            <v>Water Heating</v>
          </cell>
          <cell r="E405" t="str">
            <v>Heat Pump Water Heater</v>
          </cell>
          <cell r="F405" t="str">
            <v>C</v>
          </cell>
          <cell r="G405" t="str">
            <v>Y</v>
          </cell>
          <cell r="M405" t="str">
            <v>NC,RENO,REPL</v>
          </cell>
          <cell r="N405" t="str">
            <v>Storage-type electric resistance water heater (≤ 120 gallons)</v>
          </cell>
          <cell r="O405">
            <v>2021</v>
          </cell>
          <cell r="P405">
            <v>2030</v>
          </cell>
          <cell r="Q405" t="str">
            <v>Small Office</v>
          </cell>
          <cell r="R405" t="str">
            <v>Water Heater</v>
          </cell>
          <cell r="S405">
            <v>0</v>
          </cell>
          <cell r="T405">
            <v>0</v>
          </cell>
          <cell r="U405">
            <v>4051.5</v>
          </cell>
          <cell r="V405">
            <v>1547.2151302597522</v>
          </cell>
          <cell r="W405">
            <v>0.53839999999999999</v>
          </cell>
          <cell r="X405" t="str">
            <v>-</v>
          </cell>
          <cell r="Y405">
            <v>3</v>
          </cell>
          <cell r="Z405">
            <v>3</v>
          </cell>
          <cell r="AA405">
            <v>0</v>
          </cell>
          <cell r="AB405">
            <v>0</v>
          </cell>
          <cell r="AC405">
            <v>1262.5</v>
          </cell>
          <cell r="AD405">
            <v>0.81598219621084422</v>
          </cell>
          <cell r="AE405">
            <v>4</v>
          </cell>
          <cell r="AF405">
            <v>4</v>
          </cell>
          <cell r="AG405">
            <v>0</v>
          </cell>
          <cell r="AH405">
            <v>0</v>
          </cell>
          <cell r="AI405">
            <v>0</v>
          </cell>
          <cell r="AJ405">
            <v>0</v>
          </cell>
          <cell r="AK405">
            <v>0</v>
          </cell>
          <cell r="AL405" t="str">
            <v>-</v>
          </cell>
          <cell r="AM405" t="str">
            <v>-</v>
          </cell>
          <cell r="AN405" t="str">
            <v/>
          </cell>
          <cell r="AO405">
            <v>0</v>
          </cell>
          <cell r="AP405" t="str">
            <v>-</v>
          </cell>
          <cell r="AQ405">
            <v>0</v>
          </cell>
          <cell r="AR405" t="str">
            <v>-</v>
          </cell>
          <cell r="AS405">
            <v>0</v>
          </cell>
          <cell r="AT405" t="str">
            <v/>
          </cell>
          <cell r="AU405">
            <v>0</v>
          </cell>
          <cell r="AV405" t="str">
            <v>-</v>
          </cell>
          <cell r="AW405">
            <v>0</v>
          </cell>
          <cell r="AX405" t="str">
            <v>-</v>
          </cell>
          <cell r="AY405">
            <v>0</v>
          </cell>
          <cell r="AZ405" t="str">
            <v/>
          </cell>
          <cell r="BA405">
            <v>0</v>
          </cell>
          <cell r="BB405" t="str">
            <v>-</v>
          </cell>
          <cell r="BC405">
            <v>0</v>
          </cell>
          <cell r="BD405" t="str">
            <v>-</v>
          </cell>
          <cell r="BE405">
            <v>0</v>
          </cell>
          <cell r="BF405" t="str">
            <v/>
          </cell>
          <cell r="BG405">
            <v>0</v>
          </cell>
          <cell r="BH405" t="str">
            <v>-</v>
          </cell>
          <cell r="BI405">
            <v>0</v>
          </cell>
          <cell r="BJ405" t="str">
            <v>-</v>
          </cell>
          <cell r="BK405">
            <v>0</v>
          </cell>
          <cell r="BL405">
            <v>0</v>
          </cell>
          <cell r="BM405" t="str">
            <v>-</v>
          </cell>
          <cell r="BN405">
            <v>10</v>
          </cell>
          <cell r="BO405" t="str">
            <v/>
          </cell>
          <cell r="BP405">
            <v>0</v>
          </cell>
          <cell r="BQ405">
            <v>0</v>
          </cell>
          <cell r="BR405" t="str">
            <v>-</v>
          </cell>
          <cell r="BS405">
            <v>0</v>
          </cell>
          <cell r="BT405">
            <v>0</v>
          </cell>
          <cell r="BU405" t="str">
            <v>-</v>
          </cell>
        </row>
        <row r="406">
          <cell r="A406" t="str">
            <v>21103RET</v>
          </cell>
          <cell r="B406">
            <v>21103</v>
          </cell>
          <cell r="C406" t="str">
            <v>RET</v>
          </cell>
          <cell r="D406" t="str">
            <v>Water Heating</v>
          </cell>
          <cell r="E406" t="str">
            <v>Heat Pump Water Heater</v>
          </cell>
          <cell r="F406" t="str">
            <v>C</v>
          </cell>
          <cell r="G406" t="str">
            <v>Y</v>
          </cell>
          <cell r="M406" t="str">
            <v>RET</v>
          </cell>
          <cell r="N406" t="str">
            <v>Existing, storage-type electric resistance water heater (≤ 120 gallons)</v>
          </cell>
          <cell r="O406">
            <v>2021</v>
          </cell>
          <cell r="P406">
            <v>2030</v>
          </cell>
          <cell r="Q406" t="str">
            <v>Small Office</v>
          </cell>
          <cell r="R406" t="str">
            <v>Water Heater</v>
          </cell>
          <cell r="S406">
            <v>0</v>
          </cell>
          <cell r="T406">
            <v>0</v>
          </cell>
          <cell r="U406">
            <v>4051.5</v>
          </cell>
          <cell r="V406">
            <v>1547.2151302597522</v>
          </cell>
          <cell r="W406">
            <v>0.53839999999999999</v>
          </cell>
          <cell r="X406" t="str">
            <v>-</v>
          </cell>
          <cell r="Y406">
            <v>3</v>
          </cell>
          <cell r="Z406">
            <v>3</v>
          </cell>
          <cell r="AA406">
            <v>1862.5</v>
          </cell>
          <cell r="AB406">
            <v>0</v>
          </cell>
          <cell r="AC406">
            <v>1262.5</v>
          </cell>
          <cell r="AD406">
            <v>0.81598219621084422</v>
          </cell>
          <cell r="AE406">
            <v>4</v>
          </cell>
          <cell r="AF406">
            <v>4</v>
          </cell>
          <cell r="AG406">
            <v>13</v>
          </cell>
          <cell r="AH406">
            <v>7</v>
          </cell>
          <cell r="AI406">
            <v>600</v>
          </cell>
          <cell r="AJ406">
            <v>0.38779351899129227</v>
          </cell>
          <cell r="AK406">
            <v>1</v>
          </cell>
          <cell r="AL406" t="str">
            <v>-</v>
          </cell>
          <cell r="AM406" t="str">
            <v>-</v>
          </cell>
          <cell r="AN406" t="str">
            <v/>
          </cell>
          <cell r="AO406">
            <v>0</v>
          </cell>
          <cell r="AP406" t="str">
            <v>-</v>
          </cell>
          <cell r="AQ406">
            <v>0</v>
          </cell>
          <cell r="AR406" t="str">
            <v>-</v>
          </cell>
          <cell r="AS406">
            <v>0</v>
          </cell>
          <cell r="AT406" t="str">
            <v/>
          </cell>
          <cell r="AU406">
            <v>0</v>
          </cell>
          <cell r="AV406" t="str">
            <v>-</v>
          </cell>
          <cell r="AW406">
            <v>0</v>
          </cell>
          <cell r="AX406" t="str">
            <v>-</v>
          </cell>
          <cell r="AY406">
            <v>0</v>
          </cell>
          <cell r="AZ406" t="str">
            <v/>
          </cell>
          <cell r="BA406">
            <v>0</v>
          </cell>
          <cell r="BB406" t="str">
            <v>-</v>
          </cell>
          <cell r="BC406">
            <v>0</v>
          </cell>
          <cell r="BD406" t="str">
            <v>-</v>
          </cell>
          <cell r="BE406">
            <v>0</v>
          </cell>
          <cell r="BF406" t="str">
            <v/>
          </cell>
          <cell r="BG406">
            <v>0</v>
          </cell>
          <cell r="BH406" t="str">
            <v>-</v>
          </cell>
          <cell r="BI406">
            <v>0</v>
          </cell>
          <cell r="BJ406" t="str">
            <v>-</v>
          </cell>
          <cell r="BK406">
            <v>0</v>
          </cell>
          <cell r="BL406">
            <v>0</v>
          </cell>
          <cell r="BM406" t="str">
            <v>-</v>
          </cell>
          <cell r="BN406">
            <v>10</v>
          </cell>
          <cell r="BO406" t="str">
            <v/>
          </cell>
          <cell r="BP406">
            <v>0</v>
          </cell>
          <cell r="BQ406">
            <v>0</v>
          </cell>
          <cell r="BR406" t="str">
            <v>-</v>
          </cell>
          <cell r="BS406">
            <v>0</v>
          </cell>
          <cell r="BT406">
            <v>0</v>
          </cell>
          <cell r="BU406" t="str">
            <v>-</v>
          </cell>
        </row>
        <row r="407">
          <cell r="A407" t="str">
            <v>21104MD</v>
          </cell>
          <cell r="B407">
            <v>21104</v>
          </cell>
          <cell r="C407" t="str">
            <v>MD</v>
          </cell>
          <cell r="D407" t="e">
            <v>#REF!</v>
          </cell>
          <cell r="E407" t="e">
            <v>#REF!</v>
          </cell>
          <cell r="F407" t="e">
            <v>#REF!</v>
          </cell>
          <cell r="G407" t="str">
            <v>Y</v>
          </cell>
          <cell r="M407" t="e">
            <v>#REF!</v>
          </cell>
          <cell r="N407" t="e">
            <v>#REF!</v>
          </cell>
          <cell r="O407" t="e">
            <v>#REF!</v>
          </cell>
          <cell r="P407" t="e">
            <v>#REF!</v>
          </cell>
          <cell r="Q407" t="e">
            <v>#REF!</v>
          </cell>
          <cell r="R407" t="e">
            <v>#REF!</v>
          </cell>
          <cell r="S407" t="e">
            <v>#REF!</v>
          </cell>
          <cell r="T407" t="e">
            <v>#REF!</v>
          </cell>
          <cell r="U407" t="e">
            <v>#REF!</v>
          </cell>
          <cell r="V407" t="e">
            <v>#REF!</v>
          </cell>
          <cell r="W407" t="e">
            <v>#REF!</v>
          </cell>
          <cell r="X407" t="e">
            <v>#REF!</v>
          </cell>
          <cell r="Y407" t="e">
            <v>#REF!</v>
          </cell>
          <cell r="Z407" t="e">
            <v>#REF!</v>
          </cell>
          <cell r="AA407" t="e">
            <v>#REF!</v>
          </cell>
          <cell r="AB407" t="e">
            <v>#REF!</v>
          </cell>
          <cell r="AC407" t="e">
            <v>#REF!</v>
          </cell>
          <cell r="AD407" t="e">
            <v>#REF!</v>
          </cell>
          <cell r="AE407" t="e">
            <v>#REF!</v>
          </cell>
          <cell r="AF407" t="e">
            <v>#REF!</v>
          </cell>
          <cell r="AG407" t="e">
            <v>#REF!</v>
          </cell>
          <cell r="AH407" t="e">
            <v>#REF!</v>
          </cell>
          <cell r="AI407" t="e">
            <v>#REF!</v>
          </cell>
          <cell r="AJ407" t="e">
            <v>#REF!</v>
          </cell>
          <cell r="AK407" t="e">
            <v>#REF!</v>
          </cell>
          <cell r="AL407" t="e">
            <v>#REF!</v>
          </cell>
          <cell r="AM407" t="e">
            <v>#REF!</v>
          </cell>
          <cell r="AN407" t="e">
            <v>#REF!</v>
          </cell>
          <cell r="AO407" t="e">
            <v>#REF!</v>
          </cell>
          <cell r="AP407" t="e">
            <v>#REF!</v>
          </cell>
          <cell r="AQ407" t="e">
            <v>#REF!</v>
          </cell>
          <cell r="AR407" t="e">
            <v>#REF!</v>
          </cell>
          <cell r="AS407" t="e">
            <v>#REF!</v>
          </cell>
          <cell r="AT407" t="e">
            <v>#REF!</v>
          </cell>
          <cell r="AU407" t="e">
            <v>#REF!</v>
          </cell>
          <cell r="AV407" t="e">
            <v>#REF!</v>
          </cell>
          <cell r="AW407" t="e">
            <v>#REF!</v>
          </cell>
          <cell r="AX407" t="e">
            <v>#REF!</v>
          </cell>
          <cell r="AY407" t="e">
            <v>#REF!</v>
          </cell>
          <cell r="AZ407" t="e">
            <v>#REF!</v>
          </cell>
          <cell r="BA407" t="e">
            <v>#REF!</v>
          </cell>
          <cell r="BB407" t="e">
            <v>#REF!</v>
          </cell>
          <cell r="BC407" t="e">
            <v>#REF!</v>
          </cell>
          <cell r="BD407" t="e">
            <v>#REF!</v>
          </cell>
          <cell r="BE407" t="e">
            <v>#REF!</v>
          </cell>
          <cell r="BF407" t="e">
            <v>#REF!</v>
          </cell>
          <cell r="BG407" t="e">
            <v>#REF!</v>
          </cell>
          <cell r="BH407" t="e">
            <v>#REF!</v>
          </cell>
          <cell r="BI407" t="e">
            <v>#REF!</v>
          </cell>
          <cell r="BJ407" t="e">
            <v>#REF!</v>
          </cell>
          <cell r="BK407" t="e">
            <v>#REF!</v>
          </cell>
          <cell r="BL407" t="e">
            <v>#REF!</v>
          </cell>
          <cell r="BM407" t="e">
            <v>#REF!</v>
          </cell>
          <cell r="BN407" t="e">
            <v>#REF!</v>
          </cell>
          <cell r="BO407" t="e">
            <v>#REF!</v>
          </cell>
          <cell r="BP407" t="e">
            <v>#REF!</v>
          </cell>
          <cell r="BQ407" t="e">
            <v>#REF!</v>
          </cell>
          <cell r="BR407" t="e">
            <v>#REF!</v>
          </cell>
          <cell r="BS407" t="e">
            <v>#REF!</v>
          </cell>
          <cell r="BT407" t="e">
            <v>#REF!</v>
          </cell>
          <cell r="BU407" t="e">
            <v>#REF!</v>
          </cell>
        </row>
        <row r="408">
          <cell r="A408" t="str">
            <v>21107RET</v>
          </cell>
          <cell r="B408">
            <v>21107</v>
          </cell>
          <cell r="C408" t="str">
            <v>RET</v>
          </cell>
          <cell r="D408" t="e">
            <v>#REF!</v>
          </cell>
          <cell r="E408" t="e">
            <v>#REF!</v>
          </cell>
          <cell r="F408" t="e">
            <v>#REF!</v>
          </cell>
          <cell r="G408" t="str">
            <v>Y</v>
          </cell>
          <cell r="M408" t="e">
            <v>#REF!</v>
          </cell>
          <cell r="N408" t="e">
            <v>#REF!</v>
          </cell>
          <cell r="O408" t="e">
            <v>#REF!</v>
          </cell>
          <cell r="P408" t="e">
            <v>#REF!</v>
          </cell>
          <cell r="Q408" t="e">
            <v>#REF!</v>
          </cell>
          <cell r="R408" t="e">
            <v>#REF!</v>
          </cell>
          <cell r="S408" t="e">
            <v>#REF!</v>
          </cell>
          <cell r="T408" t="e">
            <v>#REF!</v>
          </cell>
          <cell r="U408" t="e">
            <v>#REF!</v>
          </cell>
          <cell r="V408" t="e">
            <v>#REF!</v>
          </cell>
          <cell r="W408" t="e">
            <v>#REF!</v>
          </cell>
          <cell r="X408" t="e">
            <v>#REF!</v>
          </cell>
          <cell r="Y408" t="e">
            <v>#REF!</v>
          </cell>
          <cell r="Z408" t="e">
            <v>#REF!</v>
          </cell>
          <cell r="AA408" t="e">
            <v>#REF!</v>
          </cell>
          <cell r="AB408" t="e">
            <v>#REF!</v>
          </cell>
          <cell r="AC408" t="e">
            <v>#REF!</v>
          </cell>
          <cell r="AD408" t="e">
            <v>#REF!</v>
          </cell>
          <cell r="AE408" t="e">
            <v>#REF!</v>
          </cell>
          <cell r="AF408" t="e">
            <v>#REF!</v>
          </cell>
          <cell r="AG408" t="e">
            <v>#REF!</v>
          </cell>
          <cell r="AH408" t="e">
            <v>#REF!</v>
          </cell>
          <cell r="AI408" t="e">
            <v>#REF!</v>
          </cell>
          <cell r="AJ408" t="e">
            <v>#REF!</v>
          </cell>
          <cell r="AK408" t="e">
            <v>#REF!</v>
          </cell>
          <cell r="AL408" t="e">
            <v>#REF!</v>
          </cell>
          <cell r="AM408" t="e">
            <v>#REF!</v>
          </cell>
          <cell r="AN408" t="e">
            <v>#REF!</v>
          </cell>
          <cell r="AO408" t="e">
            <v>#REF!</v>
          </cell>
          <cell r="AP408" t="e">
            <v>#REF!</v>
          </cell>
          <cell r="AQ408" t="e">
            <v>#REF!</v>
          </cell>
          <cell r="AR408" t="e">
            <v>#REF!</v>
          </cell>
          <cell r="AS408" t="e">
            <v>#REF!</v>
          </cell>
          <cell r="AT408" t="e">
            <v>#REF!</v>
          </cell>
          <cell r="AU408" t="e">
            <v>#REF!</v>
          </cell>
          <cell r="AV408" t="e">
            <v>#REF!</v>
          </cell>
          <cell r="AW408" t="e">
            <v>#REF!</v>
          </cell>
          <cell r="AX408" t="e">
            <v>#REF!</v>
          </cell>
          <cell r="AY408" t="e">
            <v>#REF!</v>
          </cell>
          <cell r="AZ408" t="e">
            <v>#REF!</v>
          </cell>
          <cell r="BA408" t="e">
            <v>#REF!</v>
          </cell>
          <cell r="BB408" t="e">
            <v>#REF!</v>
          </cell>
          <cell r="BC408" t="e">
            <v>#REF!</v>
          </cell>
          <cell r="BD408" t="e">
            <v>#REF!</v>
          </cell>
          <cell r="BE408" t="e">
            <v>#REF!</v>
          </cell>
          <cell r="BF408" t="e">
            <v>#REF!</v>
          </cell>
          <cell r="BG408" t="e">
            <v>#REF!</v>
          </cell>
          <cell r="BH408" t="e">
            <v>#REF!</v>
          </cell>
          <cell r="BI408" t="e">
            <v>#REF!</v>
          </cell>
          <cell r="BJ408" t="e">
            <v>#REF!</v>
          </cell>
          <cell r="BK408" t="e">
            <v>#REF!</v>
          </cell>
          <cell r="BL408" t="e">
            <v>#REF!</v>
          </cell>
          <cell r="BM408" t="e">
            <v>#REF!</v>
          </cell>
          <cell r="BN408" t="e">
            <v>#REF!</v>
          </cell>
          <cell r="BO408" t="e">
            <v>#REF!</v>
          </cell>
          <cell r="BP408" t="e">
            <v>#REF!</v>
          </cell>
          <cell r="BQ408" t="e">
            <v>#REF!</v>
          </cell>
          <cell r="BR408" t="e">
            <v>#REF!</v>
          </cell>
          <cell r="BS408" t="e">
            <v>#REF!</v>
          </cell>
          <cell r="BT408" t="e">
            <v>#REF!</v>
          </cell>
          <cell r="BU408" t="e">
            <v>#REF!</v>
          </cell>
        </row>
        <row r="409">
          <cell r="A409" t="str">
            <v>21108RET</v>
          </cell>
          <cell r="B409">
            <v>21108</v>
          </cell>
          <cell r="C409" t="str">
            <v>RET</v>
          </cell>
          <cell r="D409" t="e">
            <v>#REF!</v>
          </cell>
          <cell r="E409" t="e">
            <v>#REF!</v>
          </cell>
          <cell r="F409" t="e">
            <v>#REF!</v>
          </cell>
          <cell r="G409" t="str">
            <v>N</v>
          </cell>
          <cell r="M409" t="e">
            <v>#REF!</v>
          </cell>
          <cell r="N409" t="e">
            <v>#REF!</v>
          </cell>
          <cell r="O409" t="e">
            <v>#REF!</v>
          </cell>
          <cell r="P409" t="e">
            <v>#REF!</v>
          </cell>
          <cell r="Q409" t="e">
            <v>#REF!</v>
          </cell>
          <cell r="R409" t="e">
            <v>#REF!</v>
          </cell>
          <cell r="S409" t="e">
            <v>#REF!</v>
          </cell>
          <cell r="T409" t="e">
            <v>#REF!</v>
          </cell>
          <cell r="U409" t="e">
            <v>#REF!</v>
          </cell>
          <cell r="V409" t="e">
            <v>#REF!</v>
          </cell>
          <cell r="W409" t="e">
            <v>#REF!</v>
          </cell>
          <cell r="X409" t="e">
            <v>#REF!</v>
          </cell>
          <cell r="Y409" t="e">
            <v>#REF!</v>
          </cell>
          <cell r="Z409" t="e">
            <v>#REF!</v>
          </cell>
          <cell r="AA409" t="e">
            <v>#REF!</v>
          </cell>
          <cell r="AB409" t="e">
            <v>#REF!</v>
          </cell>
          <cell r="AC409" t="e">
            <v>#REF!</v>
          </cell>
          <cell r="AD409" t="e">
            <v>#REF!</v>
          </cell>
          <cell r="AE409" t="e">
            <v>#REF!</v>
          </cell>
          <cell r="AF409" t="e">
            <v>#REF!</v>
          </cell>
          <cell r="AG409" t="e">
            <v>#REF!</v>
          </cell>
          <cell r="AH409" t="e">
            <v>#REF!</v>
          </cell>
          <cell r="AI409" t="e">
            <v>#REF!</v>
          </cell>
          <cell r="AJ409" t="e">
            <v>#REF!</v>
          </cell>
          <cell r="AK409" t="e">
            <v>#REF!</v>
          </cell>
          <cell r="AL409" t="e">
            <v>#REF!</v>
          </cell>
          <cell r="AM409" t="e">
            <v>#REF!</v>
          </cell>
          <cell r="AN409" t="e">
            <v>#REF!</v>
          </cell>
          <cell r="AO409" t="e">
            <v>#REF!</v>
          </cell>
          <cell r="AP409" t="e">
            <v>#REF!</v>
          </cell>
          <cell r="AQ409" t="e">
            <v>#REF!</v>
          </cell>
          <cell r="AR409" t="e">
            <v>#REF!</v>
          </cell>
          <cell r="AS409" t="e">
            <v>#REF!</v>
          </cell>
          <cell r="AT409" t="e">
            <v>#REF!</v>
          </cell>
          <cell r="AU409" t="e">
            <v>#REF!</v>
          </cell>
          <cell r="AV409" t="e">
            <v>#REF!</v>
          </cell>
          <cell r="AW409" t="e">
            <v>#REF!</v>
          </cell>
          <cell r="AX409" t="e">
            <v>#REF!</v>
          </cell>
          <cell r="AY409" t="e">
            <v>#REF!</v>
          </cell>
          <cell r="AZ409" t="e">
            <v>#REF!</v>
          </cell>
          <cell r="BA409" t="e">
            <v>#REF!</v>
          </cell>
          <cell r="BB409" t="e">
            <v>#REF!</v>
          </cell>
          <cell r="BC409" t="e">
            <v>#REF!</v>
          </cell>
          <cell r="BD409" t="e">
            <v>#REF!</v>
          </cell>
          <cell r="BE409" t="e">
            <v>#REF!</v>
          </cell>
          <cell r="BF409" t="e">
            <v>#REF!</v>
          </cell>
          <cell r="BG409" t="e">
            <v>#REF!</v>
          </cell>
          <cell r="BH409" t="e">
            <v>#REF!</v>
          </cell>
          <cell r="BI409" t="e">
            <v>#REF!</v>
          </cell>
          <cell r="BJ409" t="e">
            <v>#REF!</v>
          </cell>
          <cell r="BK409" t="e">
            <v>#REF!</v>
          </cell>
          <cell r="BL409" t="e">
            <v>#REF!</v>
          </cell>
          <cell r="BM409" t="e">
            <v>#REF!</v>
          </cell>
          <cell r="BN409" t="e">
            <v>#REF!</v>
          </cell>
          <cell r="BO409" t="e">
            <v>#REF!</v>
          </cell>
          <cell r="BP409" t="e">
            <v>#REF!</v>
          </cell>
          <cell r="BQ409" t="e">
            <v>#REF!</v>
          </cell>
          <cell r="BR409" t="e">
            <v>#REF!</v>
          </cell>
          <cell r="BS409" t="e">
            <v>#REF!</v>
          </cell>
          <cell r="BT409" t="e">
            <v>#REF!</v>
          </cell>
          <cell r="BU409" t="e">
            <v>#REF!</v>
          </cell>
        </row>
        <row r="410">
          <cell r="A410" t="str">
            <v>21109RET</v>
          </cell>
          <cell r="B410">
            <v>21109</v>
          </cell>
          <cell r="C410" t="str">
            <v>RET</v>
          </cell>
          <cell r="D410" t="e">
            <v>#REF!</v>
          </cell>
          <cell r="E410" t="e">
            <v>#REF!</v>
          </cell>
          <cell r="F410" t="e">
            <v>#REF!</v>
          </cell>
          <cell r="G410" t="str">
            <v>Y</v>
          </cell>
          <cell r="M410" t="e">
            <v>#REF!</v>
          </cell>
          <cell r="N410" t="e">
            <v>#REF!</v>
          </cell>
          <cell r="O410" t="e">
            <v>#REF!</v>
          </cell>
          <cell r="P410" t="e">
            <v>#REF!</v>
          </cell>
          <cell r="Q410" t="e">
            <v>#REF!</v>
          </cell>
          <cell r="R410" t="e">
            <v>#REF!</v>
          </cell>
          <cell r="S410" t="e">
            <v>#REF!</v>
          </cell>
          <cell r="T410" t="e">
            <v>#REF!</v>
          </cell>
          <cell r="U410" t="e">
            <v>#REF!</v>
          </cell>
          <cell r="V410" t="e">
            <v>#REF!</v>
          </cell>
          <cell r="W410" t="e">
            <v>#REF!</v>
          </cell>
          <cell r="X410" t="e">
            <v>#REF!</v>
          </cell>
          <cell r="Y410" t="e">
            <v>#REF!</v>
          </cell>
          <cell r="Z410" t="e">
            <v>#REF!</v>
          </cell>
          <cell r="AA410" t="e">
            <v>#REF!</v>
          </cell>
          <cell r="AB410" t="e">
            <v>#REF!</v>
          </cell>
          <cell r="AC410" t="e">
            <v>#REF!</v>
          </cell>
          <cell r="AD410" t="e">
            <v>#REF!</v>
          </cell>
          <cell r="AE410" t="e">
            <v>#REF!</v>
          </cell>
          <cell r="AF410" t="e">
            <v>#REF!</v>
          </cell>
          <cell r="AG410" t="e">
            <v>#REF!</v>
          </cell>
          <cell r="AH410" t="e">
            <v>#REF!</v>
          </cell>
          <cell r="AI410" t="e">
            <v>#REF!</v>
          </cell>
          <cell r="AJ410" t="e">
            <v>#REF!</v>
          </cell>
          <cell r="AK410" t="e">
            <v>#REF!</v>
          </cell>
          <cell r="AL410" t="e">
            <v>#REF!</v>
          </cell>
          <cell r="AM410" t="e">
            <v>#REF!</v>
          </cell>
          <cell r="AN410" t="e">
            <v>#REF!</v>
          </cell>
          <cell r="AO410" t="e">
            <v>#REF!</v>
          </cell>
          <cell r="AP410" t="e">
            <v>#REF!</v>
          </cell>
          <cell r="AQ410" t="e">
            <v>#REF!</v>
          </cell>
          <cell r="AR410" t="e">
            <v>#REF!</v>
          </cell>
          <cell r="AS410" t="e">
            <v>#REF!</v>
          </cell>
          <cell r="AT410" t="e">
            <v>#REF!</v>
          </cell>
          <cell r="AU410" t="e">
            <v>#REF!</v>
          </cell>
          <cell r="AV410" t="e">
            <v>#REF!</v>
          </cell>
          <cell r="AW410" t="e">
            <v>#REF!</v>
          </cell>
          <cell r="AX410" t="e">
            <v>#REF!</v>
          </cell>
          <cell r="AY410" t="e">
            <v>#REF!</v>
          </cell>
          <cell r="AZ410" t="e">
            <v>#REF!</v>
          </cell>
          <cell r="BA410" t="e">
            <v>#REF!</v>
          </cell>
          <cell r="BB410" t="e">
            <v>#REF!</v>
          </cell>
          <cell r="BC410" t="e">
            <v>#REF!</v>
          </cell>
          <cell r="BD410" t="e">
            <v>#REF!</v>
          </cell>
          <cell r="BE410" t="e">
            <v>#REF!</v>
          </cell>
          <cell r="BF410" t="e">
            <v>#REF!</v>
          </cell>
          <cell r="BG410" t="e">
            <v>#REF!</v>
          </cell>
          <cell r="BH410" t="e">
            <v>#REF!</v>
          </cell>
          <cell r="BI410" t="e">
            <v>#REF!</v>
          </cell>
          <cell r="BJ410" t="e">
            <v>#REF!</v>
          </cell>
          <cell r="BK410" t="e">
            <v>#REF!</v>
          </cell>
          <cell r="BL410" t="e">
            <v>#REF!</v>
          </cell>
          <cell r="BM410" t="e">
            <v>#REF!</v>
          </cell>
          <cell r="BN410" t="e">
            <v>#REF!</v>
          </cell>
          <cell r="BO410" t="e">
            <v>#REF!</v>
          </cell>
          <cell r="BP410" t="e">
            <v>#REF!</v>
          </cell>
          <cell r="BQ410" t="e">
            <v>#REF!</v>
          </cell>
          <cell r="BR410" t="e">
            <v>#REF!</v>
          </cell>
          <cell r="BS410" t="e">
            <v>#REF!</v>
          </cell>
          <cell r="BT410" t="e">
            <v>#REF!</v>
          </cell>
          <cell r="BU410" t="e">
            <v>#REF!</v>
          </cell>
        </row>
        <row r="411">
          <cell r="A411" t="str">
            <v>21110RET</v>
          </cell>
          <cell r="B411">
            <v>21110</v>
          </cell>
          <cell r="C411" t="str">
            <v>RET</v>
          </cell>
          <cell r="D411" t="e">
            <v>#REF!</v>
          </cell>
          <cell r="E411" t="e">
            <v>#REF!</v>
          </cell>
          <cell r="F411" t="e">
            <v>#REF!</v>
          </cell>
          <cell r="G411" t="str">
            <v>N</v>
          </cell>
          <cell r="M411" t="e">
            <v>#REF!</v>
          </cell>
          <cell r="N411" t="e">
            <v>#REF!</v>
          </cell>
          <cell r="O411" t="e">
            <v>#REF!</v>
          </cell>
          <cell r="P411" t="e">
            <v>#REF!</v>
          </cell>
          <cell r="Q411" t="e">
            <v>#REF!</v>
          </cell>
          <cell r="R411" t="e">
            <v>#REF!</v>
          </cell>
          <cell r="S411" t="e">
            <v>#REF!</v>
          </cell>
          <cell r="T411" t="e">
            <v>#REF!</v>
          </cell>
          <cell r="U411" t="e">
            <v>#REF!</v>
          </cell>
          <cell r="V411" t="e">
            <v>#REF!</v>
          </cell>
          <cell r="W411" t="e">
            <v>#REF!</v>
          </cell>
          <cell r="X411" t="e">
            <v>#REF!</v>
          </cell>
          <cell r="Y411" t="e">
            <v>#REF!</v>
          </cell>
          <cell r="Z411" t="e">
            <v>#REF!</v>
          </cell>
          <cell r="AA411" t="e">
            <v>#REF!</v>
          </cell>
          <cell r="AB411" t="e">
            <v>#REF!</v>
          </cell>
          <cell r="AC411" t="e">
            <v>#REF!</v>
          </cell>
          <cell r="AD411" t="e">
            <v>#REF!</v>
          </cell>
          <cell r="AE411" t="e">
            <v>#REF!</v>
          </cell>
          <cell r="AF411" t="e">
            <v>#REF!</v>
          </cell>
          <cell r="AG411" t="e">
            <v>#REF!</v>
          </cell>
          <cell r="AH411" t="e">
            <v>#REF!</v>
          </cell>
          <cell r="AI411" t="e">
            <v>#REF!</v>
          </cell>
          <cell r="AJ411" t="e">
            <v>#REF!</v>
          </cell>
          <cell r="AK411" t="e">
            <v>#REF!</v>
          </cell>
          <cell r="AL411" t="e">
            <v>#REF!</v>
          </cell>
          <cell r="AM411" t="e">
            <v>#REF!</v>
          </cell>
          <cell r="AN411" t="e">
            <v>#REF!</v>
          </cell>
          <cell r="AO411" t="e">
            <v>#REF!</v>
          </cell>
          <cell r="AP411" t="e">
            <v>#REF!</v>
          </cell>
          <cell r="AQ411" t="e">
            <v>#REF!</v>
          </cell>
          <cell r="AR411" t="e">
            <v>#REF!</v>
          </cell>
          <cell r="AS411" t="e">
            <v>#REF!</v>
          </cell>
          <cell r="AT411" t="e">
            <v>#REF!</v>
          </cell>
          <cell r="AU411" t="e">
            <v>#REF!</v>
          </cell>
          <cell r="AV411" t="e">
            <v>#REF!</v>
          </cell>
          <cell r="AW411" t="e">
            <v>#REF!</v>
          </cell>
          <cell r="AX411" t="e">
            <v>#REF!</v>
          </cell>
          <cell r="AY411" t="e">
            <v>#REF!</v>
          </cell>
          <cell r="AZ411" t="e">
            <v>#REF!</v>
          </cell>
          <cell r="BA411" t="e">
            <v>#REF!</v>
          </cell>
          <cell r="BB411" t="e">
            <v>#REF!</v>
          </cell>
          <cell r="BC411" t="e">
            <v>#REF!</v>
          </cell>
          <cell r="BD411" t="e">
            <v>#REF!</v>
          </cell>
          <cell r="BE411" t="e">
            <v>#REF!</v>
          </cell>
          <cell r="BF411" t="e">
            <v>#REF!</v>
          </cell>
          <cell r="BG411" t="e">
            <v>#REF!</v>
          </cell>
          <cell r="BH411" t="e">
            <v>#REF!</v>
          </cell>
          <cell r="BI411" t="e">
            <v>#REF!</v>
          </cell>
          <cell r="BJ411" t="e">
            <v>#REF!</v>
          </cell>
          <cell r="BK411" t="e">
            <v>#REF!</v>
          </cell>
          <cell r="BL411" t="e">
            <v>#REF!</v>
          </cell>
          <cell r="BM411" t="e">
            <v>#REF!</v>
          </cell>
          <cell r="BN411" t="e">
            <v>#REF!</v>
          </cell>
          <cell r="BO411" t="e">
            <v>#REF!</v>
          </cell>
          <cell r="BP411" t="e">
            <v>#REF!</v>
          </cell>
          <cell r="BQ411" t="e">
            <v>#REF!</v>
          </cell>
          <cell r="BR411" t="e">
            <v>#REF!</v>
          </cell>
          <cell r="BS411" t="e">
            <v>#REF!</v>
          </cell>
          <cell r="BT411" t="e">
            <v>#REF!</v>
          </cell>
          <cell r="BU411" t="e">
            <v>#REF!</v>
          </cell>
        </row>
        <row r="412">
          <cell r="A412" t="str">
            <v>21111RET</v>
          </cell>
          <cell r="B412">
            <v>21111</v>
          </cell>
          <cell r="C412" t="str">
            <v>RET</v>
          </cell>
          <cell r="D412" t="str">
            <v>Water Heating</v>
          </cell>
          <cell r="E412" t="str">
            <v>Pipe Insulation with Gas Water Heater</v>
          </cell>
          <cell r="F412" t="str">
            <v>C</v>
          </cell>
          <cell r="G412" t="str">
            <v>Y</v>
          </cell>
          <cell r="M412" t="str">
            <v>RET</v>
          </cell>
          <cell r="N412" t="str">
            <v>No pipe insulation</v>
          </cell>
          <cell r="O412">
            <v>2021</v>
          </cell>
          <cell r="P412">
            <v>2030</v>
          </cell>
          <cell r="Q412" t="str">
            <v>Small Office</v>
          </cell>
          <cell r="R412" t="str">
            <v>Per 3 linear feet of insulated piping</v>
          </cell>
          <cell r="S412">
            <v>0</v>
          </cell>
          <cell r="T412">
            <v>0</v>
          </cell>
          <cell r="U412">
            <v>0</v>
          </cell>
          <cell r="V412">
            <v>0.73571186440677971</v>
          </cell>
          <cell r="W412">
            <v>0.81300813008130079</v>
          </cell>
          <cell r="X412" t="str">
            <v>-</v>
          </cell>
          <cell r="Y412">
            <v>8</v>
          </cell>
          <cell r="Z412">
            <v>8</v>
          </cell>
          <cell r="AA412">
            <v>10.89</v>
          </cell>
          <cell r="AB412">
            <v>0</v>
          </cell>
          <cell r="AC412">
            <v>10.89</v>
          </cell>
          <cell r="AD412">
            <v>14.80199046236782</v>
          </cell>
          <cell r="AE412">
            <v>8</v>
          </cell>
          <cell r="AF412">
            <v>8</v>
          </cell>
          <cell r="AG412">
            <v>0</v>
          </cell>
          <cell r="AH412">
            <v>0</v>
          </cell>
          <cell r="AI412">
            <v>0</v>
          </cell>
          <cell r="AJ412">
            <v>0</v>
          </cell>
          <cell r="AK412">
            <v>0</v>
          </cell>
          <cell r="AL412" t="str">
            <v>-</v>
          </cell>
          <cell r="AM412" t="str">
            <v>-</v>
          </cell>
          <cell r="AN412" t="str">
            <v/>
          </cell>
          <cell r="AO412">
            <v>0</v>
          </cell>
          <cell r="AP412" t="str">
            <v>-</v>
          </cell>
          <cell r="AQ412">
            <v>0</v>
          </cell>
          <cell r="AR412" t="str">
            <v>-</v>
          </cell>
          <cell r="AS412">
            <v>0</v>
          </cell>
          <cell r="AT412" t="str">
            <v/>
          </cell>
          <cell r="AU412">
            <v>0</v>
          </cell>
          <cell r="AV412" t="str">
            <v>-</v>
          </cell>
          <cell r="AW412">
            <v>0</v>
          </cell>
          <cell r="AX412" t="str">
            <v>-</v>
          </cell>
          <cell r="AY412">
            <v>0</v>
          </cell>
          <cell r="AZ412" t="str">
            <v/>
          </cell>
          <cell r="BA412">
            <v>0</v>
          </cell>
          <cell r="BB412" t="str">
            <v>-</v>
          </cell>
          <cell r="BC412">
            <v>0</v>
          </cell>
          <cell r="BD412" t="str">
            <v>-</v>
          </cell>
          <cell r="BE412">
            <v>0</v>
          </cell>
          <cell r="BF412" t="str">
            <v/>
          </cell>
          <cell r="BG412">
            <v>0</v>
          </cell>
          <cell r="BH412" t="str">
            <v>-</v>
          </cell>
          <cell r="BI412">
            <v>0</v>
          </cell>
          <cell r="BJ412" t="str">
            <v>-</v>
          </cell>
          <cell r="BK412">
            <v>0</v>
          </cell>
          <cell r="BL412">
            <v>0</v>
          </cell>
          <cell r="BM412" t="str">
            <v>-</v>
          </cell>
          <cell r="BN412">
            <v>11</v>
          </cell>
          <cell r="BO412" t="str">
            <v/>
          </cell>
          <cell r="BP412">
            <v>0</v>
          </cell>
          <cell r="BQ412">
            <v>0</v>
          </cell>
          <cell r="BR412" t="str">
            <v>-</v>
          </cell>
          <cell r="BS412">
            <v>0</v>
          </cell>
          <cell r="BT412">
            <v>0</v>
          </cell>
          <cell r="BU412" t="str">
            <v>-</v>
          </cell>
        </row>
        <row r="413">
          <cell r="A413" t="str">
            <v>21112MD</v>
          </cell>
          <cell r="B413">
            <v>21112</v>
          </cell>
          <cell r="C413" t="str">
            <v>MD</v>
          </cell>
          <cell r="D413" t="str">
            <v>Water Heating</v>
          </cell>
          <cell r="E413" t="str">
            <v>Clothes Washer Gas WH</v>
          </cell>
          <cell r="F413" t="str">
            <v>C</v>
          </cell>
          <cell r="G413" t="str">
            <v>Y</v>
          </cell>
          <cell r="M413" t="str">
            <v>NC,RENO,REPL</v>
          </cell>
          <cell r="N413" t="str">
            <v>Existing Non-ENERGY STAR Clothes Washer</v>
          </cell>
          <cell r="O413">
            <v>2021</v>
          </cell>
          <cell r="P413">
            <v>2030</v>
          </cell>
          <cell r="Q413" t="str">
            <v>Small Retail</v>
          </cell>
          <cell r="R413" t="str">
            <v>per washer</v>
          </cell>
          <cell r="S413">
            <v>0</v>
          </cell>
          <cell r="T413">
            <v>0</v>
          </cell>
          <cell r="U413">
            <v>265</v>
          </cell>
          <cell r="V413">
            <v>374.87038389782413</v>
          </cell>
          <cell r="W413">
            <v>0.5975103734439835</v>
          </cell>
          <cell r="X413" t="str">
            <v>-</v>
          </cell>
          <cell r="Y413">
            <v>3</v>
          </cell>
          <cell r="Z413">
            <v>3</v>
          </cell>
          <cell r="AA413">
            <v>0</v>
          </cell>
          <cell r="AB413">
            <v>0</v>
          </cell>
          <cell r="AC413">
            <v>150</v>
          </cell>
          <cell r="AD413">
            <v>0</v>
          </cell>
          <cell r="AE413">
            <v>4</v>
          </cell>
          <cell r="AF413">
            <v>4</v>
          </cell>
          <cell r="AG413">
            <v>0</v>
          </cell>
          <cell r="AH413">
            <v>0</v>
          </cell>
          <cell r="AI413">
            <v>0</v>
          </cell>
          <cell r="AJ413">
            <v>0</v>
          </cell>
          <cell r="AK413">
            <v>0</v>
          </cell>
          <cell r="AL413" t="str">
            <v>-</v>
          </cell>
          <cell r="AM413" t="str">
            <v>-</v>
          </cell>
          <cell r="AN413" t="str">
            <v/>
          </cell>
          <cell r="AO413">
            <v>0</v>
          </cell>
          <cell r="AP413" t="str">
            <v>-</v>
          </cell>
          <cell r="AQ413">
            <v>0</v>
          </cell>
          <cell r="AR413" t="str">
            <v>-</v>
          </cell>
          <cell r="AS413">
            <v>0</v>
          </cell>
          <cell r="AT413" t="str">
            <v/>
          </cell>
          <cell r="AU413">
            <v>0</v>
          </cell>
          <cell r="AV413" t="str">
            <v>-</v>
          </cell>
          <cell r="AW413">
            <v>0</v>
          </cell>
          <cell r="AX413" t="str">
            <v>-</v>
          </cell>
          <cell r="AY413">
            <v>0</v>
          </cell>
          <cell r="AZ413" t="str">
            <v/>
          </cell>
          <cell r="BA413">
            <v>0</v>
          </cell>
          <cell r="BB413" t="str">
            <v>-</v>
          </cell>
          <cell r="BC413">
            <v>0</v>
          </cell>
          <cell r="BD413" t="str">
            <v>-</v>
          </cell>
          <cell r="BE413">
            <v>0</v>
          </cell>
          <cell r="BF413" t="str">
            <v/>
          </cell>
          <cell r="BG413">
            <v>0</v>
          </cell>
          <cell r="BH413" t="str">
            <v>-</v>
          </cell>
          <cell r="BI413">
            <v>0</v>
          </cell>
          <cell r="BJ413" t="str">
            <v>-</v>
          </cell>
          <cell r="BK413">
            <v>0</v>
          </cell>
          <cell r="BL413">
            <v>0</v>
          </cell>
          <cell r="BM413" t="str">
            <v>-</v>
          </cell>
          <cell r="BN413">
            <v>7.1</v>
          </cell>
          <cell r="BO413" t="str">
            <v/>
          </cell>
          <cell r="BP413">
            <v>0</v>
          </cell>
          <cell r="BQ413">
            <v>0</v>
          </cell>
          <cell r="BR413" t="str">
            <v>-</v>
          </cell>
          <cell r="BS413">
            <v>0</v>
          </cell>
          <cell r="BT413">
            <v>0</v>
          </cell>
          <cell r="BU413" t="str">
            <v>-</v>
          </cell>
        </row>
        <row r="414">
          <cell r="A414" t="str">
            <v>21113MD</v>
          </cell>
          <cell r="B414">
            <v>21113</v>
          </cell>
          <cell r="C414" t="str">
            <v>MD</v>
          </cell>
          <cell r="D414" t="str">
            <v>Water Heating</v>
          </cell>
          <cell r="E414" t="str">
            <v>Clothes Washer Gas WH</v>
          </cell>
          <cell r="F414" t="str">
            <v>C</v>
          </cell>
          <cell r="G414" t="str">
            <v>Y</v>
          </cell>
          <cell r="M414" t="str">
            <v>NC,RENO,REPL</v>
          </cell>
          <cell r="N414" t="str">
            <v>Existing Non-ENERGY STAR Clothes Washer</v>
          </cell>
          <cell r="O414">
            <v>2021</v>
          </cell>
          <cell r="P414">
            <v>2030</v>
          </cell>
          <cell r="Q414" t="str">
            <v>Small Retail</v>
          </cell>
          <cell r="R414" t="str">
            <v>per washer</v>
          </cell>
          <cell r="S414">
            <v>0</v>
          </cell>
          <cell r="T414">
            <v>0</v>
          </cell>
          <cell r="U414">
            <v>265</v>
          </cell>
          <cell r="V414">
            <v>374.87038389782413</v>
          </cell>
          <cell r="W414">
            <v>0.5975103734439835</v>
          </cell>
          <cell r="X414" t="str">
            <v>-</v>
          </cell>
          <cell r="Y414">
            <v>3</v>
          </cell>
          <cell r="Z414">
            <v>3</v>
          </cell>
          <cell r="AA414">
            <v>0</v>
          </cell>
          <cell r="AB414">
            <v>0</v>
          </cell>
          <cell r="AC414">
            <v>150</v>
          </cell>
          <cell r="AD414">
            <v>0</v>
          </cell>
          <cell r="AE414">
            <v>4</v>
          </cell>
          <cell r="AF414">
            <v>4</v>
          </cell>
          <cell r="AG414">
            <v>0</v>
          </cell>
          <cell r="AH414">
            <v>0</v>
          </cell>
          <cell r="AI414">
            <v>0</v>
          </cell>
          <cell r="AJ414">
            <v>0</v>
          </cell>
          <cell r="AK414">
            <v>0</v>
          </cell>
          <cell r="AL414" t="str">
            <v>-</v>
          </cell>
          <cell r="AM414" t="str">
            <v>-</v>
          </cell>
          <cell r="AN414" t="str">
            <v/>
          </cell>
          <cell r="AO414">
            <v>0</v>
          </cell>
          <cell r="AP414" t="str">
            <v>-</v>
          </cell>
          <cell r="AQ414">
            <v>0</v>
          </cell>
          <cell r="AR414" t="str">
            <v>-</v>
          </cell>
          <cell r="AS414">
            <v>0</v>
          </cell>
          <cell r="AT414" t="str">
            <v/>
          </cell>
          <cell r="AU414">
            <v>0</v>
          </cell>
          <cell r="AV414" t="str">
            <v>-</v>
          </cell>
          <cell r="AW414">
            <v>0</v>
          </cell>
          <cell r="AX414" t="str">
            <v>-</v>
          </cell>
          <cell r="AY414">
            <v>0</v>
          </cell>
          <cell r="AZ414" t="str">
            <v/>
          </cell>
          <cell r="BA414">
            <v>0</v>
          </cell>
          <cell r="BB414" t="str">
            <v>-</v>
          </cell>
          <cell r="BC414">
            <v>0</v>
          </cell>
          <cell r="BD414" t="str">
            <v>-</v>
          </cell>
          <cell r="BE414">
            <v>0</v>
          </cell>
          <cell r="BF414" t="str">
            <v/>
          </cell>
          <cell r="BG414">
            <v>0</v>
          </cell>
          <cell r="BH414" t="str">
            <v>-</v>
          </cell>
          <cell r="BI414">
            <v>0</v>
          </cell>
          <cell r="BJ414" t="str">
            <v>-</v>
          </cell>
          <cell r="BK414">
            <v>0</v>
          </cell>
          <cell r="BL414">
            <v>0</v>
          </cell>
          <cell r="BM414" t="str">
            <v>-</v>
          </cell>
          <cell r="BN414">
            <v>7.1</v>
          </cell>
          <cell r="BO414" t="str">
            <v/>
          </cell>
          <cell r="BP414">
            <v>0</v>
          </cell>
          <cell r="BQ414">
            <v>0</v>
          </cell>
          <cell r="BR414" t="str">
            <v>-</v>
          </cell>
          <cell r="BS414">
            <v>0</v>
          </cell>
          <cell r="BT414">
            <v>0</v>
          </cell>
          <cell r="BU414" t="str">
            <v>-</v>
          </cell>
        </row>
        <row r="415">
          <cell r="A415" t="str">
            <v>21114MD</v>
          </cell>
          <cell r="B415">
            <v>21114</v>
          </cell>
          <cell r="C415" t="str">
            <v>MD</v>
          </cell>
          <cell r="D415" t="str">
            <v>Water Heating</v>
          </cell>
          <cell r="E415" t="str">
            <v>Clothes Washer Elec WH</v>
          </cell>
          <cell r="F415" t="str">
            <v>C</v>
          </cell>
          <cell r="G415" t="str">
            <v>Y</v>
          </cell>
          <cell r="M415" t="str">
            <v>NC,RENO,REPL</v>
          </cell>
          <cell r="N415" t="str">
            <v>Existing Non-ENERGY STAR Clothes Washer</v>
          </cell>
          <cell r="O415">
            <v>2021</v>
          </cell>
          <cell r="P415">
            <v>2030</v>
          </cell>
          <cell r="Q415" t="str">
            <v>Small Retail</v>
          </cell>
          <cell r="R415" t="str">
            <v>per washer</v>
          </cell>
          <cell r="S415">
            <v>0</v>
          </cell>
          <cell r="T415">
            <v>0</v>
          </cell>
          <cell r="U415">
            <v>0</v>
          </cell>
          <cell r="V415">
            <v>0</v>
          </cell>
          <cell r="W415">
            <v>0</v>
          </cell>
          <cell r="X415" t="str">
            <v>-</v>
          </cell>
          <cell r="Y415">
            <v>3</v>
          </cell>
          <cell r="Z415">
            <v>3</v>
          </cell>
          <cell r="AA415">
            <v>0</v>
          </cell>
          <cell r="AB415">
            <v>0</v>
          </cell>
          <cell r="AC415">
            <v>0.4</v>
          </cell>
          <cell r="AD415">
            <v>0</v>
          </cell>
          <cell r="AE415">
            <v>4</v>
          </cell>
          <cell r="AF415">
            <v>4</v>
          </cell>
          <cell r="AG415">
            <v>0</v>
          </cell>
          <cell r="AH415">
            <v>0</v>
          </cell>
          <cell r="AI415">
            <v>0</v>
          </cell>
          <cell r="AJ415">
            <v>0</v>
          </cell>
          <cell r="AK415">
            <v>0</v>
          </cell>
          <cell r="AL415" t="str">
            <v>-</v>
          </cell>
          <cell r="AM415" t="str">
            <v>-</v>
          </cell>
          <cell r="AN415" t="str">
            <v/>
          </cell>
          <cell r="AO415">
            <v>0</v>
          </cell>
          <cell r="AP415" t="str">
            <v>-</v>
          </cell>
          <cell r="AQ415">
            <v>0</v>
          </cell>
          <cell r="AR415" t="str">
            <v>-</v>
          </cell>
          <cell r="AS415">
            <v>0</v>
          </cell>
          <cell r="AT415" t="str">
            <v/>
          </cell>
          <cell r="AU415">
            <v>0</v>
          </cell>
          <cell r="AV415" t="str">
            <v>-</v>
          </cell>
          <cell r="AW415">
            <v>0</v>
          </cell>
          <cell r="AX415" t="str">
            <v>-</v>
          </cell>
          <cell r="AY415">
            <v>0</v>
          </cell>
          <cell r="AZ415" t="str">
            <v/>
          </cell>
          <cell r="BA415">
            <v>0</v>
          </cell>
          <cell r="BB415" t="str">
            <v>-</v>
          </cell>
          <cell r="BC415">
            <v>0</v>
          </cell>
          <cell r="BD415" t="str">
            <v>-</v>
          </cell>
          <cell r="BE415">
            <v>0</v>
          </cell>
          <cell r="BF415" t="str">
            <v/>
          </cell>
          <cell r="BG415">
            <v>0</v>
          </cell>
          <cell r="BH415" t="str">
            <v>-</v>
          </cell>
          <cell r="BI415">
            <v>0</v>
          </cell>
          <cell r="BJ415" t="str">
            <v>-</v>
          </cell>
          <cell r="BK415">
            <v>0</v>
          </cell>
          <cell r="BL415">
            <v>0</v>
          </cell>
          <cell r="BM415" t="str">
            <v>-</v>
          </cell>
          <cell r="BN415" t="str">
            <v>ERP</v>
          </cell>
          <cell r="BO415" t="str">
            <v/>
          </cell>
          <cell r="BP415">
            <v>0</v>
          </cell>
          <cell r="BQ415">
            <v>0</v>
          </cell>
          <cell r="BR415" t="str">
            <v>-</v>
          </cell>
          <cell r="BS415">
            <v>0</v>
          </cell>
          <cell r="BT415">
            <v>0</v>
          </cell>
          <cell r="BU415" t="str">
            <v>-</v>
          </cell>
        </row>
        <row r="416">
          <cell r="A416" t="str">
            <v>21115MD</v>
          </cell>
          <cell r="B416">
            <v>21115</v>
          </cell>
          <cell r="C416" t="str">
            <v>MD</v>
          </cell>
          <cell r="D416" t="str">
            <v>Water Heating</v>
          </cell>
          <cell r="E416" t="str">
            <v>Clothes Washer Elec WH</v>
          </cell>
          <cell r="F416" t="str">
            <v>C</v>
          </cell>
          <cell r="G416" t="str">
            <v>Y</v>
          </cell>
          <cell r="M416" t="str">
            <v>NC,RENO,REPL</v>
          </cell>
          <cell r="N416" t="str">
            <v>Existing Non-ENERGY STAR Clothes Washer</v>
          </cell>
          <cell r="O416">
            <v>2021</v>
          </cell>
          <cell r="P416">
            <v>2030</v>
          </cell>
          <cell r="Q416" t="str">
            <v>Small Retail</v>
          </cell>
          <cell r="R416" t="str">
            <v>per washer</v>
          </cell>
          <cell r="S416">
            <v>0</v>
          </cell>
          <cell r="T416">
            <v>0</v>
          </cell>
          <cell r="U416">
            <v>0</v>
          </cell>
          <cell r="V416">
            <v>0</v>
          </cell>
          <cell r="W416">
            <v>0</v>
          </cell>
          <cell r="X416" t="str">
            <v>-</v>
          </cell>
          <cell r="Y416">
            <v>3</v>
          </cell>
          <cell r="Z416">
            <v>3</v>
          </cell>
          <cell r="AA416">
            <v>0</v>
          </cell>
          <cell r="AB416">
            <v>0</v>
          </cell>
          <cell r="AC416">
            <v>0.4</v>
          </cell>
          <cell r="AD416">
            <v>0</v>
          </cell>
          <cell r="AE416">
            <v>4</v>
          </cell>
          <cell r="AF416">
            <v>4</v>
          </cell>
          <cell r="AG416">
            <v>0</v>
          </cell>
          <cell r="AH416">
            <v>0</v>
          </cell>
          <cell r="AI416">
            <v>0</v>
          </cell>
          <cell r="AJ416">
            <v>0</v>
          </cell>
          <cell r="AK416">
            <v>0</v>
          </cell>
          <cell r="AL416" t="str">
            <v>-</v>
          </cell>
          <cell r="AM416" t="str">
            <v>-</v>
          </cell>
          <cell r="AN416" t="str">
            <v/>
          </cell>
          <cell r="AO416">
            <v>0</v>
          </cell>
          <cell r="AP416" t="str">
            <v>-</v>
          </cell>
          <cell r="AQ416">
            <v>0</v>
          </cell>
          <cell r="AR416" t="str">
            <v>-</v>
          </cell>
          <cell r="AS416">
            <v>0</v>
          </cell>
          <cell r="AT416" t="str">
            <v/>
          </cell>
          <cell r="AU416">
            <v>0</v>
          </cell>
          <cell r="AV416" t="str">
            <v>-</v>
          </cell>
          <cell r="AW416">
            <v>0</v>
          </cell>
          <cell r="AX416" t="str">
            <v>-</v>
          </cell>
          <cell r="AY416">
            <v>0</v>
          </cell>
          <cell r="AZ416" t="str">
            <v/>
          </cell>
          <cell r="BA416">
            <v>0</v>
          </cell>
          <cell r="BB416" t="str">
            <v>-</v>
          </cell>
          <cell r="BC416">
            <v>0</v>
          </cell>
          <cell r="BD416" t="str">
            <v>-</v>
          </cell>
          <cell r="BE416">
            <v>0</v>
          </cell>
          <cell r="BF416" t="str">
            <v/>
          </cell>
          <cell r="BG416">
            <v>0</v>
          </cell>
          <cell r="BH416" t="str">
            <v>-</v>
          </cell>
          <cell r="BI416">
            <v>0</v>
          </cell>
          <cell r="BJ416" t="str">
            <v>-</v>
          </cell>
          <cell r="BK416">
            <v>0</v>
          </cell>
          <cell r="BL416">
            <v>0</v>
          </cell>
          <cell r="BM416" t="str">
            <v>-</v>
          </cell>
          <cell r="BN416" t="str">
            <v>ERP</v>
          </cell>
          <cell r="BO416" t="str">
            <v/>
          </cell>
          <cell r="BP416">
            <v>0</v>
          </cell>
          <cell r="BQ416">
            <v>0</v>
          </cell>
          <cell r="BR416" t="str">
            <v>-</v>
          </cell>
          <cell r="BS416">
            <v>0</v>
          </cell>
          <cell r="BT416">
            <v>0</v>
          </cell>
          <cell r="BU416" t="str">
            <v>-</v>
          </cell>
        </row>
        <row r="417">
          <cell r="A417" t="str">
            <v>21116RET</v>
          </cell>
          <cell r="B417">
            <v>21116</v>
          </cell>
          <cell r="C417" t="str">
            <v>RET</v>
          </cell>
          <cell r="D417" t="str">
            <v>Water Heating</v>
          </cell>
          <cell r="E417" t="str">
            <v>Ozone Laundry</v>
          </cell>
          <cell r="F417" t="str">
            <v>C</v>
          </cell>
          <cell r="G417" t="str">
            <v>Y</v>
          </cell>
          <cell r="M417" t="str">
            <v>RET</v>
          </cell>
          <cell r="N417" t="str">
            <v>Laundry systems without ozone technology</v>
          </cell>
          <cell r="O417">
            <v>2021</v>
          </cell>
          <cell r="P417">
            <v>2030</v>
          </cell>
          <cell r="Q417" t="str">
            <v>Small Retail</v>
          </cell>
          <cell r="R417" t="str">
            <v>per lb capacity</v>
          </cell>
          <cell r="S417">
            <v>0</v>
          </cell>
          <cell r="T417">
            <v>0</v>
          </cell>
          <cell r="U417">
            <v>800</v>
          </cell>
          <cell r="V417">
            <v>695.46850882465787</v>
          </cell>
          <cell r="W417">
            <v>0.81</v>
          </cell>
          <cell r="X417" t="str">
            <v>-</v>
          </cell>
          <cell r="Y417">
            <v>42</v>
          </cell>
          <cell r="Z417">
            <v>42</v>
          </cell>
          <cell r="AA417">
            <v>79.84</v>
          </cell>
          <cell r="AB417">
            <v>0</v>
          </cell>
          <cell r="AC417">
            <v>79.84</v>
          </cell>
          <cell r="AD417">
            <v>0.11480030941290159</v>
          </cell>
          <cell r="AE417">
            <v>42</v>
          </cell>
          <cell r="AF417">
            <v>42</v>
          </cell>
          <cell r="AG417">
            <v>0</v>
          </cell>
          <cell r="AH417">
            <v>0</v>
          </cell>
          <cell r="AI417">
            <v>0</v>
          </cell>
          <cell r="AJ417">
            <v>0</v>
          </cell>
          <cell r="AK417">
            <v>0</v>
          </cell>
          <cell r="AL417" t="str">
            <v>-</v>
          </cell>
          <cell r="AM417" t="str">
            <v>-</v>
          </cell>
          <cell r="AN417" t="str">
            <v>Filters and check valve replacement</v>
          </cell>
          <cell r="AO417">
            <v>1</v>
          </cell>
          <cell r="AP417" t="str">
            <v>-</v>
          </cell>
          <cell r="AQ417">
            <v>0.79</v>
          </cell>
          <cell r="AR417" t="str">
            <v>-</v>
          </cell>
          <cell r="AS417">
            <v>1.135924905262929E-3</v>
          </cell>
          <cell r="AT417" t="str">
            <v/>
          </cell>
          <cell r="AU417">
            <v>0</v>
          </cell>
          <cell r="AV417" t="str">
            <v>-</v>
          </cell>
          <cell r="AW417">
            <v>0</v>
          </cell>
          <cell r="AX417" t="str">
            <v>-</v>
          </cell>
          <cell r="AY417">
            <v>0</v>
          </cell>
          <cell r="AZ417" t="str">
            <v/>
          </cell>
          <cell r="BA417">
            <v>0</v>
          </cell>
          <cell r="BB417" t="str">
            <v>-</v>
          </cell>
          <cell r="BC417">
            <v>0</v>
          </cell>
          <cell r="BD417" t="str">
            <v>-</v>
          </cell>
          <cell r="BE417">
            <v>0</v>
          </cell>
          <cell r="BF417" t="str">
            <v/>
          </cell>
          <cell r="BG417">
            <v>0</v>
          </cell>
          <cell r="BH417" t="str">
            <v>-</v>
          </cell>
          <cell r="BI417">
            <v>0</v>
          </cell>
          <cell r="BJ417" t="str">
            <v>-</v>
          </cell>
          <cell r="BK417">
            <v>0</v>
          </cell>
          <cell r="BL417">
            <v>0</v>
          </cell>
          <cell r="BM417" t="str">
            <v>-</v>
          </cell>
          <cell r="BN417">
            <v>10</v>
          </cell>
          <cell r="BO417" t="str">
            <v/>
          </cell>
          <cell r="BP417">
            <v>0</v>
          </cell>
          <cell r="BQ417">
            <v>0</v>
          </cell>
          <cell r="BR417" t="str">
            <v>-</v>
          </cell>
          <cell r="BS417">
            <v>1828</v>
          </cell>
          <cell r="BT417">
            <v>2.628443958000803</v>
          </cell>
          <cell r="BU417" t="str">
            <v>-</v>
          </cell>
        </row>
        <row r="418">
          <cell r="A418" t="str">
            <v>21117RET</v>
          </cell>
          <cell r="B418">
            <v>21117</v>
          </cell>
          <cell r="C418" t="str">
            <v>RET</v>
          </cell>
          <cell r="D418" t="str">
            <v>Water Heating</v>
          </cell>
          <cell r="E418" t="str">
            <v>Ozone Laundry</v>
          </cell>
          <cell r="F418" t="str">
            <v>C</v>
          </cell>
          <cell r="G418" t="str">
            <v>N</v>
          </cell>
          <cell r="M418" t="str">
            <v>RET</v>
          </cell>
          <cell r="N418" t="str">
            <v>Laundry systems without ozone technology</v>
          </cell>
          <cell r="O418">
            <v>2021</v>
          </cell>
          <cell r="P418">
            <v>2030</v>
          </cell>
          <cell r="Q418" t="str">
            <v>Small Retail</v>
          </cell>
          <cell r="R418" t="str">
            <v>per lb capacity</v>
          </cell>
          <cell r="S418">
            <v>0</v>
          </cell>
          <cell r="T418">
            <v>0</v>
          </cell>
          <cell r="U418">
            <v>800</v>
          </cell>
          <cell r="V418">
            <v>3.07</v>
          </cell>
          <cell r="W418">
            <v>0.81</v>
          </cell>
          <cell r="X418" t="str">
            <v>-</v>
          </cell>
          <cell r="Y418">
            <v>42</v>
          </cell>
          <cell r="Z418">
            <v>42</v>
          </cell>
          <cell r="AA418">
            <v>79.84</v>
          </cell>
          <cell r="AB418">
            <v>0</v>
          </cell>
          <cell r="AC418">
            <v>79.84</v>
          </cell>
          <cell r="AD418">
            <v>26.006514657980457</v>
          </cell>
          <cell r="AE418">
            <v>42</v>
          </cell>
          <cell r="AF418">
            <v>42</v>
          </cell>
          <cell r="AG418">
            <v>0</v>
          </cell>
          <cell r="AH418">
            <v>0</v>
          </cell>
          <cell r="AI418">
            <v>0</v>
          </cell>
          <cell r="AJ418">
            <v>0</v>
          </cell>
          <cell r="AK418">
            <v>0</v>
          </cell>
          <cell r="AL418" t="str">
            <v>-</v>
          </cell>
          <cell r="AM418" t="str">
            <v>-</v>
          </cell>
          <cell r="AN418" t="str">
            <v>Filters and check valve replacement</v>
          </cell>
          <cell r="AO418">
            <v>1</v>
          </cell>
          <cell r="AP418" t="str">
            <v>-</v>
          </cell>
          <cell r="AQ418">
            <v>0.79</v>
          </cell>
          <cell r="AR418" t="str">
            <v>-</v>
          </cell>
          <cell r="AS418">
            <v>0.25732899022801303</v>
          </cell>
          <cell r="AT418" t="str">
            <v/>
          </cell>
          <cell r="AU418">
            <v>0</v>
          </cell>
          <cell r="AV418" t="str">
            <v>-</v>
          </cell>
          <cell r="AW418">
            <v>0</v>
          </cell>
          <cell r="AX418" t="str">
            <v>-</v>
          </cell>
          <cell r="AY418">
            <v>0</v>
          </cell>
          <cell r="AZ418" t="str">
            <v/>
          </cell>
          <cell r="BA418">
            <v>0</v>
          </cell>
          <cell r="BB418" t="str">
            <v>-</v>
          </cell>
          <cell r="BC418">
            <v>0</v>
          </cell>
          <cell r="BD418" t="str">
            <v>-</v>
          </cell>
          <cell r="BE418">
            <v>0</v>
          </cell>
          <cell r="BF418" t="str">
            <v/>
          </cell>
          <cell r="BG418">
            <v>0</v>
          </cell>
          <cell r="BH418" t="str">
            <v>-</v>
          </cell>
          <cell r="BI418">
            <v>0</v>
          </cell>
          <cell r="BJ418" t="str">
            <v>-</v>
          </cell>
          <cell r="BK418">
            <v>0</v>
          </cell>
          <cell r="BL418">
            <v>0</v>
          </cell>
          <cell r="BM418" t="str">
            <v>-</v>
          </cell>
          <cell r="BN418">
            <v>10</v>
          </cell>
          <cell r="BO418" t="str">
            <v/>
          </cell>
          <cell r="BP418">
            <v>2.93</v>
          </cell>
          <cell r="BQ418">
            <v>0.95439739413680791</v>
          </cell>
          <cell r="BR418" t="str">
            <v>-</v>
          </cell>
          <cell r="BS418">
            <v>1828</v>
          </cell>
          <cell r="BT418">
            <v>595.43973941368085</v>
          </cell>
          <cell r="BU418" t="str">
            <v>-</v>
          </cell>
        </row>
        <row r="419">
          <cell r="A419" t="str">
            <v>21118MD</v>
          </cell>
          <cell r="B419">
            <v>21118</v>
          </cell>
          <cell r="C419" t="str">
            <v>MD</v>
          </cell>
          <cell r="D419" t="e">
            <v>#REF!</v>
          </cell>
          <cell r="E419" t="e">
            <v>#REF!</v>
          </cell>
          <cell r="F419" t="e">
            <v>#REF!</v>
          </cell>
          <cell r="G419" t="str">
            <v>Y</v>
          </cell>
          <cell r="M419" t="e">
            <v>#REF!</v>
          </cell>
          <cell r="N419" t="e">
            <v>#REF!</v>
          </cell>
          <cell r="O419" t="e">
            <v>#REF!</v>
          </cell>
          <cell r="P419" t="e">
            <v>#REF!</v>
          </cell>
          <cell r="Q419" t="e">
            <v>#REF!</v>
          </cell>
          <cell r="R419" t="e">
            <v>#REF!</v>
          </cell>
          <cell r="S419" t="e">
            <v>#REF!</v>
          </cell>
          <cell r="T419" t="e">
            <v>#REF!</v>
          </cell>
          <cell r="U419" t="e">
            <v>#REF!</v>
          </cell>
          <cell r="V419" t="e">
            <v>#REF!</v>
          </cell>
          <cell r="W419" t="e">
            <v>#REF!</v>
          </cell>
          <cell r="X419" t="e">
            <v>#REF!</v>
          </cell>
          <cell r="Y419" t="e">
            <v>#REF!</v>
          </cell>
          <cell r="Z419" t="e">
            <v>#REF!</v>
          </cell>
          <cell r="AA419" t="e">
            <v>#REF!</v>
          </cell>
          <cell r="AB419" t="e">
            <v>#REF!</v>
          </cell>
          <cell r="AC419" t="e">
            <v>#REF!</v>
          </cell>
          <cell r="AD419" t="e">
            <v>#REF!</v>
          </cell>
          <cell r="AE419" t="e">
            <v>#REF!</v>
          </cell>
          <cell r="AF419" t="e">
            <v>#REF!</v>
          </cell>
          <cell r="AG419" t="e">
            <v>#REF!</v>
          </cell>
          <cell r="AH419" t="e">
            <v>#REF!</v>
          </cell>
          <cell r="AI419" t="e">
            <v>#REF!</v>
          </cell>
          <cell r="AJ419" t="e">
            <v>#REF!</v>
          </cell>
          <cell r="AK419" t="e">
            <v>#REF!</v>
          </cell>
          <cell r="AL419" t="e">
            <v>#REF!</v>
          </cell>
          <cell r="AM419" t="e">
            <v>#REF!</v>
          </cell>
          <cell r="AN419" t="e">
            <v>#REF!</v>
          </cell>
          <cell r="AO419" t="e">
            <v>#REF!</v>
          </cell>
          <cell r="AP419" t="e">
            <v>#REF!</v>
          </cell>
          <cell r="AQ419" t="e">
            <v>#REF!</v>
          </cell>
          <cell r="AR419" t="e">
            <v>#REF!</v>
          </cell>
          <cell r="AS419" t="e">
            <v>#REF!</v>
          </cell>
          <cell r="AT419" t="e">
            <v>#REF!</v>
          </cell>
          <cell r="AU419" t="e">
            <v>#REF!</v>
          </cell>
          <cell r="AV419" t="e">
            <v>#REF!</v>
          </cell>
          <cell r="AW419" t="e">
            <v>#REF!</v>
          </cell>
          <cell r="AX419" t="e">
            <v>#REF!</v>
          </cell>
          <cell r="AY419" t="e">
            <v>#REF!</v>
          </cell>
          <cell r="AZ419" t="e">
            <v>#REF!</v>
          </cell>
          <cell r="BA419" t="e">
            <v>#REF!</v>
          </cell>
          <cell r="BB419" t="e">
            <v>#REF!</v>
          </cell>
          <cell r="BC419" t="e">
            <v>#REF!</v>
          </cell>
          <cell r="BD419" t="e">
            <v>#REF!</v>
          </cell>
          <cell r="BE419" t="e">
            <v>#REF!</v>
          </cell>
          <cell r="BF419" t="e">
            <v>#REF!</v>
          </cell>
          <cell r="BG419" t="e">
            <v>#REF!</v>
          </cell>
          <cell r="BH419" t="e">
            <v>#REF!</v>
          </cell>
          <cell r="BI419" t="e">
            <v>#REF!</v>
          </cell>
          <cell r="BJ419" t="e">
            <v>#REF!</v>
          </cell>
          <cell r="BK419" t="e">
            <v>#REF!</v>
          </cell>
          <cell r="BL419" t="e">
            <v>#REF!</v>
          </cell>
          <cell r="BM419" t="e">
            <v>#REF!</v>
          </cell>
          <cell r="BN419" t="e">
            <v>#REF!</v>
          </cell>
          <cell r="BO419" t="e">
            <v>#REF!</v>
          </cell>
          <cell r="BP419" t="e">
            <v>#REF!</v>
          </cell>
          <cell r="BQ419" t="e">
            <v>#REF!</v>
          </cell>
          <cell r="BR419" t="e">
            <v>#REF!</v>
          </cell>
          <cell r="BS419" t="e">
            <v>#REF!</v>
          </cell>
          <cell r="BT419" t="e">
            <v>#REF!</v>
          </cell>
          <cell r="BU419" t="e">
            <v>#REF!</v>
          </cell>
        </row>
        <row r="420">
          <cell r="A420" t="str">
            <v>21119MD</v>
          </cell>
          <cell r="B420">
            <v>21119</v>
          </cell>
          <cell r="C420" t="str">
            <v>MD</v>
          </cell>
          <cell r="D420" t="e">
            <v>#REF!</v>
          </cell>
          <cell r="E420" t="e">
            <v>#REF!</v>
          </cell>
          <cell r="F420" t="e">
            <v>#REF!</v>
          </cell>
          <cell r="G420" t="str">
            <v>Y</v>
          </cell>
          <cell r="M420" t="e">
            <v>#REF!</v>
          </cell>
          <cell r="N420" t="e">
            <v>#REF!</v>
          </cell>
          <cell r="O420" t="e">
            <v>#REF!</v>
          </cell>
          <cell r="P420" t="e">
            <v>#REF!</v>
          </cell>
          <cell r="Q420" t="e">
            <v>#REF!</v>
          </cell>
          <cell r="R420" t="e">
            <v>#REF!</v>
          </cell>
          <cell r="S420" t="e">
            <v>#REF!</v>
          </cell>
          <cell r="T420" t="e">
            <v>#REF!</v>
          </cell>
          <cell r="U420" t="e">
            <v>#REF!</v>
          </cell>
          <cell r="V420" t="e">
            <v>#REF!</v>
          </cell>
          <cell r="W420" t="e">
            <v>#REF!</v>
          </cell>
          <cell r="X420" t="e">
            <v>#REF!</v>
          </cell>
          <cell r="Y420" t="e">
            <v>#REF!</v>
          </cell>
          <cell r="Z420" t="e">
            <v>#REF!</v>
          </cell>
          <cell r="AA420" t="e">
            <v>#REF!</v>
          </cell>
          <cell r="AB420" t="e">
            <v>#REF!</v>
          </cell>
          <cell r="AC420" t="e">
            <v>#REF!</v>
          </cell>
          <cell r="AD420" t="e">
            <v>#REF!</v>
          </cell>
          <cell r="AE420" t="e">
            <v>#REF!</v>
          </cell>
          <cell r="AF420" t="e">
            <v>#REF!</v>
          </cell>
          <cell r="AG420" t="e">
            <v>#REF!</v>
          </cell>
          <cell r="AH420" t="e">
            <v>#REF!</v>
          </cell>
          <cell r="AI420" t="e">
            <v>#REF!</v>
          </cell>
          <cell r="AJ420" t="e">
            <v>#REF!</v>
          </cell>
          <cell r="AK420" t="e">
            <v>#REF!</v>
          </cell>
          <cell r="AL420" t="e">
            <v>#REF!</v>
          </cell>
          <cell r="AM420" t="e">
            <v>#REF!</v>
          </cell>
          <cell r="AN420" t="e">
            <v>#REF!</v>
          </cell>
          <cell r="AO420" t="e">
            <v>#REF!</v>
          </cell>
          <cell r="AP420" t="e">
            <v>#REF!</v>
          </cell>
          <cell r="AQ420" t="e">
            <v>#REF!</v>
          </cell>
          <cell r="AR420" t="e">
            <v>#REF!</v>
          </cell>
          <cell r="AS420" t="e">
            <v>#REF!</v>
          </cell>
          <cell r="AT420" t="e">
            <v>#REF!</v>
          </cell>
          <cell r="AU420" t="e">
            <v>#REF!</v>
          </cell>
          <cell r="AV420" t="e">
            <v>#REF!</v>
          </cell>
          <cell r="AW420" t="e">
            <v>#REF!</v>
          </cell>
          <cell r="AX420" t="e">
            <v>#REF!</v>
          </cell>
          <cell r="AY420" t="e">
            <v>#REF!</v>
          </cell>
          <cell r="AZ420" t="e">
            <v>#REF!</v>
          </cell>
          <cell r="BA420" t="e">
            <v>#REF!</v>
          </cell>
          <cell r="BB420" t="e">
            <v>#REF!</v>
          </cell>
          <cell r="BC420" t="e">
            <v>#REF!</v>
          </cell>
          <cell r="BD420" t="e">
            <v>#REF!</v>
          </cell>
          <cell r="BE420" t="e">
            <v>#REF!</v>
          </cell>
          <cell r="BF420" t="e">
            <v>#REF!</v>
          </cell>
          <cell r="BG420" t="e">
            <v>#REF!</v>
          </cell>
          <cell r="BH420" t="e">
            <v>#REF!</v>
          </cell>
          <cell r="BI420" t="e">
            <v>#REF!</v>
          </cell>
          <cell r="BJ420" t="e">
            <v>#REF!</v>
          </cell>
          <cell r="BK420" t="e">
            <v>#REF!</v>
          </cell>
          <cell r="BL420" t="e">
            <v>#REF!</v>
          </cell>
          <cell r="BM420" t="e">
            <v>#REF!</v>
          </cell>
          <cell r="BN420" t="e">
            <v>#REF!</v>
          </cell>
          <cell r="BO420" t="e">
            <v>#REF!</v>
          </cell>
          <cell r="BP420" t="e">
            <v>#REF!</v>
          </cell>
          <cell r="BQ420" t="e">
            <v>#REF!</v>
          </cell>
          <cell r="BR420" t="e">
            <v>#REF!</v>
          </cell>
          <cell r="BS420" t="e">
            <v>#REF!</v>
          </cell>
          <cell r="BT420" t="e">
            <v>#REF!</v>
          </cell>
          <cell r="BU420" t="e">
            <v>#REF!</v>
          </cell>
        </row>
        <row r="421">
          <cell r="A421" t="str">
            <v>21201RET</v>
          </cell>
          <cell r="B421">
            <v>21201</v>
          </cell>
          <cell r="C421" t="str">
            <v>RET</v>
          </cell>
          <cell r="D421" t="str">
            <v>Drives</v>
          </cell>
          <cell r="E421" t="str">
            <v>Industrial Process, Drives Improvements</v>
          </cell>
          <cell r="F421" t="str">
            <v>C</v>
          </cell>
          <cell r="G421" t="str">
            <v>Y</v>
          </cell>
          <cell r="M421" t="str">
            <v>RET</v>
          </cell>
          <cell r="N421" t="str">
            <v>Existing industrial drive systems</v>
          </cell>
          <cell r="O421">
            <v>2021</v>
          </cell>
          <cell r="P421">
            <v>2030</v>
          </cell>
          <cell r="Q421" t="str">
            <v>Large Industrial Manufacturing</v>
          </cell>
          <cell r="R421" t="str">
            <v/>
          </cell>
          <cell r="S421">
            <v>0</v>
          </cell>
          <cell r="T421">
            <v>0</v>
          </cell>
          <cell r="U421">
            <v>0</v>
          </cell>
          <cell r="V421">
            <v>0</v>
          </cell>
          <cell r="W421">
            <v>0.32500000000000001</v>
          </cell>
          <cell r="X421" t="str">
            <v>-</v>
          </cell>
          <cell r="Y421">
            <v>44</v>
          </cell>
          <cell r="Z421">
            <v>44</v>
          </cell>
          <cell r="AA421">
            <v>0</v>
          </cell>
          <cell r="AB421">
            <v>0</v>
          </cell>
          <cell r="AC421">
            <v>0</v>
          </cell>
          <cell r="AD421">
            <v>0.59</v>
          </cell>
          <cell r="AE421">
            <v>44</v>
          </cell>
          <cell r="AF421">
            <v>44</v>
          </cell>
          <cell r="AG421">
            <v>0</v>
          </cell>
          <cell r="AH421">
            <v>0</v>
          </cell>
          <cell r="AI421">
            <v>0</v>
          </cell>
          <cell r="AJ421">
            <v>0</v>
          </cell>
          <cell r="AK421">
            <v>0</v>
          </cell>
          <cell r="AL421" t="str">
            <v>-</v>
          </cell>
          <cell r="AM421" t="str">
            <v>-</v>
          </cell>
          <cell r="AN421" t="str">
            <v/>
          </cell>
          <cell r="AO421">
            <v>0</v>
          </cell>
          <cell r="AP421" t="str">
            <v>-</v>
          </cell>
          <cell r="AQ421">
            <v>0</v>
          </cell>
          <cell r="AR421" t="str">
            <v>-</v>
          </cell>
          <cell r="AS421">
            <v>0</v>
          </cell>
          <cell r="AT421" t="str">
            <v/>
          </cell>
          <cell r="AU421">
            <v>0</v>
          </cell>
          <cell r="AV421" t="str">
            <v>-</v>
          </cell>
          <cell r="AW421">
            <v>0</v>
          </cell>
          <cell r="AX421" t="str">
            <v>-</v>
          </cell>
          <cell r="AY421">
            <v>0</v>
          </cell>
          <cell r="AZ421" t="str">
            <v/>
          </cell>
          <cell r="BA421">
            <v>0</v>
          </cell>
          <cell r="BB421" t="str">
            <v>-</v>
          </cell>
          <cell r="BC421">
            <v>0</v>
          </cell>
          <cell r="BD421" t="str">
            <v>-</v>
          </cell>
          <cell r="BE421">
            <v>0</v>
          </cell>
          <cell r="BF421" t="str">
            <v/>
          </cell>
          <cell r="BG421">
            <v>0</v>
          </cell>
          <cell r="BH421" t="str">
            <v>-</v>
          </cell>
          <cell r="BI421">
            <v>0</v>
          </cell>
          <cell r="BJ421" t="str">
            <v>-</v>
          </cell>
          <cell r="BK421">
            <v>0</v>
          </cell>
          <cell r="BL421">
            <v>0</v>
          </cell>
          <cell r="BM421" t="str">
            <v>-</v>
          </cell>
          <cell r="BN421">
            <v>15</v>
          </cell>
          <cell r="BO421" t="str">
            <v/>
          </cell>
          <cell r="BP421">
            <v>0</v>
          </cell>
          <cell r="BQ421">
            <v>0</v>
          </cell>
          <cell r="BR421" t="str">
            <v>-</v>
          </cell>
          <cell r="BS421">
            <v>0</v>
          </cell>
          <cell r="BT421">
            <v>0</v>
          </cell>
          <cell r="BU421" t="str">
            <v>-</v>
          </cell>
        </row>
        <row r="422">
          <cell r="A422" t="str">
            <v>21301RET</v>
          </cell>
          <cell r="B422">
            <v>21301</v>
          </cell>
          <cell r="C422" t="str">
            <v>RET</v>
          </cell>
          <cell r="D422" t="str">
            <v>Motors and VFDs</v>
          </cell>
          <cell r="E422" t="str">
            <v>Industrial Process, Motors and VFDs Improvements</v>
          </cell>
          <cell r="F422" t="str">
            <v>C</v>
          </cell>
          <cell r="G422" t="str">
            <v>Y</v>
          </cell>
          <cell r="M422" t="str">
            <v>RET</v>
          </cell>
          <cell r="N422" t="str">
            <v>Existing industrial fan/blower systems</v>
          </cell>
          <cell r="O422">
            <v>2021</v>
          </cell>
          <cell r="P422">
            <v>2030</v>
          </cell>
          <cell r="Q422" t="str">
            <v>Large Industrial Manufacturing</v>
          </cell>
          <cell r="R422" t="str">
            <v/>
          </cell>
          <cell r="S422">
            <v>0</v>
          </cell>
          <cell r="T422">
            <v>0</v>
          </cell>
          <cell r="U422">
            <v>0</v>
          </cell>
          <cell r="V422">
            <v>0</v>
          </cell>
          <cell r="W422">
            <v>0.35679999999999995</v>
          </cell>
          <cell r="X422" t="str">
            <v>-</v>
          </cell>
          <cell r="Y422">
            <v>44</v>
          </cell>
          <cell r="Z422">
            <v>44</v>
          </cell>
          <cell r="AA422">
            <v>0</v>
          </cell>
          <cell r="AB422">
            <v>0</v>
          </cell>
          <cell r="AC422">
            <v>0</v>
          </cell>
          <cell r="AD422">
            <v>0.41</v>
          </cell>
          <cell r="AE422">
            <v>44</v>
          </cell>
          <cell r="AF422">
            <v>44</v>
          </cell>
          <cell r="AG422">
            <v>0</v>
          </cell>
          <cell r="AH422">
            <v>0</v>
          </cell>
          <cell r="AI422">
            <v>0</v>
          </cell>
          <cell r="AJ422">
            <v>0</v>
          </cell>
          <cell r="AK422">
            <v>0</v>
          </cell>
          <cell r="AL422" t="str">
            <v>-</v>
          </cell>
          <cell r="AM422" t="str">
            <v>-</v>
          </cell>
          <cell r="AN422" t="str">
            <v/>
          </cell>
          <cell r="AO422">
            <v>0</v>
          </cell>
          <cell r="AP422" t="str">
            <v>-</v>
          </cell>
          <cell r="AQ422">
            <v>0</v>
          </cell>
          <cell r="AR422" t="str">
            <v>-</v>
          </cell>
          <cell r="AS422">
            <v>0</v>
          </cell>
          <cell r="AT422" t="str">
            <v/>
          </cell>
          <cell r="AU422">
            <v>0</v>
          </cell>
          <cell r="AV422" t="str">
            <v>-</v>
          </cell>
          <cell r="AW422">
            <v>0</v>
          </cell>
          <cell r="AX422" t="str">
            <v>-</v>
          </cell>
          <cell r="AY422">
            <v>0</v>
          </cell>
          <cell r="AZ422" t="str">
            <v/>
          </cell>
          <cell r="BA422">
            <v>0</v>
          </cell>
          <cell r="BB422" t="str">
            <v>-</v>
          </cell>
          <cell r="BC422">
            <v>0</v>
          </cell>
          <cell r="BD422" t="str">
            <v>-</v>
          </cell>
          <cell r="BE422">
            <v>0</v>
          </cell>
          <cell r="BF422" t="str">
            <v/>
          </cell>
          <cell r="BG422">
            <v>0</v>
          </cell>
          <cell r="BH422" t="str">
            <v>-</v>
          </cell>
          <cell r="BI422">
            <v>0</v>
          </cell>
          <cell r="BJ422" t="str">
            <v>-</v>
          </cell>
          <cell r="BK422">
            <v>0</v>
          </cell>
          <cell r="BL422">
            <v>0</v>
          </cell>
          <cell r="BM422" t="str">
            <v>-</v>
          </cell>
          <cell r="BN422">
            <v>15</v>
          </cell>
          <cell r="BO422" t="str">
            <v/>
          </cell>
          <cell r="BP422">
            <v>0</v>
          </cell>
          <cell r="BQ422">
            <v>0</v>
          </cell>
          <cell r="BR422" t="str">
            <v>-</v>
          </cell>
          <cell r="BS422">
            <v>0</v>
          </cell>
          <cell r="BT422">
            <v>0</v>
          </cell>
          <cell r="BU422" t="str">
            <v>-</v>
          </cell>
        </row>
        <row r="423">
          <cell r="A423" t="str">
            <v>21401RET</v>
          </cell>
          <cell r="B423">
            <v>21401</v>
          </cell>
          <cell r="C423" t="str">
            <v>RET</v>
          </cell>
          <cell r="D423" t="str">
            <v>Compressed Air Systems</v>
          </cell>
          <cell r="E423" t="str">
            <v>Industrial Process, Compressed Air Systems Improvements</v>
          </cell>
          <cell r="F423" t="str">
            <v>C</v>
          </cell>
          <cell r="G423" t="str">
            <v>Y</v>
          </cell>
          <cell r="M423" t="str">
            <v>RET</v>
          </cell>
          <cell r="N423" t="str">
            <v>Existing industrial compressed air systems</v>
          </cell>
          <cell r="O423">
            <v>2021</v>
          </cell>
          <cell r="P423">
            <v>2030</v>
          </cell>
          <cell r="Q423" t="str">
            <v>Large Industrial Manufacturing</v>
          </cell>
          <cell r="R423" t="str">
            <v/>
          </cell>
          <cell r="S423">
            <v>0</v>
          </cell>
          <cell r="T423">
            <v>0</v>
          </cell>
          <cell r="U423">
            <v>0</v>
          </cell>
          <cell r="V423">
            <v>0</v>
          </cell>
          <cell r="W423">
            <v>0.45</v>
          </cell>
          <cell r="X423" t="str">
            <v>-</v>
          </cell>
          <cell r="Y423">
            <v>44</v>
          </cell>
          <cell r="Z423">
            <v>44</v>
          </cell>
          <cell r="AA423">
            <v>0</v>
          </cell>
          <cell r="AB423">
            <v>0</v>
          </cell>
          <cell r="AC423">
            <v>0</v>
          </cell>
          <cell r="AD423">
            <v>0.35</v>
          </cell>
          <cell r="AE423">
            <v>44</v>
          </cell>
          <cell r="AF423">
            <v>44</v>
          </cell>
          <cell r="AG423">
            <v>0</v>
          </cell>
          <cell r="AH423">
            <v>0</v>
          </cell>
          <cell r="AI423">
            <v>0</v>
          </cell>
          <cell r="AJ423">
            <v>0</v>
          </cell>
          <cell r="AK423">
            <v>0</v>
          </cell>
          <cell r="AL423" t="str">
            <v>-</v>
          </cell>
          <cell r="AM423" t="str">
            <v>-</v>
          </cell>
          <cell r="AN423" t="str">
            <v/>
          </cell>
          <cell r="AO423">
            <v>0</v>
          </cell>
          <cell r="AP423" t="str">
            <v>-</v>
          </cell>
          <cell r="AQ423">
            <v>0</v>
          </cell>
          <cell r="AR423" t="str">
            <v>-</v>
          </cell>
          <cell r="AS423">
            <v>0</v>
          </cell>
          <cell r="AT423" t="str">
            <v/>
          </cell>
          <cell r="AU423">
            <v>0</v>
          </cell>
          <cell r="AV423" t="str">
            <v>-</v>
          </cell>
          <cell r="AW423">
            <v>0</v>
          </cell>
          <cell r="AX423" t="str">
            <v>-</v>
          </cell>
          <cell r="AY423">
            <v>0</v>
          </cell>
          <cell r="AZ423" t="str">
            <v/>
          </cell>
          <cell r="BA423">
            <v>0</v>
          </cell>
          <cell r="BB423" t="str">
            <v>-</v>
          </cell>
          <cell r="BC423">
            <v>0</v>
          </cell>
          <cell r="BD423" t="str">
            <v>-</v>
          </cell>
          <cell r="BE423">
            <v>0</v>
          </cell>
          <cell r="BF423" t="str">
            <v/>
          </cell>
          <cell r="BG423">
            <v>0</v>
          </cell>
          <cell r="BH423" t="str">
            <v>-</v>
          </cell>
          <cell r="BI423">
            <v>0</v>
          </cell>
          <cell r="BJ423" t="str">
            <v>-</v>
          </cell>
          <cell r="BK423">
            <v>0</v>
          </cell>
          <cell r="BL423">
            <v>0</v>
          </cell>
          <cell r="BM423" t="str">
            <v>-</v>
          </cell>
          <cell r="BN423">
            <v>15</v>
          </cell>
          <cell r="BO423" t="str">
            <v/>
          </cell>
          <cell r="BP423">
            <v>0</v>
          </cell>
          <cell r="BQ423">
            <v>0</v>
          </cell>
          <cell r="BR423" t="str">
            <v>-</v>
          </cell>
          <cell r="BS423">
            <v>0</v>
          </cell>
          <cell r="BT423">
            <v>0</v>
          </cell>
          <cell r="BU423" t="str">
            <v>-</v>
          </cell>
        </row>
        <row r="424">
          <cell r="A424" t="str">
            <v>21501RET</v>
          </cell>
          <cell r="B424">
            <v>21501</v>
          </cell>
          <cell r="C424" t="str">
            <v>RET</v>
          </cell>
          <cell r="D424" t="str">
            <v>Process Cooling and Refrigeration</v>
          </cell>
          <cell r="E424" t="str">
            <v>Industrial Process, Process Cooling and Refrigeration Improvements</v>
          </cell>
          <cell r="F424" t="str">
            <v>C</v>
          </cell>
          <cell r="G424" t="str">
            <v>Y</v>
          </cell>
          <cell r="M424" t="str">
            <v>RET</v>
          </cell>
          <cell r="N424" t="str">
            <v>Existing industrial process cooling systems</v>
          </cell>
          <cell r="O424">
            <v>2021</v>
          </cell>
          <cell r="P424">
            <v>2030</v>
          </cell>
          <cell r="Q424" t="str">
            <v>Large Industrial Manufacturing</v>
          </cell>
          <cell r="R424" t="str">
            <v/>
          </cell>
          <cell r="S424">
            <v>0</v>
          </cell>
          <cell r="T424">
            <v>0</v>
          </cell>
          <cell r="U424">
            <v>0</v>
          </cell>
          <cell r="V424">
            <v>0</v>
          </cell>
          <cell r="W424">
            <v>0.55000000000000004</v>
          </cell>
          <cell r="X424" t="str">
            <v>-</v>
          </cell>
          <cell r="Y424">
            <v>44</v>
          </cell>
          <cell r="Z424">
            <v>44</v>
          </cell>
          <cell r="AA424">
            <v>0</v>
          </cell>
          <cell r="AB424">
            <v>0</v>
          </cell>
          <cell r="AC424">
            <v>0</v>
          </cell>
          <cell r="AD424">
            <v>0.17275749016828565</v>
          </cell>
          <cell r="AE424">
            <v>44</v>
          </cell>
          <cell r="AF424">
            <v>44</v>
          </cell>
          <cell r="AG424">
            <v>0</v>
          </cell>
          <cell r="AH424">
            <v>0</v>
          </cell>
          <cell r="AI424">
            <v>0</v>
          </cell>
          <cell r="AJ424">
            <v>0</v>
          </cell>
          <cell r="AK424">
            <v>0</v>
          </cell>
          <cell r="AL424" t="str">
            <v>-</v>
          </cell>
          <cell r="AM424" t="str">
            <v>-</v>
          </cell>
          <cell r="AN424" t="str">
            <v/>
          </cell>
          <cell r="AO424">
            <v>0</v>
          </cell>
          <cell r="AP424" t="str">
            <v>-</v>
          </cell>
          <cell r="AQ424">
            <v>0</v>
          </cell>
          <cell r="AR424" t="str">
            <v>-</v>
          </cell>
          <cell r="AS424">
            <v>0</v>
          </cell>
          <cell r="AT424" t="str">
            <v/>
          </cell>
          <cell r="AU424">
            <v>0</v>
          </cell>
          <cell r="AV424" t="str">
            <v>-</v>
          </cell>
          <cell r="AW424">
            <v>0</v>
          </cell>
          <cell r="AX424" t="str">
            <v>-</v>
          </cell>
          <cell r="AY424">
            <v>0</v>
          </cell>
          <cell r="AZ424" t="str">
            <v/>
          </cell>
          <cell r="BA424">
            <v>0</v>
          </cell>
          <cell r="BB424" t="str">
            <v>-</v>
          </cell>
          <cell r="BC424">
            <v>0</v>
          </cell>
          <cell r="BD424" t="str">
            <v>-</v>
          </cell>
          <cell r="BE424">
            <v>0</v>
          </cell>
          <cell r="BF424" t="str">
            <v/>
          </cell>
          <cell r="BG424">
            <v>0</v>
          </cell>
          <cell r="BH424" t="str">
            <v>-</v>
          </cell>
          <cell r="BI424">
            <v>0</v>
          </cell>
          <cell r="BJ424" t="str">
            <v>-</v>
          </cell>
          <cell r="BK424">
            <v>0</v>
          </cell>
          <cell r="BL424">
            <v>0</v>
          </cell>
          <cell r="BM424" t="str">
            <v>-</v>
          </cell>
          <cell r="BN424">
            <v>15</v>
          </cell>
          <cell r="BO424" t="str">
            <v/>
          </cell>
          <cell r="BP424">
            <v>0</v>
          </cell>
          <cell r="BQ424">
            <v>0</v>
          </cell>
          <cell r="BR424" t="str">
            <v>-</v>
          </cell>
          <cell r="BS424">
            <v>0</v>
          </cell>
          <cell r="BT424">
            <v>0</v>
          </cell>
          <cell r="BU424" t="str">
            <v>-</v>
          </cell>
        </row>
        <row r="425">
          <cell r="A425" t="str">
            <v>21601RET</v>
          </cell>
          <cell r="B425">
            <v>21601</v>
          </cell>
          <cell r="C425" t="str">
            <v>RET</v>
          </cell>
          <cell r="D425" t="str">
            <v>Process Heating</v>
          </cell>
          <cell r="E425" t="str">
            <v>Industrial Process, Process Heating Improvements</v>
          </cell>
          <cell r="F425" t="str">
            <v>C</v>
          </cell>
          <cell r="G425" t="str">
            <v>Y</v>
          </cell>
          <cell r="M425" t="str">
            <v>RET</v>
          </cell>
          <cell r="N425" t="str">
            <v>Existing industrial process heating systems</v>
          </cell>
          <cell r="O425">
            <v>2021</v>
          </cell>
          <cell r="P425">
            <v>2030</v>
          </cell>
          <cell r="Q425" t="str">
            <v>Large Industrial Manufacturing</v>
          </cell>
          <cell r="R425" t="str">
            <v/>
          </cell>
          <cell r="S425">
            <v>0</v>
          </cell>
          <cell r="T425">
            <v>0</v>
          </cell>
          <cell r="U425">
            <v>0</v>
          </cell>
          <cell r="V425">
            <v>0</v>
          </cell>
          <cell r="W425">
            <v>0.126</v>
          </cell>
          <cell r="X425" t="str">
            <v>-</v>
          </cell>
          <cell r="Y425">
            <v>44</v>
          </cell>
          <cell r="Z425">
            <v>44</v>
          </cell>
          <cell r="AA425">
            <v>0</v>
          </cell>
          <cell r="AB425">
            <v>0</v>
          </cell>
          <cell r="AC425">
            <v>0</v>
          </cell>
          <cell r="AD425">
            <v>0.25969319990105627</v>
          </cell>
          <cell r="AE425">
            <v>44</v>
          </cell>
          <cell r="AF425">
            <v>44</v>
          </cell>
          <cell r="AG425">
            <v>0</v>
          </cell>
          <cell r="AH425">
            <v>0</v>
          </cell>
          <cell r="AI425">
            <v>0</v>
          </cell>
          <cell r="AJ425">
            <v>0</v>
          </cell>
          <cell r="AK425">
            <v>0</v>
          </cell>
          <cell r="AL425" t="str">
            <v>-</v>
          </cell>
          <cell r="AM425" t="str">
            <v>-</v>
          </cell>
          <cell r="AN425" t="str">
            <v/>
          </cell>
          <cell r="AO425">
            <v>0</v>
          </cell>
          <cell r="AP425" t="str">
            <v>-</v>
          </cell>
          <cell r="AQ425">
            <v>0</v>
          </cell>
          <cell r="AR425" t="str">
            <v>-</v>
          </cell>
          <cell r="AS425">
            <v>0</v>
          </cell>
          <cell r="AT425" t="str">
            <v/>
          </cell>
          <cell r="AU425">
            <v>0</v>
          </cell>
          <cell r="AV425" t="str">
            <v>-</v>
          </cell>
          <cell r="AW425">
            <v>0</v>
          </cell>
          <cell r="AX425" t="str">
            <v>-</v>
          </cell>
          <cell r="AY425">
            <v>0</v>
          </cell>
          <cell r="AZ425" t="str">
            <v/>
          </cell>
          <cell r="BA425">
            <v>0</v>
          </cell>
          <cell r="BB425" t="str">
            <v>-</v>
          </cell>
          <cell r="BC425">
            <v>0</v>
          </cell>
          <cell r="BD425" t="str">
            <v>-</v>
          </cell>
          <cell r="BE425">
            <v>0</v>
          </cell>
          <cell r="BF425" t="str">
            <v/>
          </cell>
          <cell r="BG425">
            <v>0</v>
          </cell>
          <cell r="BH425" t="str">
            <v>-</v>
          </cell>
          <cell r="BI425">
            <v>0</v>
          </cell>
          <cell r="BJ425" t="str">
            <v>-</v>
          </cell>
          <cell r="BK425">
            <v>0</v>
          </cell>
          <cell r="BL425">
            <v>0</v>
          </cell>
          <cell r="BM425" t="str">
            <v>-</v>
          </cell>
          <cell r="BN425">
            <v>62</v>
          </cell>
          <cell r="BO425" t="str">
            <v/>
          </cell>
          <cell r="BP425">
            <v>0</v>
          </cell>
          <cell r="BQ425">
            <v>0</v>
          </cell>
          <cell r="BR425" t="str">
            <v>-</v>
          </cell>
          <cell r="BS425">
            <v>0</v>
          </cell>
          <cell r="BT425">
            <v>0</v>
          </cell>
          <cell r="BU425" t="str">
            <v>-</v>
          </cell>
        </row>
        <row r="426">
          <cell r="A426" t="str">
            <v>21701MD</v>
          </cell>
          <cell r="B426">
            <v>21701</v>
          </cell>
          <cell r="C426" t="str">
            <v>MD</v>
          </cell>
          <cell r="D426" t="str">
            <v>Total Electric</v>
          </cell>
          <cell r="E426" t="str">
            <v>Integrated Building Design</v>
          </cell>
          <cell r="F426" t="str">
            <v>C</v>
          </cell>
          <cell r="G426" t="str">
            <v>Y</v>
          </cell>
          <cell r="M426" t="str">
            <v>NC,RENO</v>
          </cell>
          <cell r="N426" t="str">
            <v>Code Compliant Building</v>
          </cell>
          <cell r="O426">
            <v>2021</v>
          </cell>
          <cell r="P426">
            <v>2030</v>
          </cell>
          <cell r="Q426" t="str">
            <v>Large Office</v>
          </cell>
          <cell r="R426" t="str">
            <v/>
          </cell>
          <cell r="S426">
            <v>0</v>
          </cell>
          <cell r="T426">
            <v>0</v>
          </cell>
          <cell r="U426">
            <v>0</v>
          </cell>
          <cell r="V426">
            <v>0</v>
          </cell>
          <cell r="W426">
            <v>0.22</v>
          </cell>
          <cell r="X426" t="str">
            <v>-</v>
          </cell>
          <cell r="Y426" t="str">
            <v>30,31,32</v>
          </cell>
          <cell r="Z426" t="str">
            <v>30,31,32</v>
          </cell>
          <cell r="AA426">
            <v>0</v>
          </cell>
          <cell r="AB426">
            <v>0</v>
          </cell>
          <cell r="AC426">
            <v>0</v>
          </cell>
          <cell r="AD426">
            <v>7.6091249043293938E-2</v>
          </cell>
          <cell r="AE426">
            <v>33</v>
          </cell>
          <cell r="AF426">
            <v>33</v>
          </cell>
          <cell r="AG426">
            <v>0</v>
          </cell>
          <cell r="AH426">
            <v>0</v>
          </cell>
          <cell r="AI426">
            <v>0</v>
          </cell>
          <cell r="AJ426">
            <v>0</v>
          </cell>
          <cell r="AK426">
            <v>0</v>
          </cell>
          <cell r="AL426" t="str">
            <v>-</v>
          </cell>
          <cell r="AM426" t="str">
            <v>-</v>
          </cell>
          <cell r="AN426" t="str">
            <v/>
          </cell>
          <cell r="AO426">
            <v>0</v>
          </cell>
          <cell r="AP426" t="str">
            <v>-</v>
          </cell>
          <cell r="AQ426">
            <v>0</v>
          </cell>
          <cell r="AR426" t="str">
            <v>-</v>
          </cell>
          <cell r="AS426">
            <v>0</v>
          </cell>
          <cell r="AT426" t="str">
            <v/>
          </cell>
          <cell r="AU426">
            <v>0</v>
          </cell>
          <cell r="AV426" t="str">
            <v>-</v>
          </cell>
          <cell r="AW426">
            <v>0</v>
          </cell>
          <cell r="AX426" t="str">
            <v>-</v>
          </cell>
          <cell r="AY426">
            <v>0</v>
          </cell>
          <cell r="AZ426" t="str">
            <v/>
          </cell>
          <cell r="BA426">
            <v>0</v>
          </cell>
          <cell r="BB426" t="str">
            <v>-</v>
          </cell>
          <cell r="BC426">
            <v>0</v>
          </cell>
          <cell r="BD426" t="str">
            <v>-</v>
          </cell>
          <cell r="BE426">
            <v>0</v>
          </cell>
          <cell r="BF426" t="str">
            <v/>
          </cell>
          <cell r="BG426">
            <v>0</v>
          </cell>
          <cell r="BH426" t="str">
            <v>-</v>
          </cell>
          <cell r="BI426">
            <v>0</v>
          </cell>
          <cell r="BJ426" t="str">
            <v>-</v>
          </cell>
          <cell r="BK426">
            <v>0</v>
          </cell>
          <cell r="BL426">
            <v>0</v>
          </cell>
          <cell r="BM426" t="str">
            <v>-</v>
          </cell>
          <cell r="BN426">
            <v>15</v>
          </cell>
          <cell r="BO426" t="str">
            <v/>
          </cell>
          <cell r="BP426">
            <v>0</v>
          </cell>
          <cell r="BQ426">
            <v>0</v>
          </cell>
          <cell r="BR426" t="str">
            <v>-</v>
          </cell>
          <cell r="BS426">
            <v>0</v>
          </cell>
          <cell r="BT426">
            <v>0</v>
          </cell>
          <cell r="BU426" t="str">
            <v>-</v>
          </cell>
        </row>
        <row r="427">
          <cell r="A427" t="str">
            <v>21702MD</v>
          </cell>
          <cell r="B427">
            <v>21702</v>
          </cell>
          <cell r="C427" t="str">
            <v>MD</v>
          </cell>
          <cell r="D427" t="str">
            <v>Total Electric</v>
          </cell>
          <cell r="E427" t="str">
            <v>Integrated Building Design</v>
          </cell>
          <cell r="F427" t="str">
            <v>C</v>
          </cell>
          <cell r="G427" t="str">
            <v>Y</v>
          </cell>
          <cell r="M427" t="str">
            <v>NC,RENO</v>
          </cell>
          <cell r="N427" t="str">
            <v>Code Compliant Building</v>
          </cell>
          <cell r="O427">
            <v>2021</v>
          </cell>
          <cell r="P427">
            <v>2030</v>
          </cell>
          <cell r="Q427" t="str">
            <v>Large Office</v>
          </cell>
          <cell r="R427" t="str">
            <v/>
          </cell>
          <cell r="S427">
            <v>0</v>
          </cell>
          <cell r="T427">
            <v>0</v>
          </cell>
          <cell r="U427">
            <v>0</v>
          </cell>
          <cell r="V427">
            <v>0</v>
          </cell>
          <cell r="W427">
            <v>0.22</v>
          </cell>
          <cell r="X427" t="str">
            <v>-</v>
          </cell>
          <cell r="Y427" t="str">
            <v>30,31,32</v>
          </cell>
          <cell r="Z427" t="str">
            <v>30,31,32</v>
          </cell>
          <cell r="AA427">
            <v>0</v>
          </cell>
          <cell r="AB427">
            <v>0</v>
          </cell>
          <cell r="AC427">
            <v>0</v>
          </cell>
          <cell r="AD427">
            <v>0.11851645287228108</v>
          </cell>
          <cell r="AE427">
            <v>33</v>
          </cell>
          <cell r="AF427">
            <v>33</v>
          </cell>
          <cell r="AG427">
            <v>0</v>
          </cell>
          <cell r="AH427">
            <v>0</v>
          </cell>
          <cell r="AI427">
            <v>0</v>
          </cell>
          <cell r="AJ427">
            <v>0</v>
          </cell>
          <cell r="AK427">
            <v>0</v>
          </cell>
          <cell r="AL427" t="str">
            <v>-</v>
          </cell>
          <cell r="AM427" t="str">
            <v>-</v>
          </cell>
          <cell r="AN427" t="str">
            <v/>
          </cell>
          <cell r="AO427">
            <v>0</v>
          </cell>
          <cell r="AP427" t="str">
            <v>-</v>
          </cell>
          <cell r="AQ427">
            <v>0</v>
          </cell>
          <cell r="AR427" t="str">
            <v>-</v>
          </cell>
          <cell r="AS427">
            <v>0</v>
          </cell>
          <cell r="AT427" t="str">
            <v/>
          </cell>
          <cell r="AU427">
            <v>0</v>
          </cell>
          <cell r="AV427" t="str">
            <v>-</v>
          </cell>
          <cell r="AW427">
            <v>0</v>
          </cell>
          <cell r="AX427" t="str">
            <v>-</v>
          </cell>
          <cell r="AY427">
            <v>0</v>
          </cell>
          <cell r="AZ427" t="str">
            <v/>
          </cell>
          <cell r="BA427">
            <v>0</v>
          </cell>
          <cell r="BB427" t="str">
            <v>-</v>
          </cell>
          <cell r="BC427">
            <v>0</v>
          </cell>
          <cell r="BD427" t="str">
            <v>-</v>
          </cell>
          <cell r="BE427">
            <v>0</v>
          </cell>
          <cell r="BF427" t="str">
            <v/>
          </cell>
          <cell r="BG427">
            <v>0</v>
          </cell>
          <cell r="BH427" t="str">
            <v>-</v>
          </cell>
          <cell r="BI427">
            <v>0</v>
          </cell>
          <cell r="BJ427" t="str">
            <v>-</v>
          </cell>
          <cell r="BK427">
            <v>0</v>
          </cell>
          <cell r="BL427">
            <v>0</v>
          </cell>
          <cell r="BM427" t="str">
            <v>-</v>
          </cell>
          <cell r="BN427">
            <v>15</v>
          </cell>
          <cell r="BO427" t="str">
            <v/>
          </cell>
          <cell r="BP427">
            <v>0</v>
          </cell>
          <cell r="BQ427">
            <v>0</v>
          </cell>
          <cell r="BR427" t="str">
            <v>-</v>
          </cell>
          <cell r="BS427">
            <v>0</v>
          </cell>
          <cell r="BT427">
            <v>0</v>
          </cell>
          <cell r="BU427" t="str">
            <v>-</v>
          </cell>
        </row>
        <row r="428">
          <cell r="A428" t="str">
            <v>21703RET</v>
          </cell>
          <cell r="B428">
            <v>21703</v>
          </cell>
          <cell r="C428" t="str">
            <v>RET</v>
          </cell>
          <cell r="D428" t="str">
            <v>Total Electric</v>
          </cell>
          <cell r="E428" t="str">
            <v>Deep Energy Retrofit</v>
          </cell>
          <cell r="F428" t="str">
            <v>C</v>
          </cell>
          <cell r="G428" t="str">
            <v>Y</v>
          </cell>
          <cell r="M428" t="str">
            <v>RET</v>
          </cell>
          <cell r="N428" t="str">
            <v>Existing building with no retrofit</v>
          </cell>
          <cell r="O428">
            <v>2021</v>
          </cell>
          <cell r="P428">
            <v>2030</v>
          </cell>
          <cell r="Q428" t="str">
            <v>Large Office</v>
          </cell>
          <cell r="R428" t="str">
            <v/>
          </cell>
          <cell r="S428">
            <v>0</v>
          </cell>
          <cell r="T428">
            <v>0</v>
          </cell>
          <cell r="U428">
            <v>0</v>
          </cell>
          <cell r="V428">
            <v>0</v>
          </cell>
          <cell r="W428">
            <v>0.35249999999999998</v>
          </cell>
          <cell r="X428" t="str">
            <v>-</v>
          </cell>
          <cell r="Y428" t="str">
            <v>28,29</v>
          </cell>
          <cell r="Z428" t="str">
            <v>28,29</v>
          </cell>
          <cell r="AA428">
            <v>0</v>
          </cell>
          <cell r="AB428">
            <v>0</v>
          </cell>
          <cell r="AC428">
            <v>0</v>
          </cell>
          <cell r="AD428">
            <v>0.4910994172646283</v>
          </cell>
          <cell r="AE428">
            <v>29</v>
          </cell>
          <cell r="AF428">
            <v>29</v>
          </cell>
          <cell r="AG428">
            <v>0</v>
          </cell>
          <cell r="AH428">
            <v>0</v>
          </cell>
          <cell r="AI428">
            <v>0</v>
          </cell>
          <cell r="AJ428">
            <v>0</v>
          </cell>
          <cell r="AK428">
            <v>0</v>
          </cell>
          <cell r="AL428" t="str">
            <v>-</v>
          </cell>
          <cell r="AM428" t="str">
            <v>-</v>
          </cell>
          <cell r="AN428" t="str">
            <v/>
          </cell>
          <cell r="AO428">
            <v>0</v>
          </cell>
          <cell r="AP428" t="str">
            <v>-</v>
          </cell>
          <cell r="AQ428">
            <v>0</v>
          </cell>
          <cell r="AR428" t="str">
            <v>-</v>
          </cell>
          <cell r="AS428">
            <v>0</v>
          </cell>
          <cell r="AT428" t="str">
            <v/>
          </cell>
          <cell r="AU428">
            <v>0</v>
          </cell>
          <cell r="AV428" t="str">
            <v>-</v>
          </cell>
          <cell r="AW428">
            <v>0</v>
          </cell>
          <cell r="AX428" t="str">
            <v>-</v>
          </cell>
          <cell r="AY428">
            <v>0</v>
          </cell>
          <cell r="AZ428" t="str">
            <v/>
          </cell>
          <cell r="BA428">
            <v>0</v>
          </cell>
          <cell r="BB428" t="str">
            <v>-</v>
          </cell>
          <cell r="BC428">
            <v>0</v>
          </cell>
          <cell r="BD428" t="str">
            <v>-</v>
          </cell>
          <cell r="BE428">
            <v>0</v>
          </cell>
          <cell r="BF428" t="str">
            <v/>
          </cell>
          <cell r="BG428">
            <v>0</v>
          </cell>
          <cell r="BH428" t="str">
            <v>-</v>
          </cell>
          <cell r="BI428">
            <v>0</v>
          </cell>
          <cell r="BJ428" t="str">
            <v>-</v>
          </cell>
          <cell r="BK428">
            <v>0</v>
          </cell>
          <cell r="BL428">
            <v>0</v>
          </cell>
          <cell r="BM428" t="str">
            <v>-</v>
          </cell>
          <cell r="BN428">
            <v>15</v>
          </cell>
          <cell r="BO428" t="str">
            <v/>
          </cell>
          <cell r="BP428">
            <v>0</v>
          </cell>
          <cell r="BQ428">
            <v>0</v>
          </cell>
          <cell r="BR428" t="str">
            <v>-</v>
          </cell>
          <cell r="BS428">
            <v>0</v>
          </cell>
          <cell r="BT428">
            <v>0</v>
          </cell>
          <cell r="BU428" t="str">
            <v>-</v>
          </cell>
        </row>
        <row r="429">
          <cell r="A429" t="str">
            <v>21704MD</v>
          </cell>
          <cell r="B429">
            <v>21704</v>
          </cell>
          <cell r="C429" t="str">
            <v>MD</v>
          </cell>
          <cell r="D429" t="str">
            <v>Total Electric</v>
          </cell>
          <cell r="E429" t="str">
            <v>Commissioning</v>
          </cell>
          <cell r="F429" t="str">
            <v>C</v>
          </cell>
          <cell r="G429" t="str">
            <v>Y</v>
          </cell>
          <cell r="M429" t="str">
            <v>NC,RENO</v>
          </cell>
          <cell r="N429" t="str">
            <v>Uncommissioned new building</v>
          </cell>
          <cell r="O429">
            <v>2021</v>
          </cell>
          <cell r="P429">
            <v>2030</v>
          </cell>
          <cell r="Q429" t="str">
            <v>Large Office</v>
          </cell>
          <cell r="R429" t="str">
            <v/>
          </cell>
          <cell r="S429">
            <v>0</v>
          </cell>
          <cell r="T429">
            <v>0</v>
          </cell>
          <cell r="U429">
            <v>0</v>
          </cell>
          <cell r="V429">
            <v>0</v>
          </cell>
          <cell r="W429">
            <v>0.13</v>
          </cell>
          <cell r="X429" t="str">
            <v>-</v>
          </cell>
          <cell r="Y429">
            <v>34</v>
          </cell>
          <cell r="Z429">
            <v>34</v>
          </cell>
          <cell r="AA429">
            <v>0</v>
          </cell>
          <cell r="AB429">
            <v>0</v>
          </cell>
          <cell r="AC429">
            <v>0</v>
          </cell>
          <cell r="AD429">
            <v>0.24844997877665567</v>
          </cell>
          <cell r="AE429">
            <v>35</v>
          </cell>
          <cell r="AF429">
            <v>35</v>
          </cell>
          <cell r="AG429">
            <v>0</v>
          </cell>
          <cell r="AH429">
            <v>0</v>
          </cell>
          <cell r="AI429">
            <v>0</v>
          </cell>
          <cell r="AJ429">
            <v>0</v>
          </cell>
          <cell r="AK429">
            <v>0</v>
          </cell>
          <cell r="AL429" t="str">
            <v>-</v>
          </cell>
          <cell r="AM429" t="str">
            <v>-</v>
          </cell>
          <cell r="AN429" t="str">
            <v/>
          </cell>
          <cell r="AO429">
            <v>0</v>
          </cell>
          <cell r="AP429" t="str">
            <v>-</v>
          </cell>
          <cell r="AQ429">
            <v>0</v>
          </cell>
          <cell r="AR429" t="str">
            <v>-</v>
          </cell>
          <cell r="AS429">
            <v>0</v>
          </cell>
          <cell r="AT429" t="str">
            <v/>
          </cell>
          <cell r="AU429">
            <v>0</v>
          </cell>
          <cell r="AV429" t="str">
            <v>-</v>
          </cell>
          <cell r="AW429">
            <v>0</v>
          </cell>
          <cell r="AX429" t="str">
            <v>-</v>
          </cell>
          <cell r="AY429">
            <v>0</v>
          </cell>
          <cell r="AZ429" t="str">
            <v/>
          </cell>
          <cell r="BA429">
            <v>0</v>
          </cell>
          <cell r="BB429" t="str">
            <v>-</v>
          </cell>
          <cell r="BC429">
            <v>0</v>
          </cell>
          <cell r="BD429" t="str">
            <v>-</v>
          </cell>
          <cell r="BE429">
            <v>0</v>
          </cell>
          <cell r="BF429" t="str">
            <v/>
          </cell>
          <cell r="BG429">
            <v>0</v>
          </cell>
          <cell r="BH429" t="str">
            <v>-</v>
          </cell>
          <cell r="BI429">
            <v>0</v>
          </cell>
          <cell r="BJ429" t="str">
            <v>-</v>
          </cell>
          <cell r="BK429">
            <v>0</v>
          </cell>
          <cell r="BL429">
            <v>0</v>
          </cell>
          <cell r="BM429" t="str">
            <v>-</v>
          </cell>
          <cell r="BN429">
            <v>8</v>
          </cell>
          <cell r="BO429" t="str">
            <v/>
          </cell>
          <cell r="BP429">
            <v>0</v>
          </cell>
          <cell r="BQ429">
            <v>0</v>
          </cell>
          <cell r="BR429" t="str">
            <v>-</v>
          </cell>
          <cell r="BS429">
            <v>0</v>
          </cell>
          <cell r="BT429">
            <v>0</v>
          </cell>
          <cell r="BU429" t="str">
            <v>-</v>
          </cell>
        </row>
        <row r="430">
          <cell r="A430" t="str">
            <v>21705RET</v>
          </cell>
          <cell r="B430">
            <v>21705</v>
          </cell>
          <cell r="C430" t="str">
            <v>RET</v>
          </cell>
          <cell r="D430" t="str">
            <v>Total Electric</v>
          </cell>
          <cell r="E430" t="str">
            <v>Deep Energy Retrofit</v>
          </cell>
          <cell r="F430" t="str">
            <v>C</v>
          </cell>
          <cell r="G430" t="str">
            <v>Y</v>
          </cell>
          <cell r="M430" t="str">
            <v>RET</v>
          </cell>
          <cell r="N430" t="str">
            <v>Existing building with no retrofit</v>
          </cell>
          <cell r="O430">
            <v>2021</v>
          </cell>
          <cell r="P430">
            <v>2030</v>
          </cell>
          <cell r="Q430" t="str">
            <v>Large Office</v>
          </cell>
          <cell r="R430" t="str">
            <v/>
          </cell>
          <cell r="S430">
            <v>0</v>
          </cell>
          <cell r="T430">
            <v>0</v>
          </cell>
          <cell r="U430">
            <v>0</v>
          </cell>
          <cell r="V430">
            <v>0</v>
          </cell>
          <cell r="W430">
            <v>0.35249999999999998</v>
          </cell>
          <cell r="X430" t="str">
            <v>-</v>
          </cell>
          <cell r="Y430" t="str">
            <v>28,29</v>
          </cell>
          <cell r="Z430" t="str">
            <v>28,29</v>
          </cell>
          <cell r="AA430">
            <v>0</v>
          </cell>
          <cell r="AB430">
            <v>0</v>
          </cell>
          <cell r="AC430">
            <v>0</v>
          </cell>
          <cell r="AD430">
            <v>0.76491530463288648</v>
          </cell>
          <cell r="AE430">
            <v>29</v>
          </cell>
          <cell r="AF430">
            <v>29</v>
          </cell>
          <cell r="AG430">
            <v>0</v>
          </cell>
          <cell r="AH430">
            <v>0</v>
          </cell>
          <cell r="AI430">
            <v>0</v>
          </cell>
          <cell r="AJ430">
            <v>0</v>
          </cell>
          <cell r="AK430">
            <v>0</v>
          </cell>
          <cell r="AL430" t="str">
            <v>-</v>
          </cell>
          <cell r="AM430" t="str">
            <v>-</v>
          </cell>
          <cell r="AN430" t="str">
            <v/>
          </cell>
          <cell r="AO430">
            <v>0</v>
          </cell>
          <cell r="AP430" t="str">
            <v>-</v>
          </cell>
          <cell r="AQ430">
            <v>0</v>
          </cell>
          <cell r="AR430" t="str">
            <v>-</v>
          </cell>
          <cell r="AS430">
            <v>0</v>
          </cell>
          <cell r="AT430" t="str">
            <v/>
          </cell>
          <cell r="AU430">
            <v>0</v>
          </cell>
          <cell r="AV430" t="str">
            <v>-</v>
          </cell>
          <cell r="AW430">
            <v>0</v>
          </cell>
          <cell r="AX430" t="str">
            <v>-</v>
          </cell>
          <cell r="AY430">
            <v>0</v>
          </cell>
          <cell r="AZ430" t="str">
            <v/>
          </cell>
          <cell r="BA430">
            <v>0</v>
          </cell>
          <cell r="BB430" t="str">
            <v>-</v>
          </cell>
          <cell r="BC430">
            <v>0</v>
          </cell>
          <cell r="BD430" t="str">
            <v>-</v>
          </cell>
          <cell r="BE430">
            <v>0</v>
          </cell>
          <cell r="BF430" t="str">
            <v/>
          </cell>
          <cell r="BG430">
            <v>0</v>
          </cell>
          <cell r="BH430" t="str">
            <v>-</v>
          </cell>
          <cell r="BI430">
            <v>0</v>
          </cell>
          <cell r="BJ430" t="str">
            <v>-</v>
          </cell>
          <cell r="BK430">
            <v>0</v>
          </cell>
          <cell r="BL430">
            <v>0</v>
          </cell>
          <cell r="BM430" t="str">
            <v>-</v>
          </cell>
          <cell r="BN430">
            <v>15</v>
          </cell>
          <cell r="BO430" t="str">
            <v/>
          </cell>
          <cell r="BP430">
            <v>0</v>
          </cell>
          <cell r="BQ430">
            <v>0</v>
          </cell>
          <cell r="BR430" t="str">
            <v>-</v>
          </cell>
          <cell r="BS430">
            <v>0</v>
          </cell>
          <cell r="BT430">
            <v>0</v>
          </cell>
          <cell r="BU430" t="str">
            <v>-</v>
          </cell>
        </row>
        <row r="431">
          <cell r="A431" t="str">
            <v>21706MD</v>
          </cell>
          <cell r="B431">
            <v>21706</v>
          </cell>
          <cell r="C431" t="str">
            <v>MD</v>
          </cell>
          <cell r="D431" t="str">
            <v>Total Electric</v>
          </cell>
          <cell r="E431" t="str">
            <v>Commissioning</v>
          </cell>
          <cell r="F431" t="str">
            <v>C</v>
          </cell>
          <cell r="G431" t="str">
            <v>Y</v>
          </cell>
          <cell r="M431" t="str">
            <v>NC,RENO</v>
          </cell>
          <cell r="N431" t="str">
            <v>Uncommissioned new building</v>
          </cell>
          <cell r="O431">
            <v>2021</v>
          </cell>
          <cell r="P431">
            <v>2030</v>
          </cell>
          <cell r="Q431" t="str">
            <v>Large Office</v>
          </cell>
          <cell r="R431" t="str">
            <v/>
          </cell>
          <cell r="S431">
            <v>0</v>
          </cell>
          <cell r="T431">
            <v>0</v>
          </cell>
          <cell r="U431">
            <v>0</v>
          </cell>
          <cell r="V431">
            <v>0</v>
          </cell>
          <cell r="W431">
            <v>0.13</v>
          </cell>
          <cell r="X431" t="str">
            <v>-</v>
          </cell>
          <cell r="Y431">
            <v>34</v>
          </cell>
          <cell r="Z431">
            <v>34</v>
          </cell>
          <cell r="AA431">
            <v>0</v>
          </cell>
          <cell r="AB431">
            <v>0</v>
          </cell>
          <cell r="AC431">
            <v>0</v>
          </cell>
          <cell r="AD431">
            <v>0.38697498820198201</v>
          </cell>
          <cell r="AE431">
            <v>35</v>
          </cell>
          <cell r="AF431">
            <v>35</v>
          </cell>
          <cell r="AG431">
            <v>0</v>
          </cell>
          <cell r="AH431">
            <v>0</v>
          </cell>
          <cell r="AI431">
            <v>0</v>
          </cell>
          <cell r="AJ431">
            <v>0</v>
          </cell>
          <cell r="AK431">
            <v>0</v>
          </cell>
          <cell r="AL431" t="str">
            <v>-</v>
          </cell>
          <cell r="AM431" t="str">
            <v>-</v>
          </cell>
          <cell r="AN431" t="str">
            <v/>
          </cell>
          <cell r="AO431">
            <v>0</v>
          </cell>
          <cell r="AP431" t="str">
            <v>-</v>
          </cell>
          <cell r="AQ431">
            <v>0</v>
          </cell>
          <cell r="AR431" t="str">
            <v>-</v>
          </cell>
          <cell r="AS431">
            <v>0</v>
          </cell>
          <cell r="AT431" t="str">
            <v/>
          </cell>
          <cell r="AU431">
            <v>0</v>
          </cell>
          <cell r="AV431" t="str">
            <v>-</v>
          </cell>
          <cell r="AW431">
            <v>0</v>
          </cell>
          <cell r="AX431" t="str">
            <v>-</v>
          </cell>
          <cell r="AY431">
            <v>0</v>
          </cell>
          <cell r="AZ431" t="str">
            <v/>
          </cell>
          <cell r="BA431">
            <v>0</v>
          </cell>
          <cell r="BB431" t="str">
            <v>-</v>
          </cell>
          <cell r="BC431">
            <v>0</v>
          </cell>
          <cell r="BD431" t="str">
            <v>-</v>
          </cell>
          <cell r="BE431">
            <v>0</v>
          </cell>
          <cell r="BF431" t="str">
            <v/>
          </cell>
          <cell r="BG431">
            <v>0</v>
          </cell>
          <cell r="BH431" t="str">
            <v>-</v>
          </cell>
          <cell r="BI431">
            <v>0</v>
          </cell>
          <cell r="BJ431" t="str">
            <v>-</v>
          </cell>
          <cell r="BK431">
            <v>0</v>
          </cell>
          <cell r="BL431">
            <v>0</v>
          </cell>
          <cell r="BM431" t="str">
            <v>-</v>
          </cell>
          <cell r="BN431">
            <v>8</v>
          </cell>
          <cell r="BO431" t="str">
            <v/>
          </cell>
          <cell r="BP431">
            <v>0</v>
          </cell>
          <cell r="BQ431">
            <v>0</v>
          </cell>
          <cell r="BR431" t="str">
            <v>-</v>
          </cell>
          <cell r="BS431">
            <v>0</v>
          </cell>
          <cell r="BT431">
            <v>0</v>
          </cell>
          <cell r="BU431" t="str">
            <v>-</v>
          </cell>
        </row>
        <row r="432">
          <cell r="A432" t="str">
            <v>21707RET</v>
          </cell>
          <cell r="B432">
            <v>21707</v>
          </cell>
          <cell r="C432" t="str">
            <v>RET</v>
          </cell>
          <cell r="D432" t="str">
            <v>Total Electric</v>
          </cell>
          <cell r="E432" t="str">
            <v>RetroCommissioning</v>
          </cell>
          <cell r="F432" t="str">
            <v>C</v>
          </cell>
          <cell r="G432" t="str">
            <v>Y</v>
          </cell>
          <cell r="M432" t="str">
            <v>RET</v>
          </cell>
          <cell r="N432" t="str">
            <v>Current building operations</v>
          </cell>
          <cell r="O432">
            <v>2021</v>
          </cell>
          <cell r="P432">
            <v>2030</v>
          </cell>
          <cell r="Q432" t="str">
            <v>Large Office</v>
          </cell>
          <cell r="R432" t="str">
            <v/>
          </cell>
          <cell r="S432">
            <v>0</v>
          </cell>
          <cell r="T432">
            <v>0</v>
          </cell>
          <cell r="U432">
            <v>0</v>
          </cell>
          <cell r="V432">
            <v>0</v>
          </cell>
          <cell r="W432">
            <v>0.06</v>
          </cell>
          <cell r="X432" t="str">
            <v>-</v>
          </cell>
          <cell r="Y432">
            <v>35</v>
          </cell>
          <cell r="Z432">
            <v>35</v>
          </cell>
          <cell r="AA432">
            <v>0</v>
          </cell>
          <cell r="AB432">
            <v>0</v>
          </cell>
          <cell r="AC432">
            <v>0</v>
          </cell>
          <cell r="AD432">
            <v>0.22855370356293325</v>
          </cell>
          <cell r="AE432">
            <v>34</v>
          </cell>
          <cell r="AF432">
            <v>34</v>
          </cell>
          <cell r="AG432">
            <v>0</v>
          </cell>
          <cell r="AH432">
            <v>0</v>
          </cell>
          <cell r="AI432">
            <v>0</v>
          </cell>
          <cell r="AJ432">
            <v>0</v>
          </cell>
          <cell r="AK432">
            <v>0</v>
          </cell>
          <cell r="AL432" t="str">
            <v>-</v>
          </cell>
          <cell r="AM432" t="str">
            <v>-</v>
          </cell>
          <cell r="AN432" t="str">
            <v/>
          </cell>
          <cell r="AO432">
            <v>0</v>
          </cell>
          <cell r="AP432" t="str">
            <v>-</v>
          </cell>
          <cell r="AQ432">
            <v>0</v>
          </cell>
          <cell r="AR432" t="str">
            <v>-</v>
          </cell>
          <cell r="AS432">
            <v>0</v>
          </cell>
          <cell r="AT432" t="str">
            <v/>
          </cell>
          <cell r="AU432">
            <v>0</v>
          </cell>
          <cell r="AV432" t="str">
            <v>-</v>
          </cell>
          <cell r="AW432">
            <v>0</v>
          </cell>
          <cell r="AX432" t="str">
            <v>-</v>
          </cell>
          <cell r="AY432">
            <v>0</v>
          </cell>
          <cell r="AZ432" t="str">
            <v/>
          </cell>
          <cell r="BA432">
            <v>0</v>
          </cell>
          <cell r="BB432" t="str">
            <v>-</v>
          </cell>
          <cell r="BC432">
            <v>0</v>
          </cell>
          <cell r="BD432" t="str">
            <v>-</v>
          </cell>
          <cell r="BE432">
            <v>0</v>
          </cell>
          <cell r="BF432" t="str">
            <v/>
          </cell>
          <cell r="BG432">
            <v>0</v>
          </cell>
          <cell r="BH432" t="str">
            <v>-</v>
          </cell>
          <cell r="BI432">
            <v>0</v>
          </cell>
          <cell r="BJ432" t="str">
            <v>-</v>
          </cell>
          <cell r="BK432">
            <v>0</v>
          </cell>
          <cell r="BL432">
            <v>0</v>
          </cell>
          <cell r="BM432" t="str">
            <v>-</v>
          </cell>
          <cell r="BN432">
            <v>8</v>
          </cell>
          <cell r="BO432" t="str">
            <v/>
          </cell>
          <cell r="BP432">
            <v>0</v>
          </cell>
          <cell r="BQ432">
            <v>0</v>
          </cell>
          <cell r="BR432" t="str">
            <v>-</v>
          </cell>
          <cell r="BS432">
            <v>0</v>
          </cell>
          <cell r="BT432">
            <v>0</v>
          </cell>
          <cell r="BU432" t="str">
            <v>-</v>
          </cell>
        </row>
        <row r="433">
          <cell r="A433" t="str">
            <v>21708RET</v>
          </cell>
          <cell r="B433">
            <v>21708</v>
          </cell>
          <cell r="C433" t="str">
            <v>RET</v>
          </cell>
          <cell r="D433" t="str">
            <v>Total Electric</v>
          </cell>
          <cell r="E433" t="str">
            <v>RetroCommissioning</v>
          </cell>
          <cell r="F433" t="str">
            <v>C</v>
          </cell>
          <cell r="G433" t="str">
            <v>Y</v>
          </cell>
          <cell r="M433" t="str">
            <v>RET</v>
          </cell>
          <cell r="N433" t="str">
            <v>Current building operations</v>
          </cell>
          <cell r="O433">
            <v>2021</v>
          </cell>
          <cell r="P433">
            <v>2030</v>
          </cell>
          <cell r="Q433" t="str">
            <v>Large Office</v>
          </cell>
          <cell r="R433" t="str">
            <v/>
          </cell>
          <cell r="S433">
            <v>0</v>
          </cell>
          <cell r="T433">
            <v>0</v>
          </cell>
          <cell r="U433">
            <v>0</v>
          </cell>
          <cell r="V433">
            <v>0</v>
          </cell>
          <cell r="W433">
            <v>0.06</v>
          </cell>
          <cell r="X433" t="str">
            <v>-</v>
          </cell>
          <cell r="Y433">
            <v>35</v>
          </cell>
          <cell r="Z433">
            <v>35</v>
          </cell>
          <cell r="AA433">
            <v>0</v>
          </cell>
          <cell r="AB433">
            <v>0</v>
          </cell>
          <cell r="AC433">
            <v>0</v>
          </cell>
          <cell r="AD433">
            <v>0</v>
          </cell>
          <cell r="AE433">
            <v>34</v>
          </cell>
          <cell r="AF433">
            <v>34</v>
          </cell>
          <cell r="AG433">
            <v>0</v>
          </cell>
          <cell r="AH433">
            <v>0</v>
          </cell>
          <cell r="AI433">
            <v>0</v>
          </cell>
          <cell r="AJ433">
            <v>0</v>
          </cell>
          <cell r="AK433">
            <v>0</v>
          </cell>
          <cell r="AL433" t="str">
            <v>-</v>
          </cell>
          <cell r="AM433" t="str">
            <v>-</v>
          </cell>
          <cell r="AN433" t="str">
            <v/>
          </cell>
          <cell r="AO433">
            <v>0</v>
          </cell>
          <cell r="AP433" t="str">
            <v>-</v>
          </cell>
          <cell r="AQ433">
            <v>0</v>
          </cell>
          <cell r="AR433" t="str">
            <v>-</v>
          </cell>
          <cell r="AS433">
            <v>0</v>
          </cell>
          <cell r="AT433" t="str">
            <v/>
          </cell>
          <cell r="AU433">
            <v>0</v>
          </cell>
          <cell r="AV433" t="str">
            <v>-</v>
          </cell>
          <cell r="AW433">
            <v>0</v>
          </cell>
          <cell r="AX433" t="str">
            <v>-</v>
          </cell>
          <cell r="AY433">
            <v>0</v>
          </cell>
          <cell r="AZ433" t="str">
            <v/>
          </cell>
          <cell r="BA433">
            <v>0</v>
          </cell>
          <cell r="BB433" t="str">
            <v>-</v>
          </cell>
          <cell r="BC433">
            <v>0</v>
          </cell>
          <cell r="BD433" t="str">
            <v>-</v>
          </cell>
          <cell r="BE433">
            <v>0</v>
          </cell>
          <cell r="BF433" t="str">
            <v/>
          </cell>
          <cell r="BG433">
            <v>0</v>
          </cell>
          <cell r="BH433" t="str">
            <v>-</v>
          </cell>
          <cell r="BI433">
            <v>0</v>
          </cell>
          <cell r="BJ433" t="str">
            <v>-</v>
          </cell>
          <cell r="BK433">
            <v>0</v>
          </cell>
          <cell r="BL433">
            <v>0</v>
          </cell>
          <cell r="BM433" t="str">
            <v>-</v>
          </cell>
          <cell r="BN433">
            <v>8</v>
          </cell>
          <cell r="BO433" t="str">
            <v/>
          </cell>
          <cell r="BP433">
            <v>0</v>
          </cell>
          <cell r="BQ433">
            <v>0</v>
          </cell>
          <cell r="BR433" t="str">
            <v>-</v>
          </cell>
          <cell r="BS433">
            <v>0</v>
          </cell>
          <cell r="BT433">
            <v>0</v>
          </cell>
          <cell r="BU433" t="str">
            <v>-</v>
          </cell>
        </row>
        <row r="434">
          <cell r="A434" t="str">
            <v>21709MD</v>
          </cell>
          <cell r="B434">
            <v>21709</v>
          </cell>
          <cell r="C434" t="str">
            <v>MD</v>
          </cell>
          <cell r="D434" t="str">
            <v>Total Electric</v>
          </cell>
          <cell r="E434" t="str">
            <v>Replace Pneumatic contols with DDC</v>
          </cell>
          <cell r="F434" t="str">
            <v>C</v>
          </cell>
          <cell r="G434" t="str">
            <v>Y</v>
          </cell>
          <cell r="M434" t="str">
            <v>RENO</v>
          </cell>
          <cell r="N434" t="str">
            <v>Pnemautic controls on HVAC system</v>
          </cell>
          <cell r="O434">
            <v>2021</v>
          </cell>
          <cell r="P434">
            <v>2030</v>
          </cell>
          <cell r="Q434" t="str">
            <v>Large Office</v>
          </cell>
          <cell r="R434" t="str">
            <v/>
          </cell>
          <cell r="S434">
            <v>0</v>
          </cell>
          <cell r="T434">
            <v>0</v>
          </cell>
          <cell r="U434">
            <v>0</v>
          </cell>
          <cell r="V434">
            <v>0</v>
          </cell>
          <cell r="W434">
            <v>0.15</v>
          </cell>
          <cell r="X434" t="str">
            <v>-</v>
          </cell>
          <cell r="Y434">
            <v>39</v>
          </cell>
          <cell r="Z434">
            <v>39</v>
          </cell>
          <cell r="AA434">
            <v>0</v>
          </cell>
          <cell r="AB434">
            <v>0</v>
          </cell>
          <cell r="AC434">
            <v>0</v>
          </cell>
          <cell r="AD434">
            <v>1.220806420523485</v>
          </cell>
          <cell r="AE434" t="str">
            <v>27,12</v>
          </cell>
          <cell r="AF434" t="str">
            <v>27,12</v>
          </cell>
          <cell r="AG434">
            <v>0</v>
          </cell>
          <cell r="AH434">
            <v>0</v>
          </cell>
          <cell r="AI434">
            <v>0</v>
          </cell>
          <cell r="AJ434">
            <v>0</v>
          </cell>
          <cell r="AK434">
            <v>0</v>
          </cell>
          <cell r="AL434" t="str">
            <v>-</v>
          </cell>
          <cell r="AM434" t="str">
            <v>-</v>
          </cell>
          <cell r="AN434" t="str">
            <v/>
          </cell>
          <cell r="AO434">
            <v>0</v>
          </cell>
          <cell r="AP434" t="str">
            <v>-</v>
          </cell>
          <cell r="AQ434">
            <v>0</v>
          </cell>
          <cell r="AR434" t="str">
            <v>-</v>
          </cell>
          <cell r="AS434">
            <v>0</v>
          </cell>
          <cell r="AT434" t="str">
            <v/>
          </cell>
          <cell r="AU434">
            <v>0</v>
          </cell>
          <cell r="AV434" t="str">
            <v>-</v>
          </cell>
          <cell r="AW434">
            <v>0</v>
          </cell>
          <cell r="AX434" t="str">
            <v>-</v>
          </cell>
          <cell r="AY434">
            <v>0</v>
          </cell>
          <cell r="AZ434" t="str">
            <v/>
          </cell>
          <cell r="BA434">
            <v>0</v>
          </cell>
          <cell r="BB434" t="str">
            <v>-</v>
          </cell>
          <cell r="BC434">
            <v>0</v>
          </cell>
          <cell r="BD434" t="str">
            <v>-</v>
          </cell>
          <cell r="BE434">
            <v>0</v>
          </cell>
          <cell r="BF434" t="str">
            <v/>
          </cell>
          <cell r="BG434">
            <v>0</v>
          </cell>
          <cell r="BH434" t="str">
            <v>-</v>
          </cell>
          <cell r="BI434">
            <v>0</v>
          </cell>
          <cell r="BJ434" t="str">
            <v>-</v>
          </cell>
          <cell r="BK434">
            <v>0</v>
          </cell>
          <cell r="BL434">
            <v>0</v>
          </cell>
          <cell r="BM434" t="str">
            <v>-</v>
          </cell>
          <cell r="BN434">
            <v>15</v>
          </cell>
          <cell r="BO434" t="str">
            <v/>
          </cell>
          <cell r="BP434">
            <v>0</v>
          </cell>
          <cell r="BQ434">
            <v>0</v>
          </cell>
          <cell r="BR434" t="str">
            <v>-</v>
          </cell>
          <cell r="BS434">
            <v>0</v>
          </cell>
          <cell r="BT434">
            <v>0</v>
          </cell>
          <cell r="BU434" t="str">
            <v>-</v>
          </cell>
        </row>
        <row r="435">
          <cell r="A435" t="str">
            <v>21709RET</v>
          </cell>
          <cell r="B435">
            <v>21709</v>
          </cell>
          <cell r="C435" t="str">
            <v>RET</v>
          </cell>
          <cell r="D435" t="str">
            <v>Total Electric</v>
          </cell>
          <cell r="E435" t="str">
            <v>Replace Pneumatic contols with DDC</v>
          </cell>
          <cell r="F435" t="str">
            <v>C</v>
          </cell>
          <cell r="G435" t="str">
            <v>Y</v>
          </cell>
          <cell r="M435" t="str">
            <v>RET</v>
          </cell>
          <cell r="N435" t="str">
            <v>Pnemautic controls on HVAC system</v>
          </cell>
          <cell r="O435">
            <v>2021</v>
          </cell>
          <cell r="P435">
            <v>2030</v>
          </cell>
          <cell r="Q435" t="str">
            <v>Large Office</v>
          </cell>
          <cell r="R435" t="str">
            <v/>
          </cell>
          <cell r="S435">
            <v>0</v>
          </cell>
          <cell r="T435">
            <v>0</v>
          </cell>
          <cell r="U435">
            <v>0</v>
          </cell>
          <cell r="V435">
            <v>0</v>
          </cell>
          <cell r="W435">
            <v>0.15</v>
          </cell>
          <cell r="X435" t="str">
            <v>-</v>
          </cell>
          <cell r="Y435">
            <v>39</v>
          </cell>
          <cell r="Z435">
            <v>39</v>
          </cell>
          <cell r="AA435">
            <v>0</v>
          </cell>
          <cell r="AB435">
            <v>0</v>
          </cell>
          <cell r="AC435">
            <v>0</v>
          </cell>
          <cell r="AD435">
            <v>1.3428870625758333</v>
          </cell>
          <cell r="AE435" t="str">
            <v>27,12</v>
          </cell>
          <cell r="AF435" t="str">
            <v>27,12</v>
          </cell>
          <cell r="AG435">
            <v>0</v>
          </cell>
          <cell r="AH435">
            <v>0</v>
          </cell>
          <cell r="AI435">
            <v>0</v>
          </cell>
          <cell r="AJ435">
            <v>0</v>
          </cell>
          <cell r="AK435">
            <v>0</v>
          </cell>
          <cell r="AL435" t="str">
            <v>-</v>
          </cell>
          <cell r="AM435" t="str">
            <v>-</v>
          </cell>
          <cell r="AN435" t="str">
            <v/>
          </cell>
          <cell r="AO435">
            <v>0</v>
          </cell>
          <cell r="AP435" t="str">
            <v>-</v>
          </cell>
          <cell r="AQ435">
            <v>0</v>
          </cell>
          <cell r="AR435" t="str">
            <v>-</v>
          </cell>
          <cell r="AS435">
            <v>0</v>
          </cell>
          <cell r="AT435" t="str">
            <v/>
          </cell>
          <cell r="AU435">
            <v>0</v>
          </cell>
          <cell r="AV435" t="str">
            <v>-</v>
          </cell>
          <cell r="AW435">
            <v>0</v>
          </cell>
          <cell r="AX435" t="str">
            <v>-</v>
          </cell>
          <cell r="AY435">
            <v>0</v>
          </cell>
          <cell r="AZ435" t="str">
            <v/>
          </cell>
          <cell r="BA435">
            <v>0</v>
          </cell>
          <cell r="BB435" t="str">
            <v>-</v>
          </cell>
          <cell r="BC435">
            <v>0</v>
          </cell>
          <cell r="BD435" t="str">
            <v>-</v>
          </cell>
          <cell r="BE435">
            <v>0</v>
          </cell>
          <cell r="BF435" t="str">
            <v/>
          </cell>
          <cell r="BG435">
            <v>0</v>
          </cell>
          <cell r="BH435" t="str">
            <v>-</v>
          </cell>
          <cell r="BI435">
            <v>0</v>
          </cell>
          <cell r="BJ435" t="str">
            <v>-</v>
          </cell>
          <cell r="BK435">
            <v>0</v>
          </cell>
          <cell r="BL435">
            <v>0</v>
          </cell>
          <cell r="BM435" t="str">
            <v>-</v>
          </cell>
          <cell r="BN435">
            <v>15</v>
          </cell>
          <cell r="BO435" t="str">
            <v/>
          </cell>
          <cell r="BP435">
            <v>0</v>
          </cell>
          <cell r="BQ435">
            <v>0</v>
          </cell>
          <cell r="BR435" t="str">
            <v>-</v>
          </cell>
          <cell r="BS435">
            <v>0</v>
          </cell>
          <cell r="BT435">
            <v>0</v>
          </cell>
          <cell r="BU435" t="str">
            <v>-</v>
          </cell>
        </row>
        <row r="436">
          <cell r="A436" t="str">
            <v>21710MD</v>
          </cell>
          <cell r="B436">
            <v>21710</v>
          </cell>
          <cell r="C436" t="str">
            <v>MD</v>
          </cell>
          <cell r="D436" t="str">
            <v>Total Electric</v>
          </cell>
          <cell r="E436" t="str">
            <v>Replace Pneumatic contols with DDC</v>
          </cell>
          <cell r="F436" t="str">
            <v>C</v>
          </cell>
          <cell r="G436" t="str">
            <v>Y</v>
          </cell>
          <cell r="M436" t="str">
            <v>RENO</v>
          </cell>
          <cell r="N436" t="str">
            <v>Pnemautic controls on HVAC system</v>
          </cell>
          <cell r="O436">
            <v>2021</v>
          </cell>
          <cell r="P436">
            <v>2030</v>
          </cell>
          <cell r="Q436" t="str">
            <v>Large Office</v>
          </cell>
          <cell r="R436" t="str">
            <v/>
          </cell>
          <cell r="S436">
            <v>0</v>
          </cell>
          <cell r="T436">
            <v>0</v>
          </cell>
          <cell r="U436">
            <v>0</v>
          </cell>
          <cell r="V436">
            <v>0</v>
          </cell>
          <cell r="W436">
            <v>0.15</v>
          </cell>
          <cell r="X436" t="str">
            <v>-</v>
          </cell>
          <cell r="Y436">
            <v>39</v>
          </cell>
          <cell r="Z436">
            <v>39</v>
          </cell>
          <cell r="AA436">
            <v>0</v>
          </cell>
          <cell r="AB436">
            <v>0</v>
          </cell>
          <cell r="AC436">
            <v>0</v>
          </cell>
          <cell r="AD436">
            <v>0</v>
          </cell>
          <cell r="AE436" t="str">
            <v>27,12</v>
          </cell>
          <cell r="AF436" t="str">
            <v>27,12</v>
          </cell>
          <cell r="AG436">
            <v>0</v>
          </cell>
          <cell r="AH436">
            <v>0</v>
          </cell>
          <cell r="AI436">
            <v>0</v>
          </cell>
          <cell r="AJ436">
            <v>0</v>
          </cell>
          <cell r="AK436">
            <v>0</v>
          </cell>
          <cell r="AL436" t="str">
            <v>-</v>
          </cell>
          <cell r="AM436" t="str">
            <v>-</v>
          </cell>
          <cell r="AN436" t="str">
            <v/>
          </cell>
          <cell r="AO436">
            <v>0</v>
          </cell>
          <cell r="AP436" t="str">
            <v>-</v>
          </cell>
          <cell r="AQ436">
            <v>0</v>
          </cell>
          <cell r="AR436" t="str">
            <v>-</v>
          </cell>
          <cell r="AS436">
            <v>0</v>
          </cell>
          <cell r="AT436" t="str">
            <v/>
          </cell>
          <cell r="AU436">
            <v>0</v>
          </cell>
          <cell r="AV436" t="str">
            <v>-</v>
          </cell>
          <cell r="AW436">
            <v>0</v>
          </cell>
          <cell r="AX436" t="str">
            <v>-</v>
          </cell>
          <cell r="AY436">
            <v>0</v>
          </cell>
          <cell r="AZ436" t="str">
            <v/>
          </cell>
          <cell r="BA436">
            <v>0</v>
          </cell>
          <cell r="BB436" t="str">
            <v>-</v>
          </cell>
          <cell r="BC436">
            <v>0</v>
          </cell>
          <cell r="BD436" t="str">
            <v>-</v>
          </cell>
          <cell r="BE436">
            <v>0</v>
          </cell>
          <cell r="BF436" t="str">
            <v/>
          </cell>
          <cell r="BG436">
            <v>0</v>
          </cell>
          <cell r="BH436" t="str">
            <v>-</v>
          </cell>
          <cell r="BI436">
            <v>0</v>
          </cell>
          <cell r="BJ436" t="str">
            <v>-</v>
          </cell>
          <cell r="BK436">
            <v>0</v>
          </cell>
          <cell r="BL436">
            <v>0</v>
          </cell>
          <cell r="BM436" t="str">
            <v>-</v>
          </cell>
          <cell r="BN436">
            <v>15</v>
          </cell>
          <cell r="BO436" t="str">
            <v/>
          </cell>
          <cell r="BP436">
            <v>0</v>
          </cell>
          <cell r="BQ436">
            <v>0</v>
          </cell>
          <cell r="BR436" t="str">
            <v>-</v>
          </cell>
          <cell r="BS436">
            <v>0</v>
          </cell>
          <cell r="BT436">
            <v>0</v>
          </cell>
          <cell r="BU436" t="str">
            <v>-</v>
          </cell>
        </row>
        <row r="437">
          <cell r="A437" t="str">
            <v>21710RET</v>
          </cell>
          <cell r="B437">
            <v>21710</v>
          </cell>
          <cell r="C437" t="str">
            <v>RET</v>
          </cell>
          <cell r="D437" t="str">
            <v>Total Electric</v>
          </cell>
          <cell r="E437" t="str">
            <v>Replace Pneumatic contols with DDC</v>
          </cell>
          <cell r="F437" t="str">
            <v>C</v>
          </cell>
          <cell r="G437" t="str">
            <v>Y</v>
          </cell>
          <cell r="M437" t="str">
            <v>RET</v>
          </cell>
          <cell r="N437" t="str">
            <v>Pnemautic controls on HVAC system</v>
          </cell>
          <cell r="O437">
            <v>2021</v>
          </cell>
          <cell r="P437">
            <v>2030</v>
          </cell>
          <cell r="Q437" t="str">
            <v>Large Office</v>
          </cell>
          <cell r="R437" t="str">
            <v/>
          </cell>
          <cell r="S437">
            <v>0</v>
          </cell>
          <cell r="T437">
            <v>0</v>
          </cell>
          <cell r="U437">
            <v>0</v>
          </cell>
          <cell r="V437">
            <v>0</v>
          </cell>
          <cell r="W437">
            <v>0.15</v>
          </cell>
          <cell r="X437" t="str">
            <v>-</v>
          </cell>
          <cell r="Y437">
            <v>39</v>
          </cell>
          <cell r="Z437">
            <v>39</v>
          </cell>
          <cell r="AA437">
            <v>0</v>
          </cell>
          <cell r="AB437">
            <v>0</v>
          </cell>
          <cell r="AC437">
            <v>0</v>
          </cell>
          <cell r="AD437">
            <v>0</v>
          </cell>
          <cell r="AE437" t="str">
            <v>27,12</v>
          </cell>
          <cell r="AF437" t="str">
            <v>27,12</v>
          </cell>
          <cell r="AG437">
            <v>0</v>
          </cell>
          <cell r="AH437">
            <v>0</v>
          </cell>
          <cell r="AI437">
            <v>0</v>
          </cell>
          <cell r="AJ437">
            <v>0</v>
          </cell>
          <cell r="AK437">
            <v>0</v>
          </cell>
          <cell r="AL437" t="str">
            <v>-</v>
          </cell>
          <cell r="AM437" t="str">
            <v>-</v>
          </cell>
          <cell r="AN437" t="str">
            <v/>
          </cell>
          <cell r="AO437">
            <v>0</v>
          </cell>
          <cell r="AP437" t="str">
            <v>-</v>
          </cell>
          <cell r="AQ437">
            <v>0</v>
          </cell>
          <cell r="AR437" t="str">
            <v>-</v>
          </cell>
          <cell r="AS437">
            <v>0</v>
          </cell>
          <cell r="AT437" t="str">
            <v/>
          </cell>
          <cell r="AU437">
            <v>0</v>
          </cell>
          <cell r="AV437" t="str">
            <v>-</v>
          </cell>
          <cell r="AW437">
            <v>0</v>
          </cell>
          <cell r="AX437" t="str">
            <v>-</v>
          </cell>
          <cell r="AY437">
            <v>0</v>
          </cell>
          <cell r="AZ437" t="str">
            <v/>
          </cell>
          <cell r="BA437">
            <v>0</v>
          </cell>
          <cell r="BB437" t="str">
            <v>-</v>
          </cell>
          <cell r="BC437">
            <v>0</v>
          </cell>
          <cell r="BD437" t="str">
            <v>-</v>
          </cell>
          <cell r="BE437">
            <v>0</v>
          </cell>
          <cell r="BF437" t="str">
            <v/>
          </cell>
          <cell r="BG437">
            <v>0</v>
          </cell>
          <cell r="BH437" t="str">
            <v>-</v>
          </cell>
          <cell r="BI437">
            <v>0</v>
          </cell>
          <cell r="BJ437" t="str">
            <v>-</v>
          </cell>
          <cell r="BK437">
            <v>0</v>
          </cell>
          <cell r="BL437">
            <v>0</v>
          </cell>
          <cell r="BM437" t="str">
            <v>-</v>
          </cell>
          <cell r="BN437">
            <v>15</v>
          </cell>
          <cell r="BO437" t="str">
            <v/>
          </cell>
          <cell r="BP437">
            <v>0</v>
          </cell>
          <cell r="BQ437">
            <v>0</v>
          </cell>
          <cell r="BR437" t="str">
            <v>-</v>
          </cell>
          <cell r="BS437">
            <v>0</v>
          </cell>
          <cell r="BT437">
            <v>0</v>
          </cell>
          <cell r="BU437" t="str">
            <v>-</v>
          </cell>
        </row>
        <row r="438">
          <cell r="A438" t="str">
            <v>21711MD</v>
          </cell>
          <cell r="B438">
            <v>21711</v>
          </cell>
          <cell r="C438" t="str">
            <v>MD</v>
          </cell>
          <cell r="D438" t="str">
            <v>Total Electric</v>
          </cell>
          <cell r="E438" t="str">
            <v xml:space="preserve">Comprehensive Data Center </v>
          </cell>
          <cell r="F438" t="str">
            <v>C</v>
          </cell>
          <cell r="G438" t="str">
            <v>Y</v>
          </cell>
          <cell r="M438" t="str">
            <v>NC,RENO</v>
          </cell>
          <cell r="N438" t="str">
            <v>Data Center built to standard building practices</v>
          </cell>
          <cell r="O438">
            <v>2021</v>
          </cell>
          <cell r="P438">
            <v>2030</v>
          </cell>
          <cell r="Q438" t="str">
            <v>Large Office</v>
          </cell>
          <cell r="R438" t="str">
            <v/>
          </cell>
          <cell r="S438">
            <v>0</v>
          </cell>
          <cell r="T438">
            <v>0</v>
          </cell>
          <cell r="U438">
            <v>0</v>
          </cell>
          <cell r="V438">
            <v>0</v>
          </cell>
          <cell r="W438">
            <v>0.34</v>
          </cell>
          <cell r="X438" t="str">
            <v>-</v>
          </cell>
          <cell r="Y438" t="str">
            <v>37,12</v>
          </cell>
          <cell r="Z438" t="str">
            <v>37,12</v>
          </cell>
          <cell r="AA438">
            <v>0</v>
          </cell>
          <cell r="AB438">
            <v>0</v>
          </cell>
          <cell r="AC438">
            <v>0</v>
          </cell>
          <cell r="AD438">
            <v>0.4</v>
          </cell>
          <cell r="AE438" t="str">
            <v>38,12</v>
          </cell>
          <cell r="AF438" t="str">
            <v>38,12</v>
          </cell>
          <cell r="AG438">
            <v>0</v>
          </cell>
          <cell r="AH438">
            <v>0</v>
          </cell>
          <cell r="AI438">
            <v>0</v>
          </cell>
          <cell r="AJ438">
            <v>0</v>
          </cell>
          <cell r="AK438">
            <v>0</v>
          </cell>
          <cell r="AL438" t="str">
            <v>-</v>
          </cell>
          <cell r="AM438" t="str">
            <v>-</v>
          </cell>
          <cell r="AN438" t="str">
            <v/>
          </cell>
          <cell r="AO438">
            <v>0</v>
          </cell>
          <cell r="AP438" t="str">
            <v>-</v>
          </cell>
          <cell r="AQ438">
            <v>0</v>
          </cell>
          <cell r="AR438" t="str">
            <v>-</v>
          </cell>
          <cell r="AS438">
            <v>0</v>
          </cell>
          <cell r="AT438" t="str">
            <v/>
          </cell>
          <cell r="AU438">
            <v>0</v>
          </cell>
          <cell r="AV438" t="str">
            <v>-</v>
          </cell>
          <cell r="AW438">
            <v>0</v>
          </cell>
          <cell r="AX438" t="str">
            <v>-</v>
          </cell>
          <cell r="AY438">
            <v>0</v>
          </cell>
          <cell r="AZ438" t="str">
            <v/>
          </cell>
          <cell r="BA438">
            <v>0</v>
          </cell>
          <cell r="BB438" t="str">
            <v>-</v>
          </cell>
          <cell r="BC438">
            <v>0</v>
          </cell>
          <cell r="BD438" t="str">
            <v>-</v>
          </cell>
          <cell r="BE438">
            <v>0</v>
          </cell>
          <cell r="BF438" t="str">
            <v/>
          </cell>
          <cell r="BG438">
            <v>0</v>
          </cell>
          <cell r="BH438" t="str">
            <v>-</v>
          </cell>
          <cell r="BI438">
            <v>0</v>
          </cell>
          <cell r="BJ438" t="str">
            <v>-</v>
          </cell>
          <cell r="BK438">
            <v>0</v>
          </cell>
          <cell r="BL438">
            <v>0</v>
          </cell>
          <cell r="BM438" t="str">
            <v>-</v>
          </cell>
          <cell r="BN438">
            <v>15</v>
          </cell>
          <cell r="BO438" t="str">
            <v/>
          </cell>
          <cell r="BP438">
            <v>0</v>
          </cell>
          <cell r="BQ438">
            <v>0</v>
          </cell>
          <cell r="BR438" t="str">
            <v>-</v>
          </cell>
          <cell r="BS438">
            <v>0</v>
          </cell>
          <cell r="BT438">
            <v>0</v>
          </cell>
          <cell r="BU438" t="str">
            <v>-</v>
          </cell>
        </row>
        <row r="439">
          <cell r="A439" t="str">
            <v>21711RET</v>
          </cell>
          <cell r="B439">
            <v>21711</v>
          </cell>
          <cell r="C439" t="str">
            <v>RET</v>
          </cell>
          <cell r="D439" t="str">
            <v>Total Electric</v>
          </cell>
          <cell r="E439" t="str">
            <v xml:space="preserve">Comprehensive Data Center </v>
          </cell>
          <cell r="F439" t="str">
            <v>C</v>
          </cell>
          <cell r="G439" t="str">
            <v>Y</v>
          </cell>
          <cell r="M439" t="str">
            <v>RET</v>
          </cell>
          <cell r="N439" t="str">
            <v>Existing datacenter</v>
          </cell>
          <cell r="O439">
            <v>2021</v>
          </cell>
          <cell r="P439">
            <v>2030</v>
          </cell>
          <cell r="Q439" t="str">
            <v>Large Office</v>
          </cell>
          <cell r="R439" t="str">
            <v/>
          </cell>
          <cell r="S439">
            <v>0</v>
          </cell>
          <cell r="T439">
            <v>0</v>
          </cell>
          <cell r="U439">
            <v>0</v>
          </cell>
          <cell r="V439">
            <v>0</v>
          </cell>
          <cell r="W439">
            <v>0.3</v>
          </cell>
          <cell r="X439" t="str">
            <v>-</v>
          </cell>
          <cell r="Y439">
            <v>37</v>
          </cell>
          <cell r="Z439">
            <v>37</v>
          </cell>
          <cell r="AA439">
            <v>0</v>
          </cell>
          <cell r="AB439">
            <v>0</v>
          </cell>
          <cell r="AC439">
            <v>0</v>
          </cell>
          <cell r="AD439">
            <v>0.86726682047240122</v>
          </cell>
          <cell r="AE439">
            <v>38</v>
          </cell>
          <cell r="AF439">
            <v>38</v>
          </cell>
          <cell r="AG439">
            <v>0</v>
          </cell>
          <cell r="AH439">
            <v>0</v>
          </cell>
          <cell r="AI439">
            <v>0</v>
          </cell>
          <cell r="AJ439">
            <v>0</v>
          </cell>
          <cell r="AK439">
            <v>0</v>
          </cell>
          <cell r="AL439" t="str">
            <v>-</v>
          </cell>
          <cell r="AM439" t="str">
            <v>-</v>
          </cell>
          <cell r="AN439" t="str">
            <v/>
          </cell>
          <cell r="AO439">
            <v>0</v>
          </cell>
          <cell r="AP439" t="str">
            <v>-</v>
          </cell>
          <cell r="AQ439">
            <v>0</v>
          </cell>
          <cell r="AR439" t="str">
            <v>-</v>
          </cell>
          <cell r="AS439">
            <v>0</v>
          </cell>
          <cell r="AT439" t="str">
            <v/>
          </cell>
          <cell r="AU439">
            <v>0</v>
          </cell>
          <cell r="AV439" t="str">
            <v>-</v>
          </cell>
          <cell r="AW439">
            <v>0</v>
          </cell>
          <cell r="AX439" t="str">
            <v>-</v>
          </cell>
          <cell r="AY439">
            <v>0</v>
          </cell>
          <cell r="AZ439" t="str">
            <v/>
          </cell>
          <cell r="BA439">
            <v>0</v>
          </cell>
          <cell r="BB439" t="str">
            <v>-</v>
          </cell>
          <cell r="BC439">
            <v>0</v>
          </cell>
          <cell r="BD439" t="str">
            <v>-</v>
          </cell>
          <cell r="BE439">
            <v>0</v>
          </cell>
          <cell r="BF439" t="str">
            <v/>
          </cell>
          <cell r="BG439">
            <v>0</v>
          </cell>
          <cell r="BH439" t="str">
            <v>-</v>
          </cell>
          <cell r="BI439">
            <v>0</v>
          </cell>
          <cell r="BJ439" t="str">
            <v>-</v>
          </cell>
          <cell r="BK439">
            <v>0</v>
          </cell>
          <cell r="BL439">
            <v>0</v>
          </cell>
          <cell r="BM439" t="str">
            <v>-</v>
          </cell>
          <cell r="BN439">
            <v>15</v>
          </cell>
          <cell r="BO439" t="str">
            <v/>
          </cell>
          <cell r="BP439">
            <v>0</v>
          </cell>
          <cell r="BQ439">
            <v>0</v>
          </cell>
          <cell r="BR439" t="str">
            <v>-</v>
          </cell>
          <cell r="BS439">
            <v>0</v>
          </cell>
          <cell r="BT439">
            <v>0</v>
          </cell>
          <cell r="BU439" t="str">
            <v>-</v>
          </cell>
        </row>
        <row r="440">
          <cell r="A440" t="str">
            <v>21712MD</v>
          </cell>
          <cell r="B440">
            <v>21712</v>
          </cell>
          <cell r="C440" t="str">
            <v>MD</v>
          </cell>
          <cell r="D440" t="str">
            <v>Total Electric</v>
          </cell>
          <cell r="E440" t="str">
            <v xml:space="preserve">Comprehensive Data Center </v>
          </cell>
          <cell r="F440" t="str">
            <v>C</v>
          </cell>
          <cell r="G440" t="str">
            <v>Y</v>
          </cell>
          <cell r="M440" t="str">
            <v>NC,RENO</v>
          </cell>
          <cell r="N440" t="str">
            <v>Data Center built to standard building practices</v>
          </cell>
          <cell r="O440">
            <v>2021</v>
          </cell>
          <cell r="P440">
            <v>2030</v>
          </cell>
          <cell r="Q440" t="str">
            <v>Large Office</v>
          </cell>
          <cell r="R440" t="str">
            <v/>
          </cell>
          <cell r="S440">
            <v>0</v>
          </cell>
          <cell r="T440">
            <v>0</v>
          </cell>
          <cell r="U440">
            <v>0</v>
          </cell>
          <cell r="V440">
            <v>0</v>
          </cell>
          <cell r="W440">
            <v>0.34</v>
          </cell>
          <cell r="X440" t="str">
            <v>-</v>
          </cell>
          <cell r="Y440" t="str">
            <v>37,12</v>
          </cell>
          <cell r="Z440" t="str">
            <v>37,12</v>
          </cell>
          <cell r="AA440">
            <v>0</v>
          </cell>
          <cell r="AB440">
            <v>0</v>
          </cell>
          <cell r="AC440">
            <v>0</v>
          </cell>
          <cell r="AD440">
            <v>0</v>
          </cell>
          <cell r="AE440" t="str">
            <v>38,12</v>
          </cell>
          <cell r="AF440" t="str">
            <v>38,12</v>
          </cell>
          <cell r="AG440">
            <v>0</v>
          </cell>
          <cell r="AH440">
            <v>0</v>
          </cell>
          <cell r="AI440">
            <v>0</v>
          </cell>
          <cell r="AJ440">
            <v>0</v>
          </cell>
          <cell r="AK440">
            <v>0</v>
          </cell>
          <cell r="AL440" t="str">
            <v>-</v>
          </cell>
          <cell r="AM440" t="str">
            <v>-</v>
          </cell>
          <cell r="AN440" t="str">
            <v/>
          </cell>
          <cell r="AO440">
            <v>0</v>
          </cell>
          <cell r="AP440" t="str">
            <v>-</v>
          </cell>
          <cell r="AQ440">
            <v>0</v>
          </cell>
          <cell r="AR440" t="str">
            <v>-</v>
          </cell>
          <cell r="AS440">
            <v>0</v>
          </cell>
          <cell r="AT440" t="str">
            <v/>
          </cell>
          <cell r="AU440">
            <v>0</v>
          </cell>
          <cell r="AV440" t="str">
            <v>-</v>
          </cell>
          <cell r="AW440">
            <v>0</v>
          </cell>
          <cell r="AX440" t="str">
            <v>-</v>
          </cell>
          <cell r="AY440">
            <v>0</v>
          </cell>
          <cell r="AZ440" t="str">
            <v/>
          </cell>
          <cell r="BA440">
            <v>0</v>
          </cell>
          <cell r="BB440" t="str">
            <v>-</v>
          </cell>
          <cell r="BC440">
            <v>0</v>
          </cell>
          <cell r="BD440" t="str">
            <v>-</v>
          </cell>
          <cell r="BE440">
            <v>0</v>
          </cell>
          <cell r="BF440" t="str">
            <v/>
          </cell>
          <cell r="BG440">
            <v>0</v>
          </cell>
          <cell r="BH440" t="str">
            <v>-</v>
          </cell>
          <cell r="BI440">
            <v>0</v>
          </cell>
          <cell r="BJ440" t="str">
            <v>-</v>
          </cell>
          <cell r="BK440">
            <v>0</v>
          </cell>
          <cell r="BL440">
            <v>0</v>
          </cell>
          <cell r="BM440" t="str">
            <v>-</v>
          </cell>
          <cell r="BN440">
            <v>15</v>
          </cell>
          <cell r="BO440" t="str">
            <v/>
          </cell>
          <cell r="BP440">
            <v>0</v>
          </cell>
          <cell r="BQ440">
            <v>0</v>
          </cell>
          <cell r="BR440" t="str">
            <v>-</v>
          </cell>
          <cell r="BS440">
            <v>0</v>
          </cell>
          <cell r="BT440">
            <v>0</v>
          </cell>
          <cell r="BU440" t="str">
            <v>-</v>
          </cell>
        </row>
        <row r="441">
          <cell r="A441" t="str">
            <v>21712RET</v>
          </cell>
          <cell r="B441">
            <v>21712</v>
          </cell>
          <cell r="C441" t="str">
            <v>RET</v>
          </cell>
          <cell r="D441" t="str">
            <v>Total Electric</v>
          </cell>
          <cell r="E441" t="str">
            <v xml:space="preserve">Comprehensive Data Center </v>
          </cell>
          <cell r="F441" t="str">
            <v>C</v>
          </cell>
          <cell r="G441" t="str">
            <v>Y</v>
          </cell>
          <cell r="M441" t="str">
            <v>RET</v>
          </cell>
          <cell r="N441" t="str">
            <v>Existing datacenter</v>
          </cell>
          <cell r="O441">
            <v>2021</v>
          </cell>
          <cell r="P441">
            <v>2030</v>
          </cell>
          <cell r="Q441" t="str">
            <v>Large Office</v>
          </cell>
          <cell r="R441" t="str">
            <v/>
          </cell>
          <cell r="S441">
            <v>0</v>
          </cell>
          <cell r="T441">
            <v>0</v>
          </cell>
          <cell r="U441">
            <v>0</v>
          </cell>
          <cell r="V441">
            <v>0</v>
          </cell>
          <cell r="W441">
            <v>0.3</v>
          </cell>
          <cell r="X441" t="str">
            <v>-</v>
          </cell>
          <cell r="Y441">
            <v>37</v>
          </cell>
          <cell r="Z441">
            <v>37</v>
          </cell>
          <cell r="AA441">
            <v>0</v>
          </cell>
          <cell r="AB441">
            <v>0</v>
          </cell>
          <cell r="AC441">
            <v>0</v>
          </cell>
          <cell r="AD441">
            <v>0</v>
          </cell>
          <cell r="AE441">
            <v>38</v>
          </cell>
          <cell r="AF441">
            <v>38</v>
          </cell>
          <cell r="AG441">
            <v>0</v>
          </cell>
          <cell r="AH441">
            <v>0</v>
          </cell>
          <cell r="AI441">
            <v>0</v>
          </cell>
          <cell r="AJ441">
            <v>0</v>
          </cell>
          <cell r="AK441">
            <v>0</v>
          </cell>
          <cell r="AL441" t="str">
            <v>-</v>
          </cell>
          <cell r="AM441" t="str">
            <v>-</v>
          </cell>
          <cell r="AN441" t="str">
            <v/>
          </cell>
          <cell r="AO441">
            <v>0</v>
          </cell>
          <cell r="AP441" t="str">
            <v>-</v>
          </cell>
          <cell r="AQ441">
            <v>0</v>
          </cell>
          <cell r="AR441" t="str">
            <v>-</v>
          </cell>
          <cell r="AS441">
            <v>0</v>
          </cell>
          <cell r="AT441" t="str">
            <v/>
          </cell>
          <cell r="AU441">
            <v>0</v>
          </cell>
          <cell r="AV441" t="str">
            <v>-</v>
          </cell>
          <cell r="AW441">
            <v>0</v>
          </cell>
          <cell r="AX441" t="str">
            <v>-</v>
          </cell>
          <cell r="AY441">
            <v>0</v>
          </cell>
          <cell r="AZ441" t="str">
            <v/>
          </cell>
          <cell r="BA441">
            <v>0</v>
          </cell>
          <cell r="BB441" t="str">
            <v>-</v>
          </cell>
          <cell r="BC441">
            <v>0</v>
          </cell>
          <cell r="BD441" t="str">
            <v>-</v>
          </cell>
          <cell r="BE441">
            <v>0</v>
          </cell>
          <cell r="BF441" t="str">
            <v/>
          </cell>
          <cell r="BG441">
            <v>0</v>
          </cell>
          <cell r="BH441" t="str">
            <v>-</v>
          </cell>
          <cell r="BI441">
            <v>0</v>
          </cell>
          <cell r="BJ441" t="str">
            <v>-</v>
          </cell>
          <cell r="BK441">
            <v>0</v>
          </cell>
          <cell r="BL441">
            <v>0</v>
          </cell>
          <cell r="BM441" t="str">
            <v>-</v>
          </cell>
          <cell r="BN441">
            <v>15</v>
          </cell>
          <cell r="BO441" t="str">
            <v/>
          </cell>
          <cell r="BP441">
            <v>0</v>
          </cell>
          <cell r="BQ441">
            <v>0</v>
          </cell>
          <cell r="BR441" t="str">
            <v>-</v>
          </cell>
          <cell r="BS441">
            <v>0</v>
          </cell>
          <cell r="BT441">
            <v>0</v>
          </cell>
          <cell r="BU441" t="str">
            <v>-</v>
          </cell>
        </row>
        <row r="442">
          <cell r="A442" t="str">
            <v>21713MD</v>
          </cell>
          <cell r="B442">
            <v>21713</v>
          </cell>
          <cell r="C442" t="str">
            <v>MD</v>
          </cell>
          <cell r="D442" t="str">
            <v>Total Electric</v>
          </cell>
          <cell r="E442" t="str">
            <v>EMS - MD</v>
          </cell>
          <cell r="F442" t="str">
            <v>C</v>
          </cell>
          <cell r="G442" t="str">
            <v>Y</v>
          </cell>
          <cell r="M442" t="str">
            <v>NC,RENO</v>
          </cell>
          <cell r="N442" t="str">
            <v>No Energy Management System (EMS)</v>
          </cell>
          <cell r="O442">
            <v>2021</v>
          </cell>
          <cell r="P442">
            <v>2030</v>
          </cell>
          <cell r="Q442" t="str">
            <v>Large Office</v>
          </cell>
          <cell r="R442" t="str">
            <v/>
          </cell>
          <cell r="S442">
            <v>0</v>
          </cell>
          <cell r="T442">
            <v>0</v>
          </cell>
          <cell r="U442">
            <v>0</v>
          </cell>
          <cell r="V442">
            <v>0</v>
          </cell>
          <cell r="W442">
            <v>0.17499999999999999</v>
          </cell>
          <cell r="X442" t="str">
            <v>-</v>
          </cell>
          <cell r="Y442" t="str">
            <v>26,23</v>
          </cell>
          <cell r="Z442" t="str">
            <v>26,23</v>
          </cell>
          <cell r="AA442">
            <v>0</v>
          </cell>
          <cell r="AB442">
            <v>0</v>
          </cell>
          <cell r="AC442">
            <v>0</v>
          </cell>
          <cell r="AD442">
            <v>0.56269158956385446</v>
          </cell>
          <cell r="AE442">
            <v>26</v>
          </cell>
          <cell r="AF442">
            <v>26</v>
          </cell>
          <cell r="AG442">
            <v>0</v>
          </cell>
          <cell r="AH442">
            <v>0</v>
          </cell>
          <cell r="AI442">
            <v>0</v>
          </cell>
          <cell r="AJ442">
            <v>0</v>
          </cell>
          <cell r="AK442">
            <v>0</v>
          </cell>
          <cell r="AL442" t="str">
            <v>-</v>
          </cell>
          <cell r="AM442" t="str">
            <v>-</v>
          </cell>
          <cell r="AN442" t="str">
            <v/>
          </cell>
          <cell r="AO442">
            <v>0</v>
          </cell>
          <cell r="AP442" t="str">
            <v>-</v>
          </cell>
          <cell r="AQ442">
            <v>0</v>
          </cell>
          <cell r="AR442" t="str">
            <v>-</v>
          </cell>
          <cell r="AS442">
            <v>0</v>
          </cell>
          <cell r="AT442" t="str">
            <v/>
          </cell>
          <cell r="AU442">
            <v>0</v>
          </cell>
          <cell r="AV442" t="str">
            <v>-</v>
          </cell>
          <cell r="AW442">
            <v>0</v>
          </cell>
          <cell r="AX442" t="str">
            <v>-</v>
          </cell>
          <cell r="AY442">
            <v>0</v>
          </cell>
          <cell r="AZ442" t="str">
            <v/>
          </cell>
          <cell r="BA442">
            <v>0</v>
          </cell>
          <cell r="BB442" t="str">
            <v>-</v>
          </cell>
          <cell r="BC442">
            <v>0</v>
          </cell>
          <cell r="BD442" t="str">
            <v>-</v>
          </cell>
          <cell r="BE442">
            <v>0</v>
          </cell>
          <cell r="BF442" t="str">
            <v/>
          </cell>
          <cell r="BG442">
            <v>0</v>
          </cell>
          <cell r="BH442" t="str">
            <v>-</v>
          </cell>
          <cell r="BI442">
            <v>0</v>
          </cell>
          <cell r="BJ442" t="str">
            <v>-</v>
          </cell>
          <cell r="BK442">
            <v>0</v>
          </cell>
          <cell r="BL442">
            <v>0</v>
          </cell>
          <cell r="BM442" t="str">
            <v>-</v>
          </cell>
          <cell r="BN442">
            <v>15</v>
          </cell>
          <cell r="BO442" t="str">
            <v/>
          </cell>
          <cell r="BP442">
            <v>0</v>
          </cell>
          <cell r="BQ442">
            <v>0</v>
          </cell>
          <cell r="BR442" t="str">
            <v>-</v>
          </cell>
          <cell r="BS442">
            <v>0</v>
          </cell>
          <cell r="BT442">
            <v>0</v>
          </cell>
          <cell r="BU442" t="str">
            <v>-</v>
          </cell>
        </row>
        <row r="443">
          <cell r="A443" t="str">
            <v>21713RET</v>
          </cell>
          <cell r="B443">
            <v>21713</v>
          </cell>
          <cell r="C443" t="str">
            <v>RET</v>
          </cell>
          <cell r="D443" t="str">
            <v>Total Electric</v>
          </cell>
          <cell r="E443" t="str">
            <v>EMS - RET</v>
          </cell>
          <cell r="F443" t="str">
            <v>C</v>
          </cell>
          <cell r="G443" t="str">
            <v>Y</v>
          </cell>
          <cell r="M443" t="str">
            <v>RET</v>
          </cell>
          <cell r="N443" t="str">
            <v>No Energy Management System (EMS)</v>
          </cell>
          <cell r="O443">
            <v>2021</v>
          </cell>
          <cell r="P443">
            <v>2030</v>
          </cell>
          <cell r="Q443" t="str">
            <v>Large Office</v>
          </cell>
          <cell r="R443" t="str">
            <v/>
          </cell>
          <cell r="S443">
            <v>0</v>
          </cell>
          <cell r="T443">
            <v>0</v>
          </cell>
          <cell r="U443">
            <v>0</v>
          </cell>
          <cell r="V443">
            <v>0</v>
          </cell>
          <cell r="W443">
            <v>0.22</v>
          </cell>
          <cell r="X443" t="str">
            <v>-</v>
          </cell>
          <cell r="Y443" t="str">
            <v>26,23</v>
          </cell>
          <cell r="Z443" t="str">
            <v>26,23</v>
          </cell>
          <cell r="AA443">
            <v>0</v>
          </cell>
          <cell r="AB443">
            <v>0</v>
          </cell>
          <cell r="AC443">
            <v>0</v>
          </cell>
          <cell r="AD443">
            <v>0.44759558260761145</v>
          </cell>
          <cell r="AE443">
            <v>27</v>
          </cell>
          <cell r="AF443">
            <v>27</v>
          </cell>
          <cell r="AG443">
            <v>0</v>
          </cell>
          <cell r="AH443">
            <v>0</v>
          </cell>
          <cell r="AI443">
            <v>0</v>
          </cell>
          <cell r="AJ443">
            <v>0</v>
          </cell>
          <cell r="AK443">
            <v>0</v>
          </cell>
          <cell r="AL443" t="str">
            <v>-</v>
          </cell>
          <cell r="AM443" t="str">
            <v>-</v>
          </cell>
          <cell r="AN443" t="str">
            <v/>
          </cell>
          <cell r="AO443">
            <v>0</v>
          </cell>
          <cell r="AP443" t="str">
            <v>-</v>
          </cell>
          <cell r="AQ443">
            <v>0</v>
          </cell>
          <cell r="AR443" t="str">
            <v>-</v>
          </cell>
          <cell r="AS443">
            <v>0</v>
          </cell>
          <cell r="AT443" t="str">
            <v/>
          </cell>
          <cell r="AU443">
            <v>0</v>
          </cell>
          <cell r="AV443" t="str">
            <v>-</v>
          </cell>
          <cell r="AW443">
            <v>0</v>
          </cell>
          <cell r="AX443" t="str">
            <v>-</v>
          </cell>
          <cell r="AY443">
            <v>0</v>
          </cell>
          <cell r="AZ443" t="str">
            <v/>
          </cell>
          <cell r="BA443">
            <v>0</v>
          </cell>
          <cell r="BB443" t="str">
            <v>-</v>
          </cell>
          <cell r="BC443">
            <v>0</v>
          </cell>
          <cell r="BD443" t="str">
            <v>-</v>
          </cell>
          <cell r="BE443">
            <v>0</v>
          </cell>
          <cell r="BF443" t="str">
            <v/>
          </cell>
          <cell r="BG443">
            <v>0</v>
          </cell>
          <cell r="BH443" t="str">
            <v>-</v>
          </cell>
          <cell r="BI443">
            <v>0</v>
          </cell>
          <cell r="BJ443" t="str">
            <v>-</v>
          </cell>
          <cell r="BK443">
            <v>0</v>
          </cell>
          <cell r="BL443">
            <v>0</v>
          </cell>
          <cell r="BM443" t="str">
            <v>-</v>
          </cell>
          <cell r="BN443">
            <v>15</v>
          </cell>
          <cell r="BO443" t="str">
            <v/>
          </cell>
          <cell r="BP443">
            <v>0</v>
          </cell>
          <cell r="BQ443">
            <v>0</v>
          </cell>
          <cell r="BR443" t="str">
            <v>-</v>
          </cell>
          <cell r="BS443">
            <v>0</v>
          </cell>
          <cell r="BT443">
            <v>0</v>
          </cell>
          <cell r="BU443" t="str">
            <v>-</v>
          </cell>
        </row>
        <row r="444">
          <cell r="A444" t="str">
            <v>21714MD</v>
          </cell>
          <cell r="B444">
            <v>21714</v>
          </cell>
          <cell r="C444" t="str">
            <v>MD</v>
          </cell>
          <cell r="D444" t="str">
            <v>Total Electric</v>
          </cell>
          <cell r="E444" t="str">
            <v>EMS - MD</v>
          </cell>
          <cell r="F444" t="str">
            <v>C</v>
          </cell>
          <cell r="G444" t="str">
            <v>Y</v>
          </cell>
          <cell r="M444" t="str">
            <v>NC,RENO</v>
          </cell>
          <cell r="N444" t="str">
            <v>No Energy Management System (EMS)</v>
          </cell>
          <cell r="O444">
            <v>2021</v>
          </cell>
          <cell r="P444">
            <v>2030</v>
          </cell>
          <cell r="Q444" t="str">
            <v>Large Office</v>
          </cell>
          <cell r="R444" t="str">
            <v/>
          </cell>
          <cell r="S444">
            <v>0</v>
          </cell>
          <cell r="T444">
            <v>0</v>
          </cell>
          <cell r="U444">
            <v>0</v>
          </cell>
          <cell r="V444">
            <v>0</v>
          </cell>
          <cell r="W444">
            <v>0.17499999999999999</v>
          </cell>
          <cell r="X444" t="str">
            <v>-</v>
          </cell>
          <cell r="Y444" t="str">
            <v>26,23</v>
          </cell>
          <cell r="Z444" t="str">
            <v>26,23</v>
          </cell>
          <cell r="AA444">
            <v>0</v>
          </cell>
          <cell r="AB444">
            <v>0</v>
          </cell>
          <cell r="AC444">
            <v>0</v>
          </cell>
          <cell r="AD444">
            <v>0.87642418930762489</v>
          </cell>
          <cell r="AE444">
            <v>26</v>
          </cell>
          <cell r="AF444">
            <v>26</v>
          </cell>
          <cell r="AG444">
            <v>0</v>
          </cell>
          <cell r="AH444">
            <v>0</v>
          </cell>
          <cell r="AI444">
            <v>0</v>
          </cell>
          <cell r="AJ444">
            <v>0</v>
          </cell>
          <cell r="AK444">
            <v>0</v>
          </cell>
          <cell r="AL444" t="str">
            <v>-</v>
          </cell>
          <cell r="AM444" t="str">
            <v>-</v>
          </cell>
          <cell r="AN444" t="str">
            <v/>
          </cell>
          <cell r="AO444">
            <v>0</v>
          </cell>
          <cell r="AP444" t="str">
            <v>-</v>
          </cell>
          <cell r="AQ444">
            <v>0</v>
          </cell>
          <cell r="AR444" t="str">
            <v>-</v>
          </cell>
          <cell r="AS444">
            <v>0</v>
          </cell>
          <cell r="AT444" t="str">
            <v/>
          </cell>
          <cell r="AU444">
            <v>0</v>
          </cell>
          <cell r="AV444" t="str">
            <v>-</v>
          </cell>
          <cell r="AW444">
            <v>0</v>
          </cell>
          <cell r="AX444" t="str">
            <v>-</v>
          </cell>
          <cell r="AY444">
            <v>0</v>
          </cell>
          <cell r="AZ444" t="str">
            <v/>
          </cell>
          <cell r="BA444">
            <v>0</v>
          </cell>
          <cell r="BB444" t="str">
            <v>-</v>
          </cell>
          <cell r="BC444">
            <v>0</v>
          </cell>
          <cell r="BD444" t="str">
            <v>-</v>
          </cell>
          <cell r="BE444">
            <v>0</v>
          </cell>
          <cell r="BF444" t="str">
            <v/>
          </cell>
          <cell r="BG444">
            <v>0</v>
          </cell>
          <cell r="BH444" t="str">
            <v>-</v>
          </cell>
          <cell r="BI444">
            <v>0</v>
          </cell>
          <cell r="BJ444" t="str">
            <v>-</v>
          </cell>
          <cell r="BK444">
            <v>0</v>
          </cell>
          <cell r="BL444">
            <v>0</v>
          </cell>
          <cell r="BM444" t="str">
            <v>-</v>
          </cell>
          <cell r="BN444">
            <v>15</v>
          </cell>
          <cell r="BO444" t="str">
            <v/>
          </cell>
          <cell r="BP444">
            <v>0</v>
          </cell>
          <cell r="BQ444">
            <v>0</v>
          </cell>
          <cell r="BR444" t="str">
            <v>-</v>
          </cell>
          <cell r="BS444">
            <v>0</v>
          </cell>
          <cell r="BT444">
            <v>0</v>
          </cell>
          <cell r="BU444" t="str">
            <v>-</v>
          </cell>
        </row>
        <row r="445">
          <cell r="A445" t="str">
            <v>21714RET</v>
          </cell>
          <cell r="B445">
            <v>21714</v>
          </cell>
          <cell r="C445" t="str">
            <v>RET</v>
          </cell>
          <cell r="D445" t="str">
            <v>Total Electric</v>
          </cell>
          <cell r="E445" t="str">
            <v>EMS - RET</v>
          </cell>
          <cell r="F445" t="str">
            <v>C</v>
          </cell>
          <cell r="G445" t="str">
            <v>Y</v>
          </cell>
          <cell r="M445" t="str">
            <v>RET</v>
          </cell>
          <cell r="N445" t="str">
            <v>No Energy Management System (EMS)</v>
          </cell>
          <cell r="O445">
            <v>2021</v>
          </cell>
          <cell r="P445">
            <v>2030</v>
          </cell>
          <cell r="Q445" t="str">
            <v>Large Office</v>
          </cell>
          <cell r="R445" t="str">
            <v/>
          </cell>
          <cell r="S445">
            <v>0</v>
          </cell>
          <cell r="T445">
            <v>0</v>
          </cell>
          <cell r="U445">
            <v>0</v>
          </cell>
          <cell r="V445">
            <v>0</v>
          </cell>
          <cell r="W445">
            <v>0.22</v>
          </cell>
          <cell r="X445" t="str">
            <v>-</v>
          </cell>
          <cell r="Y445" t="str">
            <v>26,23</v>
          </cell>
          <cell r="Z445" t="str">
            <v>26,23</v>
          </cell>
          <cell r="AA445">
            <v>0</v>
          </cell>
          <cell r="AB445">
            <v>0</v>
          </cell>
          <cell r="AC445">
            <v>0</v>
          </cell>
          <cell r="AD445">
            <v>1.3943112102621305</v>
          </cell>
          <cell r="AE445">
            <v>27</v>
          </cell>
          <cell r="AF445">
            <v>27</v>
          </cell>
          <cell r="AG445">
            <v>0</v>
          </cell>
          <cell r="AH445">
            <v>0</v>
          </cell>
          <cell r="AI445">
            <v>0</v>
          </cell>
          <cell r="AJ445">
            <v>0</v>
          </cell>
          <cell r="AK445">
            <v>0</v>
          </cell>
          <cell r="AL445" t="str">
            <v>-</v>
          </cell>
          <cell r="AM445" t="str">
            <v>-</v>
          </cell>
          <cell r="AN445" t="str">
            <v/>
          </cell>
          <cell r="AO445">
            <v>0</v>
          </cell>
          <cell r="AP445" t="str">
            <v>-</v>
          </cell>
          <cell r="AQ445">
            <v>0</v>
          </cell>
          <cell r="AR445" t="str">
            <v>-</v>
          </cell>
          <cell r="AS445">
            <v>0</v>
          </cell>
          <cell r="AT445" t="str">
            <v/>
          </cell>
          <cell r="AU445">
            <v>0</v>
          </cell>
          <cell r="AV445" t="str">
            <v>-</v>
          </cell>
          <cell r="AW445">
            <v>0</v>
          </cell>
          <cell r="AX445" t="str">
            <v>-</v>
          </cell>
          <cell r="AY445">
            <v>0</v>
          </cell>
          <cell r="AZ445" t="str">
            <v/>
          </cell>
          <cell r="BA445">
            <v>0</v>
          </cell>
          <cell r="BB445" t="str">
            <v>-</v>
          </cell>
          <cell r="BC445">
            <v>0</v>
          </cell>
          <cell r="BD445" t="str">
            <v>-</v>
          </cell>
          <cell r="BE445">
            <v>0</v>
          </cell>
          <cell r="BF445" t="str">
            <v/>
          </cell>
          <cell r="BG445">
            <v>0</v>
          </cell>
          <cell r="BH445" t="str">
            <v>-</v>
          </cell>
          <cell r="BI445">
            <v>0</v>
          </cell>
          <cell r="BJ445" t="str">
            <v>-</v>
          </cell>
          <cell r="BK445">
            <v>0</v>
          </cell>
          <cell r="BL445">
            <v>0</v>
          </cell>
          <cell r="BM445" t="str">
            <v>-</v>
          </cell>
          <cell r="BN445">
            <v>15</v>
          </cell>
          <cell r="BO445" t="str">
            <v/>
          </cell>
          <cell r="BP445">
            <v>0</v>
          </cell>
          <cell r="BQ445">
            <v>0</v>
          </cell>
          <cell r="BR445" t="str">
            <v>-</v>
          </cell>
          <cell r="BS445">
            <v>0</v>
          </cell>
          <cell r="BT445">
            <v>0</v>
          </cell>
          <cell r="BU445" t="str">
            <v>-</v>
          </cell>
        </row>
        <row r="446">
          <cell r="A446" t="str">
            <v>21715RET</v>
          </cell>
          <cell r="B446">
            <v>21715</v>
          </cell>
          <cell r="C446" t="str">
            <v>RET</v>
          </cell>
          <cell r="D446" t="str">
            <v>Total Electric</v>
          </cell>
          <cell r="E446" t="str">
            <v>Industrial Strategic Energy Management</v>
          </cell>
          <cell r="F446" t="str">
            <v>C</v>
          </cell>
          <cell r="G446" t="str">
            <v>Y</v>
          </cell>
          <cell r="M446" t="str">
            <v>RET</v>
          </cell>
          <cell r="N446" t="str">
            <v>No SEM</v>
          </cell>
          <cell r="O446">
            <v>2021</v>
          </cell>
          <cell r="P446">
            <v>2030</v>
          </cell>
          <cell r="Q446" t="str">
            <v>Large Industrial Manufacturing</v>
          </cell>
          <cell r="R446" t="str">
            <v/>
          </cell>
          <cell r="S446">
            <v>0</v>
          </cell>
          <cell r="T446">
            <v>0</v>
          </cell>
          <cell r="U446">
            <v>0</v>
          </cell>
          <cell r="V446">
            <v>0</v>
          </cell>
          <cell r="W446">
            <v>0.05</v>
          </cell>
          <cell r="X446" t="str">
            <v>-</v>
          </cell>
          <cell r="Y446" t="str">
            <v>53,54</v>
          </cell>
          <cell r="Z446" t="str">
            <v>53,54</v>
          </cell>
          <cell r="AA446">
            <v>0</v>
          </cell>
          <cell r="AB446">
            <v>0</v>
          </cell>
          <cell r="AC446">
            <v>0</v>
          </cell>
          <cell r="AD446">
            <v>0.12775</v>
          </cell>
          <cell r="AE446">
            <v>52</v>
          </cell>
          <cell r="AF446">
            <v>52</v>
          </cell>
          <cell r="AG446">
            <v>0</v>
          </cell>
          <cell r="AH446">
            <v>0</v>
          </cell>
          <cell r="AI446">
            <v>0</v>
          </cell>
          <cell r="AJ446">
            <v>0</v>
          </cell>
          <cell r="AK446">
            <v>0</v>
          </cell>
          <cell r="AL446" t="str">
            <v>-</v>
          </cell>
          <cell r="AM446" t="str">
            <v>-</v>
          </cell>
          <cell r="AN446" t="str">
            <v/>
          </cell>
          <cell r="AO446">
            <v>0</v>
          </cell>
          <cell r="AP446" t="str">
            <v>-</v>
          </cell>
          <cell r="AQ446">
            <v>0</v>
          </cell>
          <cell r="AR446" t="str">
            <v>-</v>
          </cell>
          <cell r="AS446">
            <v>0</v>
          </cell>
          <cell r="AT446" t="str">
            <v/>
          </cell>
          <cell r="AU446">
            <v>0</v>
          </cell>
          <cell r="AV446" t="str">
            <v>-</v>
          </cell>
          <cell r="AW446">
            <v>0</v>
          </cell>
          <cell r="AX446" t="str">
            <v>-</v>
          </cell>
          <cell r="AY446">
            <v>0</v>
          </cell>
          <cell r="AZ446" t="str">
            <v/>
          </cell>
          <cell r="BA446">
            <v>0</v>
          </cell>
          <cell r="BB446" t="str">
            <v>-</v>
          </cell>
          <cell r="BC446">
            <v>0</v>
          </cell>
          <cell r="BD446" t="str">
            <v>-</v>
          </cell>
          <cell r="BE446">
            <v>0</v>
          </cell>
          <cell r="BF446" t="str">
            <v/>
          </cell>
          <cell r="BG446">
            <v>0</v>
          </cell>
          <cell r="BH446" t="str">
            <v>-</v>
          </cell>
          <cell r="BI446">
            <v>0</v>
          </cell>
          <cell r="BJ446" t="str">
            <v>-</v>
          </cell>
          <cell r="BK446">
            <v>0</v>
          </cell>
          <cell r="BL446">
            <v>0</v>
          </cell>
          <cell r="BM446" t="str">
            <v>-</v>
          </cell>
          <cell r="BN446">
            <v>3</v>
          </cell>
          <cell r="BO446" t="str">
            <v/>
          </cell>
          <cell r="BP446">
            <v>0</v>
          </cell>
          <cell r="BQ446">
            <v>0</v>
          </cell>
          <cell r="BR446" t="str">
            <v>-</v>
          </cell>
          <cell r="BS446">
            <v>0</v>
          </cell>
          <cell r="BT446">
            <v>0</v>
          </cell>
          <cell r="BU446" t="str">
            <v>-</v>
          </cell>
        </row>
        <row r="447">
          <cell r="A447" t="str">
            <v>21801MD</v>
          </cell>
          <cell r="B447">
            <v>21801</v>
          </cell>
          <cell r="C447" t="str">
            <v>MD</v>
          </cell>
          <cell r="D447" t="str">
            <v>Total Gas</v>
          </cell>
          <cell r="E447" t="str">
            <v>Integrated Building Design</v>
          </cell>
          <cell r="F447" t="str">
            <v>C</v>
          </cell>
          <cell r="G447" t="str">
            <v>Y</v>
          </cell>
          <cell r="M447" t="str">
            <v>NC,RENO</v>
          </cell>
          <cell r="N447" t="str">
            <v>Code Compliant Building</v>
          </cell>
          <cell r="O447">
            <v>2021</v>
          </cell>
          <cell r="P447">
            <v>2030</v>
          </cell>
          <cell r="Q447" t="str">
            <v>Large Office</v>
          </cell>
          <cell r="R447" t="str">
            <v/>
          </cell>
          <cell r="S447">
            <v>0</v>
          </cell>
          <cell r="T447">
            <v>0</v>
          </cell>
          <cell r="U447">
            <v>0</v>
          </cell>
          <cell r="V447">
            <v>0</v>
          </cell>
          <cell r="W447">
            <v>0.22</v>
          </cell>
          <cell r="X447" t="str">
            <v>-</v>
          </cell>
          <cell r="Y447" t="str">
            <v>30,31,32</v>
          </cell>
          <cell r="Z447" t="str">
            <v>30,31,32</v>
          </cell>
          <cell r="AA447">
            <v>0</v>
          </cell>
          <cell r="AB447">
            <v>0</v>
          </cell>
          <cell r="AC447">
            <v>0</v>
          </cell>
          <cell r="AD447">
            <v>0</v>
          </cell>
          <cell r="AE447">
            <v>33</v>
          </cell>
          <cell r="AF447">
            <v>33</v>
          </cell>
          <cell r="AG447">
            <v>0</v>
          </cell>
          <cell r="AH447">
            <v>0</v>
          </cell>
          <cell r="AI447">
            <v>0</v>
          </cell>
          <cell r="AJ447">
            <v>0</v>
          </cell>
          <cell r="AK447">
            <v>0</v>
          </cell>
          <cell r="AL447" t="str">
            <v>-</v>
          </cell>
          <cell r="AM447" t="str">
            <v>-</v>
          </cell>
          <cell r="AN447" t="str">
            <v/>
          </cell>
          <cell r="AO447">
            <v>0</v>
          </cell>
          <cell r="AP447" t="str">
            <v>-</v>
          </cell>
          <cell r="AQ447">
            <v>0</v>
          </cell>
          <cell r="AR447" t="str">
            <v>-</v>
          </cell>
          <cell r="AS447">
            <v>0</v>
          </cell>
          <cell r="AT447" t="str">
            <v/>
          </cell>
          <cell r="AU447">
            <v>0</v>
          </cell>
          <cell r="AV447" t="str">
            <v>-</v>
          </cell>
          <cell r="AW447">
            <v>0</v>
          </cell>
          <cell r="AX447" t="str">
            <v>-</v>
          </cell>
          <cell r="AY447">
            <v>0</v>
          </cell>
          <cell r="AZ447" t="str">
            <v/>
          </cell>
          <cell r="BA447">
            <v>0</v>
          </cell>
          <cell r="BB447" t="str">
            <v>-</v>
          </cell>
          <cell r="BC447">
            <v>0</v>
          </cell>
          <cell r="BD447" t="str">
            <v>-</v>
          </cell>
          <cell r="BE447">
            <v>0</v>
          </cell>
          <cell r="BF447" t="str">
            <v/>
          </cell>
          <cell r="BG447">
            <v>0</v>
          </cell>
          <cell r="BH447" t="str">
            <v>-</v>
          </cell>
          <cell r="BI447">
            <v>0</v>
          </cell>
          <cell r="BJ447" t="str">
            <v>-</v>
          </cell>
          <cell r="BK447">
            <v>0</v>
          </cell>
          <cell r="BL447">
            <v>0</v>
          </cell>
          <cell r="BM447" t="str">
            <v>-</v>
          </cell>
          <cell r="BN447">
            <v>15</v>
          </cell>
          <cell r="BO447" t="str">
            <v/>
          </cell>
          <cell r="BP447">
            <v>0</v>
          </cell>
          <cell r="BQ447">
            <v>0</v>
          </cell>
          <cell r="BR447" t="str">
            <v>-</v>
          </cell>
          <cell r="BS447">
            <v>0</v>
          </cell>
          <cell r="BT447">
            <v>0</v>
          </cell>
          <cell r="BU447" t="str">
            <v>-</v>
          </cell>
        </row>
        <row r="448">
          <cell r="A448" t="str">
            <v>21802RET</v>
          </cell>
          <cell r="B448">
            <v>21802</v>
          </cell>
          <cell r="C448" t="str">
            <v>RET</v>
          </cell>
          <cell r="D448" t="str">
            <v>Total Gas</v>
          </cell>
          <cell r="E448" t="str">
            <v>Deep Energy Retrofit</v>
          </cell>
          <cell r="F448" t="str">
            <v>C</v>
          </cell>
          <cell r="G448" t="str">
            <v>Y</v>
          </cell>
          <cell r="M448" t="str">
            <v>RET</v>
          </cell>
          <cell r="N448" t="str">
            <v>Existing building with no retrofit</v>
          </cell>
          <cell r="O448">
            <v>2021</v>
          </cell>
          <cell r="P448">
            <v>2030</v>
          </cell>
          <cell r="Q448" t="str">
            <v>Large Office</v>
          </cell>
          <cell r="R448" t="str">
            <v/>
          </cell>
          <cell r="S448">
            <v>0</v>
          </cell>
          <cell r="T448">
            <v>0</v>
          </cell>
          <cell r="U448">
            <v>0</v>
          </cell>
          <cell r="V448">
            <v>0</v>
          </cell>
          <cell r="W448">
            <v>0.35249999999999998</v>
          </cell>
          <cell r="X448" t="str">
            <v>-</v>
          </cell>
          <cell r="Y448" t="str">
            <v>28,29</v>
          </cell>
          <cell r="Z448" t="str">
            <v>28,29</v>
          </cell>
          <cell r="AA448">
            <v>0</v>
          </cell>
          <cell r="AB448">
            <v>0</v>
          </cell>
          <cell r="AC448">
            <v>0</v>
          </cell>
          <cell r="AD448">
            <v>0</v>
          </cell>
          <cell r="AE448">
            <v>29</v>
          </cell>
          <cell r="AF448">
            <v>29</v>
          </cell>
          <cell r="AG448">
            <v>0</v>
          </cell>
          <cell r="AH448">
            <v>0</v>
          </cell>
          <cell r="AI448">
            <v>0</v>
          </cell>
          <cell r="AJ448">
            <v>0</v>
          </cell>
          <cell r="AK448">
            <v>0</v>
          </cell>
          <cell r="AL448" t="str">
            <v>-</v>
          </cell>
          <cell r="AM448" t="str">
            <v>-</v>
          </cell>
          <cell r="AN448" t="str">
            <v/>
          </cell>
          <cell r="AO448">
            <v>0</v>
          </cell>
          <cell r="AP448" t="str">
            <v>-</v>
          </cell>
          <cell r="AQ448">
            <v>0</v>
          </cell>
          <cell r="AR448" t="str">
            <v>-</v>
          </cell>
          <cell r="AS448">
            <v>0</v>
          </cell>
          <cell r="AT448" t="str">
            <v/>
          </cell>
          <cell r="AU448">
            <v>0</v>
          </cell>
          <cell r="AV448" t="str">
            <v>-</v>
          </cell>
          <cell r="AW448">
            <v>0</v>
          </cell>
          <cell r="AX448" t="str">
            <v>-</v>
          </cell>
          <cell r="AY448">
            <v>0</v>
          </cell>
          <cell r="AZ448" t="str">
            <v/>
          </cell>
          <cell r="BA448">
            <v>0</v>
          </cell>
          <cell r="BB448" t="str">
            <v>-</v>
          </cell>
          <cell r="BC448">
            <v>0</v>
          </cell>
          <cell r="BD448" t="str">
            <v>-</v>
          </cell>
          <cell r="BE448">
            <v>0</v>
          </cell>
          <cell r="BF448" t="str">
            <v/>
          </cell>
          <cell r="BG448">
            <v>0</v>
          </cell>
          <cell r="BH448" t="str">
            <v>-</v>
          </cell>
          <cell r="BI448">
            <v>0</v>
          </cell>
          <cell r="BJ448" t="str">
            <v>-</v>
          </cell>
          <cell r="BK448">
            <v>0</v>
          </cell>
          <cell r="BL448">
            <v>0</v>
          </cell>
          <cell r="BM448" t="str">
            <v>-</v>
          </cell>
          <cell r="BN448">
            <v>15</v>
          </cell>
          <cell r="BO448" t="str">
            <v/>
          </cell>
          <cell r="BP448">
            <v>0</v>
          </cell>
          <cell r="BQ448">
            <v>0</v>
          </cell>
          <cell r="BR448" t="str">
            <v>-</v>
          </cell>
          <cell r="BS448">
            <v>0</v>
          </cell>
          <cell r="BT448">
            <v>0</v>
          </cell>
          <cell r="BU448" t="str">
            <v>-</v>
          </cell>
        </row>
        <row r="449">
          <cell r="A449" t="str">
            <v>21803MD</v>
          </cell>
          <cell r="B449">
            <v>21803</v>
          </cell>
          <cell r="C449" t="str">
            <v>MD</v>
          </cell>
          <cell r="D449" t="str">
            <v>Total Gas</v>
          </cell>
          <cell r="E449" t="str">
            <v>Commissioning</v>
          </cell>
          <cell r="F449" t="str">
            <v>C</v>
          </cell>
          <cell r="G449" t="str">
            <v>Y</v>
          </cell>
          <cell r="M449" t="str">
            <v>NC,RENO</v>
          </cell>
          <cell r="N449" t="str">
            <v>Uncommissioned new building</v>
          </cell>
          <cell r="O449">
            <v>2021</v>
          </cell>
          <cell r="P449">
            <v>2030</v>
          </cell>
          <cell r="Q449" t="str">
            <v>Large Office</v>
          </cell>
          <cell r="R449" t="str">
            <v/>
          </cell>
          <cell r="S449">
            <v>0</v>
          </cell>
          <cell r="T449">
            <v>0</v>
          </cell>
          <cell r="U449">
            <v>0</v>
          </cell>
          <cell r="V449">
            <v>0</v>
          </cell>
          <cell r="W449">
            <v>0.13</v>
          </cell>
          <cell r="X449" t="str">
            <v>-</v>
          </cell>
          <cell r="Y449">
            <v>34</v>
          </cell>
          <cell r="Z449">
            <v>34</v>
          </cell>
          <cell r="AA449">
            <v>0</v>
          </cell>
          <cell r="AB449">
            <v>0</v>
          </cell>
          <cell r="AC449">
            <v>0</v>
          </cell>
          <cell r="AD449">
            <v>0</v>
          </cell>
          <cell r="AE449">
            <v>35</v>
          </cell>
          <cell r="AF449">
            <v>35</v>
          </cell>
          <cell r="AG449">
            <v>0</v>
          </cell>
          <cell r="AH449">
            <v>0</v>
          </cell>
          <cell r="AI449">
            <v>0</v>
          </cell>
          <cell r="AJ449">
            <v>0</v>
          </cell>
          <cell r="AK449">
            <v>0</v>
          </cell>
          <cell r="AL449" t="str">
            <v>-</v>
          </cell>
          <cell r="AM449" t="str">
            <v>-</v>
          </cell>
          <cell r="AN449" t="str">
            <v/>
          </cell>
          <cell r="AO449">
            <v>0</v>
          </cell>
          <cell r="AP449" t="str">
            <v>-</v>
          </cell>
          <cell r="AQ449">
            <v>0</v>
          </cell>
          <cell r="AR449" t="str">
            <v>-</v>
          </cell>
          <cell r="AS449">
            <v>0</v>
          </cell>
          <cell r="AT449" t="str">
            <v/>
          </cell>
          <cell r="AU449">
            <v>0</v>
          </cell>
          <cell r="AV449" t="str">
            <v>-</v>
          </cell>
          <cell r="AW449">
            <v>0</v>
          </cell>
          <cell r="AX449" t="str">
            <v>-</v>
          </cell>
          <cell r="AY449">
            <v>0</v>
          </cell>
          <cell r="AZ449" t="str">
            <v/>
          </cell>
          <cell r="BA449">
            <v>0</v>
          </cell>
          <cell r="BB449" t="str">
            <v>-</v>
          </cell>
          <cell r="BC449">
            <v>0</v>
          </cell>
          <cell r="BD449" t="str">
            <v>-</v>
          </cell>
          <cell r="BE449">
            <v>0</v>
          </cell>
          <cell r="BF449" t="str">
            <v/>
          </cell>
          <cell r="BG449">
            <v>0</v>
          </cell>
          <cell r="BH449" t="str">
            <v>-</v>
          </cell>
          <cell r="BI449">
            <v>0</v>
          </cell>
          <cell r="BJ449" t="str">
            <v>-</v>
          </cell>
          <cell r="BK449">
            <v>0</v>
          </cell>
          <cell r="BL449">
            <v>0</v>
          </cell>
          <cell r="BM449" t="str">
            <v>-</v>
          </cell>
          <cell r="BN449">
            <v>8</v>
          </cell>
          <cell r="BO449" t="str">
            <v/>
          </cell>
          <cell r="BP449">
            <v>0</v>
          </cell>
          <cell r="BQ449">
            <v>0</v>
          </cell>
          <cell r="BR449" t="str">
            <v>-</v>
          </cell>
          <cell r="BS449">
            <v>0</v>
          </cell>
          <cell r="BT449">
            <v>0</v>
          </cell>
          <cell r="BU449" t="str">
            <v>-</v>
          </cell>
        </row>
        <row r="450">
          <cell r="A450" t="str">
            <v>21804RET</v>
          </cell>
          <cell r="B450">
            <v>21804</v>
          </cell>
          <cell r="C450" t="str">
            <v>RET</v>
          </cell>
          <cell r="D450" t="str">
            <v>Total Gas</v>
          </cell>
          <cell r="E450" t="str">
            <v>RetroCommissioning</v>
          </cell>
          <cell r="F450" t="str">
            <v>C</v>
          </cell>
          <cell r="G450" t="str">
            <v>Y</v>
          </cell>
          <cell r="M450" t="str">
            <v>RET</v>
          </cell>
          <cell r="N450" t="str">
            <v>Current building operations</v>
          </cell>
          <cell r="O450">
            <v>2021</v>
          </cell>
          <cell r="P450">
            <v>2030</v>
          </cell>
          <cell r="Q450" t="str">
            <v>Large Office</v>
          </cell>
          <cell r="R450" t="str">
            <v/>
          </cell>
          <cell r="S450">
            <v>0</v>
          </cell>
          <cell r="T450">
            <v>0</v>
          </cell>
          <cell r="U450">
            <v>0</v>
          </cell>
          <cell r="V450">
            <v>0</v>
          </cell>
          <cell r="W450">
            <v>0.06</v>
          </cell>
          <cell r="X450" t="str">
            <v>-</v>
          </cell>
          <cell r="Y450">
            <v>35</v>
          </cell>
          <cell r="Z450">
            <v>35</v>
          </cell>
          <cell r="AA450">
            <v>0</v>
          </cell>
          <cell r="AB450">
            <v>0</v>
          </cell>
          <cell r="AC450">
            <v>0</v>
          </cell>
          <cell r="AD450">
            <v>0</v>
          </cell>
          <cell r="AE450">
            <v>34</v>
          </cell>
          <cell r="AF450">
            <v>34</v>
          </cell>
          <cell r="AG450">
            <v>0</v>
          </cell>
          <cell r="AH450">
            <v>0</v>
          </cell>
          <cell r="AI450">
            <v>0</v>
          </cell>
          <cell r="AJ450">
            <v>0</v>
          </cell>
          <cell r="AK450">
            <v>0</v>
          </cell>
          <cell r="AL450" t="str">
            <v>-</v>
          </cell>
          <cell r="AM450" t="str">
            <v>-</v>
          </cell>
          <cell r="AN450" t="str">
            <v/>
          </cell>
          <cell r="AO450">
            <v>0</v>
          </cell>
          <cell r="AP450" t="str">
            <v>-</v>
          </cell>
          <cell r="AQ450">
            <v>0</v>
          </cell>
          <cell r="AR450" t="str">
            <v>-</v>
          </cell>
          <cell r="AS450">
            <v>0</v>
          </cell>
          <cell r="AT450" t="str">
            <v/>
          </cell>
          <cell r="AU450">
            <v>0</v>
          </cell>
          <cell r="AV450" t="str">
            <v>-</v>
          </cell>
          <cell r="AW450">
            <v>0</v>
          </cell>
          <cell r="AX450" t="str">
            <v>-</v>
          </cell>
          <cell r="AY450">
            <v>0</v>
          </cell>
          <cell r="AZ450" t="str">
            <v/>
          </cell>
          <cell r="BA450">
            <v>0</v>
          </cell>
          <cell r="BB450" t="str">
            <v>-</v>
          </cell>
          <cell r="BC450">
            <v>0</v>
          </cell>
          <cell r="BD450" t="str">
            <v>-</v>
          </cell>
          <cell r="BE450">
            <v>0</v>
          </cell>
          <cell r="BF450" t="str">
            <v/>
          </cell>
          <cell r="BG450">
            <v>0</v>
          </cell>
          <cell r="BH450" t="str">
            <v>-</v>
          </cell>
          <cell r="BI450">
            <v>0</v>
          </cell>
          <cell r="BJ450" t="str">
            <v>-</v>
          </cell>
          <cell r="BK450">
            <v>0</v>
          </cell>
          <cell r="BL450">
            <v>0</v>
          </cell>
          <cell r="BM450" t="str">
            <v>-</v>
          </cell>
          <cell r="BN450">
            <v>8</v>
          </cell>
          <cell r="BO450" t="str">
            <v/>
          </cell>
          <cell r="BP450">
            <v>0</v>
          </cell>
          <cell r="BQ450">
            <v>0</v>
          </cell>
          <cell r="BR450" t="str">
            <v>-</v>
          </cell>
          <cell r="BS450">
            <v>0</v>
          </cell>
          <cell r="BT450">
            <v>0</v>
          </cell>
          <cell r="BU450" t="str">
            <v>-</v>
          </cell>
        </row>
        <row r="451">
          <cell r="A451" t="str">
            <v>21805MD</v>
          </cell>
          <cell r="B451">
            <v>21805</v>
          </cell>
          <cell r="C451" t="str">
            <v>MD</v>
          </cell>
          <cell r="D451" t="str">
            <v>Total Gas</v>
          </cell>
          <cell r="E451" t="str">
            <v>Replace Pneumatic contols with DDC</v>
          </cell>
          <cell r="F451" t="str">
            <v>C</v>
          </cell>
          <cell r="G451" t="str">
            <v>Y</v>
          </cell>
          <cell r="M451" t="str">
            <v>RENO</v>
          </cell>
          <cell r="N451" t="str">
            <v>Pnemautic controls on HVAC system</v>
          </cell>
          <cell r="O451">
            <v>2021</v>
          </cell>
          <cell r="P451">
            <v>2030</v>
          </cell>
          <cell r="Q451" t="str">
            <v>Large Office</v>
          </cell>
          <cell r="R451" t="str">
            <v/>
          </cell>
          <cell r="S451">
            <v>0</v>
          </cell>
          <cell r="T451">
            <v>0</v>
          </cell>
          <cell r="U451">
            <v>0</v>
          </cell>
          <cell r="V451">
            <v>0</v>
          </cell>
          <cell r="W451">
            <v>0.15</v>
          </cell>
          <cell r="X451" t="str">
            <v>-</v>
          </cell>
          <cell r="Y451">
            <v>39</v>
          </cell>
          <cell r="Z451">
            <v>39</v>
          </cell>
          <cell r="AA451">
            <v>0</v>
          </cell>
          <cell r="AB451">
            <v>0</v>
          </cell>
          <cell r="AC451">
            <v>0</v>
          </cell>
          <cell r="AD451">
            <v>0</v>
          </cell>
          <cell r="AE451" t="str">
            <v>27,12</v>
          </cell>
          <cell r="AF451" t="str">
            <v>27,12</v>
          </cell>
          <cell r="AG451">
            <v>0</v>
          </cell>
          <cell r="AH451">
            <v>0</v>
          </cell>
          <cell r="AI451">
            <v>0</v>
          </cell>
          <cell r="AJ451">
            <v>0</v>
          </cell>
          <cell r="AK451">
            <v>0</v>
          </cell>
          <cell r="AL451" t="str">
            <v>-</v>
          </cell>
          <cell r="AM451" t="str">
            <v>-</v>
          </cell>
          <cell r="AN451" t="str">
            <v/>
          </cell>
          <cell r="AO451">
            <v>0</v>
          </cell>
          <cell r="AP451" t="str">
            <v>-</v>
          </cell>
          <cell r="AQ451">
            <v>0</v>
          </cell>
          <cell r="AR451" t="str">
            <v>-</v>
          </cell>
          <cell r="AS451">
            <v>0</v>
          </cell>
          <cell r="AT451" t="str">
            <v/>
          </cell>
          <cell r="AU451">
            <v>0</v>
          </cell>
          <cell r="AV451" t="str">
            <v>-</v>
          </cell>
          <cell r="AW451">
            <v>0</v>
          </cell>
          <cell r="AX451" t="str">
            <v>-</v>
          </cell>
          <cell r="AY451">
            <v>0</v>
          </cell>
          <cell r="AZ451" t="str">
            <v/>
          </cell>
          <cell r="BA451">
            <v>0</v>
          </cell>
          <cell r="BB451" t="str">
            <v>-</v>
          </cell>
          <cell r="BC451">
            <v>0</v>
          </cell>
          <cell r="BD451" t="str">
            <v>-</v>
          </cell>
          <cell r="BE451">
            <v>0</v>
          </cell>
          <cell r="BF451" t="str">
            <v/>
          </cell>
          <cell r="BG451">
            <v>0</v>
          </cell>
          <cell r="BH451" t="str">
            <v>-</v>
          </cell>
          <cell r="BI451">
            <v>0</v>
          </cell>
          <cell r="BJ451" t="str">
            <v>-</v>
          </cell>
          <cell r="BK451">
            <v>0</v>
          </cell>
          <cell r="BL451">
            <v>0</v>
          </cell>
          <cell r="BM451" t="str">
            <v>-</v>
          </cell>
          <cell r="BN451">
            <v>15</v>
          </cell>
          <cell r="BO451" t="str">
            <v/>
          </cell>
          <cell r="BP451">
            <v>0</v>
          </cell>
          <cell r="BQ451">
            <v>0</v>
          </cell>
          <cell r="BR451" t="str">
            <v>-</v>
          </cell>
          <cell r="BS451">
            <v>0</v>
          </cell>
          <cell r="BT451">
            <v>0</v>
          </cell>
          <cell r="BU451" t="str">
            <v>-</v>
          </cell>
        </row>
        <row r="452">
          <cell r="A452" t="str">
            <v>21805RET</v>
          </cell>
          <cell r="B452">
            <v>21805</v>
          </cell>
          <cell r="C452" t="str">
            <v>RET</v>
          </cell>
          <cell r="D452" t="str">
            <v>Total Gas</v>
          </cell>
          <cell r="E452" t="str">
            <v>Replace Pneumatic contols with DDC</v>
          </cell>
          <cell r="F452" t="str">
            <v>C</v>
          </cell>
          <cell r="G452" t="str">
            <v>Y</v>
          </cell>
          <cell r="M452" t="str">
            <v>RET</v>
          </cell>
          <cell r="N452" t="str">
            <v>Pnemautic controls on HVAC system</v>
          </cell>
          <cell r="O452">
            <v>2021</v>
          </cell>
          <cell r="P452">
            <v>2030</v>
          </cell>
          <cell r="Q452" t="str">
            <v>Large Office</v>
          </cell>
          <cell r="R452" t="str">
            <v/>
          </cell>
          <cell r="S452">
            <v>0</v>
          </cell>
          <cell r="T452">
            <v>0</v>
          </cell>
          <cell r="U452">
            <v>0</v>
          </cell>
          <cell r="V452">
            <v>0</v>
          </cell>
          <cell r="W452">
            <v>0.15</v>
          </cell>
          <cell r="X452" t="str">
            <v>-</v>
          </cell>
          <cell r="Y452">
            <v>39</v>
          </cell>
          <cell r="Z452">
            <v>39</v>
          </cell>
          <cell r="AA452">
            <v>0</v>
          </cell>
          <cell r="AB452">
            <v>0</v>
          </cell>
          <cell r="AC452">
            <v>0</v>
          </cell>
          <cell r="AD452">
            <v>0</v>
          </cell>
          <cell r="AE452" t="str">
            <v>27,12</v>
          </cell>
          <cell r="AF452" t="str">
            <v>27,12</v>
          </cell>
          <cell r="AG452">
            <v>0</v>
          </cell>
          <cell r="AH452">
            <v>0</v>
          </cell>
          <cell r="AI452">
            <v>0</v>
          </cell>
          <cell r="AJ452">
            <v>0</v>
          </cell>
          <cell r="AK452">
            <v>0</v>
          </cell>
          <cell r="AL452" t="str">
            <v>-</v>
          </cell>
          <cell r="AM452" t="str">
            <v>-</v>
          </cell>
          <cell r="AN452" t="str">
            <v/>
          </cell>
          <cell r="AO452">
            <v>0</v>
          </cell>
          <cell r="AP452" t="str">
            <v>-</v>
          </cell>
          <cell r="AQ452">
            <v>0</v>
          </cell>
          <cell r="AR452" t="str">
            <v>-</v>
          </cell>
          <cell r="AS452">
            <v>0</v>
          </cell>
          <cell r="AT452" t="str">
            <v/>
          </cell>
          <cell r="AU452">
            <v>0</v>
          </cell>
          <cell r="AV452" t="str">
            <v>-</v>
          </cell>
          <cell r="AW452">
            <v>0</v>
          </cell>
          <cell r="AX452" t="str">
            <v>-</v>
          </cell>
          <cell r="AY452">
            <v>0</v>
          </cell>
          <cell r="AZ452" t="str">
            <v/>
          </cell>
          <cell r="BA452">
            <v>0</v>
          </cell>
          <cell r="BB452" t="str">
            <v>-</v>
          </cell>
          <cell r="BC452">
            <v>0</v>
          </cell>
          <cell r="BD452" t="str">
            <v>-</v>
          </cell>
          <cell r="BE452">
            <v>0</v>
          </cell>
          <cell r="BF452" t="str">
            <v/>
          </cell>
          <cell r="BG452">
            <v>0</v>
          </cell>
          <cell r="BH452" t="str">
            <v>-</v>
          </cell>
          <cell r="BI452">
            <v>0</v>
          </cell>
          <cell r="BJ452" t="str">
            <v>-</v>
          </cell>
          <cell r="BK452">
            <v>0</v>
          </cell>
          <cell r="BL452">
            <v>0</v>
          </cell>
          <cell r="BM452" t="str">
            <v>-</v>
          </cell>
          <cell r="BN452">
            <v>15</v>
          </cell>
          <cell r="BO452" t="str">
            <v/>
          </cell>
          <cell r="BP452">
            <v>0</v>
          </cell>
          <cell r="BQ452">
            <v>0</v>
          </cell>
          <cell r="BR452" t="str">
            <v>-</v>
          </cell>
          <cell r="BS452">
            <v>0</v>
          </cell>
          <cell r="BT452">
            <v>0</v>
          </cell>
          <cell r="BU452" t="str">
            <v>-</v>
          </cell>
        </row>
        <row r="453">
          <cell r="A453" t="str">
            <v>21806MD</v>
          </cell>
          <cell r="B453">
            <v>21806</v>
          </cell>
          <cell r="C453" t="str">
            <v>MD</v>
          </cell>
          <cell r="D453" t="str">
            <v>Total Gas</v>
          </cell>
          <cell r="E453" t="str">
            <v xml:space="preserve">Comprehensive Data Center </v>
          </cell>
          <cell r="F453" t="str">
            <v>C</v>
          </cell>
          <cell r="G453" t="str">
            <v>Y</v>
          </cell>
          <cell r="M453" t="str">
            <v>NC,RENO</v>
          </cell>
          <cell r="N453" t="str">
            <v>Data Center built to standard building practices</v>
          </cell>
          <cell r="O453">
            <v>2021</v>
          </cell>
          <cell r="P453">
            <v>2030</v>
          </cell>
          <cell r="Q453" t="str">
            <v>Large Office</v>
          </cell>
          <cell r="R453" t="str">
            <v/>
          </cell>
          <cell r="S453">
            <v>0</v>
          </cell>
          <cell r="T453">
            <v>0</v>
          </cell>
          <cell r="U453">
            <v>0</v>
          </cell>
          <cell r="V453">
            <v>0</v>
          </cell>
          <cell r="W453">
            <v>0</v>
          </cell>
          <cell r="X453" t="str">
            <v>-</v>
          </cell>
          <cell r="Y453" t="str">
            <v>37,12</v>
          </cell>
          <cell r="Z453" t="str">
            <v>37,12</v>
          </cell>
          <cell r="AA453">
            <v>0</v>
          </cell>
          <cell r="AB453">
            <v>0</v>
          </cell>
          <cell r="AC453">
            <v>0</v>
          </cell>
          <cell r="AD453">
            <v>0</v>
          </cell>
          <cell r="AE453" t="str">
            <v>38,12</v>
          </cell>
          <cell r="AF453" t="str">
            <v>38,12</v>
          </cell>
          <cell r="AG453">
            <v>0</v>
          </cell>
          <cell r="AH453">
            <v>0</v>
          </cell>
          <cell r="AI453">
            <v>0</v>
          </cell>
          <cell r="AJ453">
            <v>0</v>
          </cell>
          <cell r="AK453">
            <v>0</v>
          </cell>
          <cell r="AL453" t="str">
            <v>-</v>
          </cell>
          <cell r="AM453" t="str">
            <v>-</v>
          </cell>
          <cell r="AN453" t="str">
            <v/>
          </cell>
          <cell r="AO453">
            <v>0</v>
          </cell>
          <cell r="AP453" t="str">
            <v>-</v>
          </cell>
          <cell r="AQ453">
            <v>0</v>
          </cell>
          <cell r="AR453" t="str">
            <v>-</v>
          </cell>
          <cell r="AS453">
            <v>0</v>
          </cell>
          <cell r="AT453" t="str">
            <v/>
          </cell>
          <cell r="AU453">
            <v>0</v>
          </cell>
          <cell r="AV453" t="str">
            <v>-</v>
          </cell>
          <cell r="AW453">
            <v>0</v>
          </cell>
          <cell r="AX453" t="str">
            <v>-</v>
          </cell>
          <cell r="AY453">
            <v>0</v>
          </cell>
          <cell r="AZ453" t="str">
            <v/>
          </cell>
          <cell r="BA453">
            <v>0</v>
          </cell>
          <cell r="BB453" t="str">
            <v>-</v>
          </cell>
          <cell r="BC453">
            <v>0</v>
          </cell>
          <cell r="BD453" t="str">
            <v>-</v>
          </cell>
          <cell r="BE453">
            <v>0</v>
          </cell>
          <cell r="BF453" t="str">
            <v/>
          </cell>
          <cell r="BG453">
            <v>0</v>
          </cell>
          <cell r="BH453" t="str">
            <v>-</v>
          </cell>
          <cell r="BI453">
            <v>0</v>
          </cell>
          <cell r="BJ453" t="str">
            <v>-</v>
          </cell>
          <cell r="BK453">
            <v>0</v>
          </cell>
          <cell r="BL453">
            <v>0</v>
          </cell>
          <cell r="BM453" t="str">
            <v>-</v>
          </cell>
          <cell r="BN453">
            <v>15</v>
          </cell>
          <cell r="BO453" t="str">
            <v/>
          </cell>
          <cell r="BP453">
            <v>0</v>
          </cell>
          <cell r="BQ453">
            <v>0</v>
          </cell>
          <cell r="BR453" t="str">
            <v>-</v>
          </cell>
          <cell r="BS453">
            <v>0</v>
          </cell>
          <cell r="BT453">
            <v>0</v>
          </cell>
          <cell r="BU453" t="str">
            <v>-</v>
          </cell>
        </row>
        <row r="454">
          <cell r="A454" t="str">
            <v>21806RET</v>
          </cell>
          <cell r="B454">
            <v>21806</v>
          </cell>
          <cell r="C454" t="str">
            <v>RET</v>
          </cell>
          <cell r="D454" t="str">
            <v>Total Gas</v>
          </cell>
          <cell r="E454" t="str">
            <v xml:space="preserve">Comprehensive Data Center </v>
          </cell>
          <cell r="F454" t="str">
            <v>C</v>
          </cell>
          <cell r="G454" t="str">
            <v>Y</v>
          </cell>
          <cell r="M454" t="str">
            <v>RET</v>
          </cell>
          <cell r="N454" t="str">
            <v>Existing datacenter</v>
          </cell>
          <cell r="O454">
            <v>2021</v>
          </cell>
          <cell r="P454">
            <v>2030</v>
          </cell>
          <cell r="Q454" t="str">
            <v>Large Office</v>
          </cell>
          <cell r="R454" t="str">
            <v/>
          </cell>
          <cell r="S454">
            <v>0</v>
          </cell>
          <cell r="T454">
            <v>0</v>
          </cell>
          <cell r="U454">
            <v>0</v>
          </cell>
          <cell r="V454">
            <v>0</v>
          </cell>
          <cell r="W454">
            <v>0</v>
          </cell>
          <cell r="X454" t="str">
            <v>-</v>
          </cell>
          <cell r="Y454">
            <v>37</v>
          </cell>
          <cell r="Z454">
            <v>37</v>
          </cell>
          <cell r="AA454">
            <v>0</v>
          </cell>
          <cell r="AB454">
            <v>0</v>
          </cell>
          <cell r="AC454">
            <v>0</v>
          </cell>
          <cell r="AD454">
            <v>0</v>
          </cell>
          <cell r="AE454">
            <v>38</v>
          </cell>
          <cell r="AF454">
            <v>38</v>
          </cell>
          <cell r="AG454">
            <v>0</v>
          </cell>
          <cell r="AH454">
            <v>0</v>
          </cell>
          <cell r="AI454">
            <v>0</v>
          </cell>
          <cell r="AJ454">
            <v>0</v>
          </cell>
          <cell r="AK454">
            <v>0</v>
          </cell>
          <cell r="AL454" t="str">
            <v>-</v>
          </cell>
          <cell r="AM454" t="str">
            <v>-</v>
          </cell>
          <cell r="AN454" t="str">
            <v/>
          </cell>
          <cell r="AO454">
            <v>0</v>
          </cell>
          <cell r="AP454" t="str">
            <v>-</v>
          </cell>
          <cell r="AQ454">
            <v>0</v>
          </cell>
          <cell r="AR454" t="str">
            <v>-</v>
          </cell>
          <cell r="AS454">
            <v>0</v>
          </cell>
          <cell r="AT454" t="str">
            <v/>
          </cell>
          <cell r="AU454">
            <v>0</v>
          </cell>
          <cell r="AV454" t="str">
            <v>-</v>
          </cell>
          <cell r="AW454">
            <v>0</v>
          </cell>
          <cell r="AX454" t="str">
            <v>-</v>
          </cell>
          <cell r="AY454">
            <v>0</v>
          </cell>
          <cell r="AZ454" t="str">
            <v/>
          </cell>
          <cell r="BA454">
            <v>0</v>
          </cell>
          <cell r="BB454" t="str">
            <v>-</v>
          </cell>
          <cell r="BC454">
            <v>0</v>
          </cell>
          <cell r="BD454" t="str">
            <v>-</v>
          </cell>
          <cell r="BE454">
            <v>0</v>
          </cell>
          <cell r="BF454" t="str">
            <v/>
          </cell>
          <cell r="BG454">
            <v>0</v>
          </cell>
          <cell r="BH454" t="str">
            <v>-</v>
          </cell>
          <cell r="BI454">
            <v>0</v>
          </cell>
          <cell r="BJ454" t="str">
            <v>-</v>
          </cell>
          <cell r="BK454">
            <v>0</v>
          </cell>
          <cell r="BL454">
            <v>0</v>
          </cell>
          <cell r="BM454" t="str">
            <v>-</v>
          </cell>
          <cell r="BN454">
            <v>15</v>
          </cell>
          <cell r="BO454" t="str">
            <v/>
          </cell>
          <cell r="BP454">
            <v>0</v>
          </cell>
          <cell r="BQ454">
            <v>0</v>
          </cell>
          <cell r="BR454" t="str">
            <v>-</v>
          </cell>
          <cell r="BS454">
            <v>0</v>
          </cell>
          <cell r="BT454">
            <v>0</v>
          </cell>
          <cell r="BU454" t="str">
            <v>-</v>
          </cell>
        </row>
        <row r="455">
          <cell r="A455" t="str">
            <v>21807MD</v>
          </cell>
          <cell r="B455">
            <v>21807</v>
          </cell>
          <cell r="C455" t="str">
            <v>MD</v>
          </cell>
          <cell r="D455" t="str">
            <v>Total Gas</v>
          </cell>
          <cell r="E455" t="str">
            <v>EMS - MD</v>
          </cell>
          <cell r="F455" t="str">
            <v>C</v>
          </cell>
          <cell r="G455" t="str">
            <v>Y</v>
          </cell>
          <cell r="M455" t="str">
            <v>NC,RENO</v>
          </cell>
          <cell r="N455" t="str">
            <v>No Energy Management System (EMS)</v>
          </cell>
          <cell r="O455">
            <v>2021</v>
          </cell>
          <cell r="P455">
            <v>2030</v>
          </cell>
          <cell r="Q455" t="str">
            <v>Large Office</v>
          </cell>
          <cell r="R455" t="str">
            <v/>
          </cell>
          <cell r="S455">
            <v>0</v>
          </cell>
          <cell r="T455">
            <v>0</v>
          </cell>
          <cell r="U455">
            <v>0</v>
          </cell>
          <cell r="V455">
            <v>0</v>
          </cell>
          <cell r="W455">
            <v>0.17499999999999999</v>
          </cell>
          <cell r="X455" t="str">
            <v>-</v>
          </cell>
          <cell r="Y455" t="str">
            <v>26,23</v>
          </cell>
          <cell r="Z455" t="str">
            <v>26,23</v>
          </cell>
          <cell r="AA455">
            <v>0</v>
          </cell>
          <cell r="AB455">
            <v>0</v>
          </cell>
          <cell r="AC455">
            <v>0</v>
          </cell>
          <cell r="AD455">
            <v>0</v>
          </cell>
          <cell r="AE455">
            <v>26</v>
          </cell>
          <cell r="AF455">
            <v>26</v>
          </cell>
          <cell r="AG455">
            <v>0</v>
          </cell>
          <cell r="AH455">
            <v>0</v>
          </cell>
          <cell r="AI455">
            <v>0</v>
          </cell>
          <cell r="AJ455">
            <v>0</v>
          </cell>
          <cell r="AK455">
            <v>0</v>
          </cell>
          <cell r="AL455" t="str">
            <v>-</v>
          </cell>
          <cell r="AM455" t="str">
            <v>-</v>
          </cell>
          <cell r="AN455" t="str">
            <v/>
          </cell>
          <cell r="AO455">
            <v>0</v>
          </cell>
          <cell r="AP455" t="str">
            <v>-</v>
          </cell>
          <cell r="AQ455">
            <v>0</v>
          </cell>
          <cell r="AR455" t="str">
            <v>-</v>
          </cell>
          <cell r="AS455">
            <v>0</v>
          </cell>
          <cell r="AT455" t="str">
            <v/>
          </cell>
          <cell r="AU455">
            <v>0</v>
          </cell>
          <cell r="AV455" t="str">
            <v>-</v>
          </cell>
          <cell r="AW455">
            <v>0</v>
          </cell>
          <cell r="AX455" t="str">
            <v>-</v>
          </cell>
          <cell r="AY455">
            <v>0</v>
          </cell>
          <cell r="AZ455" t="str">
            <v/>
          </cell>
          <cell r="BA455">
            <v>0</v>
          </cell>
          <cell r="BB455" t="str">
            <v>-</v>
          </cell>
          <cell r="BC455">
            <v>0</v>
          </cell>
          <cell r="BD455" t="str">
            <v>-</v>
          </cell>
          <cell r="BE455">
            <v>0</v>
          </cell>
          <cell r="BF455" t="str">
            <v/>
          </cell>
          <cell r="BG455">
            <v>0</v>
          </cell>
          <cell r="BH455" t="str">
            <v>-</v>
          </cell>
          <cell r="BI455">
            <v>0</v>
          </cell>
          <cell r="BJ455" t="str">
            <v>-</v>
          </cell>
          <cell r="BK455">
            <v>0</v>
          </cell>
          <cell r="BL455">
            <v>0</v>
          </cell>
          <cell r="BM455" t="str">
            <v>-</v>
          </cell>
          <cell r="BN455">
            <v>15</v>
          </cell>
          <cell r="BO455" t="str">
            <v/>
          </cell>
          <cell r="BP455">
            <v>0</v>
          </cell>
          <cell r="BQ455">
            <v>0</v>
          </cell>
          <cell r="BR455" t="str">
            <v>-</v>
          </cell>
          <cell r="BS455">
            <v>0</v>
          </cell>
          <cell r="BT455">
            <v>0</v>
          </cell>
          <cell r="BU455" t="str">
            <v>-</v>
          </cell>
        </row>
        <row r="456">
          <cell r="A456" t="str">
            <v>21807RET</v>
          </cell>
          <cell r="B456">
            <v>21807</v>
          </cell>
          <cell r="C456" t="str">
            <v>RET</v>
          </cell>
          <cell r="D456" t="str">
            <v>Total Gas</v>
          </cell>
          <cell r="E456" t="str">
            <v>EMS - RET</v>
          </cell>
          <cell r="F456" t="str">
            <v>C</v>
          </cell>
          <cell r="G456" t="str">
            <v>Y</v>
          </cell>
          <cell r="M456" t="str">
            <v>RET</v>
          </cell>
          <cell r="N456" t="str">
            <v>No Energy Management System (EMS)</v>
          </cell>
          <cell r="O456">
            <v>2021</v>
          </cell>
          <cell r="P456">
            <v>2030</v>
          </cell>
          <cell r="Q456" t="str">
            <v>Large Office</v>
          </cell>
          <cell r="R456" t="str">
            <v/>
          </cell>
          <cell r="S456">
            <v>0</v>
          </cell>
          <cell r="T456">
            <v>0</v>
          </cell>
          <cell r="U456">
            <v>0</v>
          </cell>
          <cell r="V456">
            <v>0</v>
          </cell>
          <cell r="W456">
            <v>0.22</v>
          </cell>
          <cell r="X456" t="str">
            <v>-</v>
          </cell>
          <cell r="Y456" t="str">
            <v>26,23</v>
          </cell>
          <cell r="Z456" t="str">
            <v>26,23</v>
          </cell>
          <cell r="AA456">
            <v>0</v>
          </cell>
          <cell r="AB456">
            <v>0</v>
          </cell>
          <cell r="AC456">
            <v>0</v>
          </cell>
          <cell r="AD456">
            <v>0</v>
          </cell>
          <cell r="AE456">
            <v>27</v>
          </cell>
          <cell r="AF456">
            <v>27</v>
          </cell>
          <cell r="AG456">
            <v>0</v>
          </cell>
          <cell r="AH456">
            <v>0</v>
          </cell>
          <cell r="AI456">
            <v>0</v>
          </cell>
          <cell r="AJ456">
            <v>0</v>
          </cell>
          <cell r="AK456">
            <v>0</v>
          </cell>
          <cell r="AL456" t="str">
            <v>-</v>
          </cell>
          <cell r="AM456" t="str">
            <v>-</v>
          </cell>
          <cell r="AN456" t="str">
            <v/>
          </cell>
          <cell r="AO456">
            <v>0</v>
          </cell>
          <cell r="AP456" t="str">
            <v>-</v>
          </cell>
          <cell r="AQ456">
            <v>0</v>
          </cell>
          <cell r="AR456" t="str">
            <v>-</v>
          </cell>
          <cell r="AS456">
            <v>0</v>
          </cell>
          <cell r="AT456" t="str">
            <v/>
          </cell>
          <cell r="AU456">
            <v>0</v>
          </cell>
          <cell r="AV456" t="str">
            <v>-</v>
          </cell>
          <cell r="AW456">
            <v>0</v>
          </cell>
          <cell r="AX456" t="str">
            <v>-</v>
          </cell>
          <cell r="AY456">
            <v>0</v>
          </cell>
          <cell r="AZ456" t="str">
            <v/>
          </cell>
          <cell r="BA456">
            <v>0</v>
          </cell>
          <cell r="BB456" t="str">
            <v>-</v>
          </cell>
          <cell r="BC456">
            <v>0</v>
          </cell>
          <cell r="BD456" t="str">
            <v>-</v>
          </cell>
          <cell r="BE456">
            <v>0</v>
          </cell>
          <cell r="BF456" t="str">
            <v/>
          </cell>
          <cell r="BG456">
            <v>0</v>
          </cell>
          <cell r="BH456" t="str">
            <v>-</v>
          </cell>
          <cell r="BI456">
            <v>0</v>
          </cell>
          <cell r="BJ456" t="str">
            <v>-</v>
          </cell>
          <cell r="BK456">
            <v>0</v>
          </cell>
          <cell r="BL456">
            <v>0</v>
          </cell>
          <cell r="BM456" t="str">
            <v>-</v>
          </cell>
          <cell r="BN456">
            <v>15</v>
          </cell>
          <cell r="BO456" t="str">
            <v/>
          </cell>
          <cell r="BP456">
            <v>0</v>
          </cell>
          <cell r="BQ456">
            <v>0</v>
          </cell>
          <cell r="BR456" t="str">
            <v>-</v>
          </cell>
          <cell r="BS456">
            <v>0</v>
          </cell>
          <cell r="BT456">
            <v>0</v>
          </cell>
          <cell r="BU456" t="str">
            <v>-</v>
          </cell>
        </row>
        <row r="457">
          <cell r="A457" t="str">
            <v>LAST ROW</v>
          </cell>
          <cell r="BY457" t="str">
            <v>---</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Set>
  </externalBook>
</externalLink>
</file>

<file path=xl/persons/person.xml><?xml version="1.0" encoding="utf-8"?>
<personList xmlns="http://schemas.microsoft.com/office/spreadsheetml/2018/threadedcomments" xmlns:x="http://schemas.openxmlformats.org/spreadsheetml/2006/main">
  <person displayName="Samartha Mohan" id="{BC14965D-7F94-494A-B7E6-81AF47D3D827}" userId="S::Samartha.mohan@nv5.com::931fc846-cca7-4c81-b7de-8cb31b91f43e"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19" dT="2023-11-27T04:30:17.95" personId="{BC14965D-7F94-494A-B7E6-81AF47D3D827}" id="{5F414D22-804F-4913-8908-A1CF1218848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22" dT="2023-11-27T05:44:13.40" personId="{BC14965D-7F94-494A-B7E6-81AF47D3D827}" id="{96BD24C3-59EE-4B19-90EB-A0490A273F1C}">
    <text>Factors are IL specific. Needs a PR Baseline refresh</text>
  </threadedComment>
</ThreadedComments>
</file>

<file path=xl/threadedComments/threadedComment2.xml><?xml version="1.0" encoding="utf-8"?>
<ThreadedComments xmlns="http://schemas.microsoft.com/office/spreadsheetml/2018/threadedcomments" xmlns:x="http://schemas.openxmlformats.org/spreadsheetml/2006/main">
  <threadedComment ref="C119" dT="2023-11-27T04:30:17.95" personId="{BC14965D-7F94-494A-B7E6-81AF47D3D827}" id="{F08556B7-EE6D-4401-BAF8-912257F149E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22" dT="2023-11-27T05:44:13.40" personId="{BC14965D-7F94-494A-B7E6-81AF47D3D827}" id="{87747065-DDE9-4019-BEAE-D27FF06A9A28}">
    <text>Factors are IL specific. Needs a PR Baseline refresh</text>
  </threadedComment>
</ThreadedComments>
</file>

<file path=xl/threadedComments/threadedComment3.xml><?xml version="1.0" encoding="utf-8"?>
<ThreadedComments xmlns="http://schemas.microsoft.com/office/spreadsheetml/2018/threadedcomments" xmlns:x="http://schemas.openxmlformats.org/spreadsheetml/2006/main">
  <threadedComment ref="C114" dT="2023-11-26T20:34:55.64" personId="{BC14965D-7F94-494A-B7E6-81AF47D3D827}" id="{44771FAA-5757-4A08-BE70-D0C90AD3D0C9}">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D69ECC1-1A70-4326-BA39-DF8270E2B9FF}">
    <text>Average of the Bins in the reference table above. Practice followed by IL TRM</text>
  </threadedComment>
  <threadedComment ref="B135" dT="2023-11-26T20:59:05.98" personId="{BC14965D-7F94-494A-B7E6-81AF47D3D827}" id="{3ACA1355-CF3C-40DE-A262-6069201E4321}">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3B24306A-AB0C-4824-A939-04F9436450B3}">
    <text>Average of the Bins in the reference table above. Practice followed by IL TRM</text>
  </threadedComment>
  <threadedComment ref="B143" dT="2023-11-26T20:59:05.98" personId="{BC14965D-7F94-494A-B7E6-81AF47D3D827}" id="{85AD96C1-24AF-4AE4-9F25-E774EB4CE4F0}">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4.xml><?xml version="1.0" encoding="utf-8"?>
<ThreadedComments xmlns="http://schemas.microsoft.com/office/spreadsheetml/2018/threadedcomments" xmlns:x="http://schemas.openxmlformats.org/spreadsheetml/2006/main">
  <threadedComment ref="C120" dT="2023-11-26T20:19:04.68" personId="{BC14965D-7F94-494A-B7E6-81AF47D3D827}" id="{8B3C97F3-DFA6-48EB-89E4-94753706BCB2}">
    <text>CF here is from the IL baseline work. Needs to be adjusted to PR levels</text>
  </threadedComment>
  <threadedComment ref="C123" dT="2023-11-26T20:19:15.90" personId="{BC14965D-7F94-494A-B7E6-81AF47D3D827}" id="{A2AA085B-8748-48D9-BC30-E74EE2001AEA}">
    <text>Ewatertotal here is from the IL baseline work. Needs to be adjusted to PR levels</text>
  </threadedComment>
</ThreadedComments>
</file>

<file path=xl/threadedComments/threadedComment5.xml><?xml version="1.0" encoding="utf-8"?>
<ThreadedComments xmlns="http://schemas.microsoft.com/office/spreadsheetml/2018/threadedcomments" xmlns:x="http://schemas.openxmlformats.org/spreadsheetml/2006/main">
  <threadedComment ref="C115" dT="2023-11-26T21:29:01.14" personId="{BC14965D-7F94-494A-B7E6-81AF47D3D827}" id="{F2DF85C0-9F6B-4857-9F5B-FA50DE338B0B}">
    <text>Factors here are from the IL baseline work. Needs to be adjusted to PR levels</text>
  </threadedComment>
</ThreadedComments>
</file>

<file path=xl/threadedComments/threadedComment6.xml><?xml version="1.0" encoding="utf-8"?>
<ThreadedComments xmlns="http://schemas.microsoft.com/office/spreadsheetml/2018/threadedcomments" xmlns:x="http://schemas.openxmlformats.org/spreadsheetml/2006/main">
  <threadedComment ref="C120" dT="2023-11-27T04:30:17.95" personId="{BC14965D-7F94-494A-B7E6-81AF47D3D827}" id="{2BF8FF7A-F954-4153-9078-266473EED091}">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31" dT="2023-11-27T05:44:13.40" personId="{BC14965D-7F94-494A-B7E6-81AF47D3D827}" id="{0F37195B-523B-4EF2-982B-CCB85D233522}">
    <text>Factors are IL specific. Needs a PR Baseline refresh</text>
  </threadedComment>
</ThreadedComments>
</file>

<file path=xl/threadedComments/threadedComment7.xml><?xml version="1.0" encoding="utf-8"?>
<ThreadedComments xmlns="http://schemas.microsoft.com/office/spreadsheetml/2018/threadedcomments" xmlns:x="http://schemas.openxmlformats.org/spreadsheetml/2006/main">
  <threadedComment ref="C115" dT="2023-11-26T21:29:01.14" personId="{BC14965D-7F94-494A-B7E6-81AF47D3D827}" id="{F5AD044F-670E-4085-9F18-0EAF6FC9CF5C}">
    <text>Factors here are from the NY baseline work. Needs to be adjusted to PR levels</text>
  </threadedComment>
</ThreadedComments>
</file>

<file path=xl/threadedComments/threadedComment8.xml><?xml version="1.0" encoding="utf-8"?>
<ThreadedComments xmlns="http://schemas.microsoft.com/office/spreadsheetml/2018/threadedcomments" xmlns:x="http://schemas.openxmlformats.org/spreadsheetml/2006/main">
  <threadedComment ref="C115" dT="2023-11-26T21:29:01.14" personId="{BC14965D-7F94-494A-B7E6-81AF47D3D827}" id="{236F20C9-689F-49C7-AEEE-4023445677FA}">
    <text>Factors here are from the NY baseline work. Needs to be adjusted to PR levels</text>
  </threadedComment>
</ThreadedComments>
</file>

<file path=xl/threadedComments/threadedComment9.xml><?xml version="1.0" encoding="utf-8"?>
<ThreadedComments xmlns="http://schemas.microsoft.com/office/spreadsheetml/2018/threadedcomments" xmlns:x="http://schemas.openxmlformats.org/spreadsheetml/2006/main">
  <threadedComment ref="C126" dT="2023-11-27T19:44:11.98" personId="{BC14965D-7F94-494A-B7E6-81AF47D3D827}" id="{FF815FD2-EE0C-47B7-A130-A016FF1B45E1}">
    <text>IL Specific value, needs to be refreshed to PR levels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19" dT="2023-11-28T15:10:51.43" personId="{BC14965D-7F94-494A-B7E6-81AF47D3D827}" id="{57607E5F-331A-47CD-A944-D52503092032}">
    <text>Value centric to IL, PR CF needs to be evaluated</text>
  </threadedComment>
</ThreadedComments>
</file>

<file path=xl/threadedComments/threadedComment11.xml><?xml version="1.0" encoding="utf-8"?>
<ThreadedComments xmlns="http://schemas.microsoft.com/office/spreadsheetml/2018/threadedcomments" xmlns:x="http://schemas.openxmlformats.org/spreadsheetml/2006/main">
  <threadedComment ref="C116" dT="2023-11-28T19:17:56.77" personId="{BC14965D-7F94-494A-B7E6-81AF47D3D827}" id="{18F124F6-DCB3-4655-A798-62DD0FEF485F}">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6607AA6E-87DF-494A-9048-1A369FA54D7E}">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5F70BCDB-2ACA-4A38-ABA5-96772893B49D}">
    <text>Needs market evaluation</text>
  </threadedComment>
</ThreadedComments>
</file>

<file path=xl/threadedComments/threadedComment12.xml><?xml version="1.0" encoding="utf-8"?>
<ThreadedComments xmlns="http://schemas.microsoft.com/office/spreadsheetml/2018/threadedcomments" xmlns:x="http://schemas.openxmlformats.org/spreadsheetml/2006/main">
  <threadedComment ref="C116" dT="2023-11-28T19:17:56.77" personId="{BC14965D-7F94-494A-B7E6-81AF47D3D827}" id="{A4A943B0-275A-4546-B08B-93224AA34550}">
    <text>No citations given for assumptions of derived value</text>
  </threadedComment>
  <threadedComment ref="C118" dT="2023-11-30T21:26:37.95" personId="{BC14965D-7F94-494A-B7E6-81AF47D3D827}" id="{8201FDEB-2027-4E98-BE74-C28E488A149A}">
    <text xml:space="preserve">Based on cost from vendor of typical smart socket on the market, Simply Conserve Smart Socket by AM Conservation Group. 10 amp smart socket: $8.92/each; 15 amp smart socket: $9.00/each </text>
  </threadedComment>
  <threadedComment ref="C119" dT="2023-11-28T19:15:23.32" personId="{BC14965D-7F94-494A-B7E6-81AF47D3D827}" id="{CBAF25A3-A011-4204-B92B-ACCB4EFD0D91}">
    <text xml:space="preserve">Region agnostic number, IL TRM source: In the absence of empirical evaluation data, this was based on assumptions of the typical run pattern for televisions and computers in homes. </text>
  </threadedComment>
</ThreadedComments>
</file>

<file path=xl/threadedComments/threadedComment13.xml><?xml version="1.0" encoding="utf-8"?>
<ThreadedComments xmlns="http://schemas.microsoft.com/office/spreadsheetml/2018/threadedcomments" xmlns:x="http://schemas.openxmlformats.org/spreadsheetml/2006/main">
  <threadedComment ref="C113" dT="2024-01-02T16:45:39.49" personId="{BC14965D-7F94-494A-B7E6-81AF47D3D827}" id="{F3A83023-F9EB-4105-8CB7-90BE0AD5FBF4}">
    <text>PR Level adjustments needed</text>
  </threadedComment>
</ThreadedComments>
</file>

<file path=xl/threadedComments/threadedComment14.xml><?xml version="1.0" encoding="utf-8"?>
<ThreadedComments xmlns="http://schemas.microsoft.com/office/spreadsheetml/2018/threadedcomments" xmlns:x="http://schemas.openxmlformats.org/spreadsheetml/2006/main">
  <threadedComment ref="C113" dT="2024-01-02T16:45:39.49" personId="{BC14965D-7F94-494A-B7E6-81AF47D3D827}" id="{AA803EBB-C660-4557-AB83-E27428853B79}">
    <text>PR Level adjustments needed</text>
  </threadedComment>
</ThreadedComments>
</file>

<file path=xl/threadedComments/threadedComment15.xml><?xml version="1.0" encoding="utf-8"?>
<ThreadedComments xmlns="http://schemas.microsoft.com/office/spreadsheetml/2018/threadedcomments" xmlns:x="http://schemas.openxmlformats.org/spreadsheetml/2006/main">
  <threadedComment ref="C111" dT="2024-01-02T17:49:39.77" personId="{BC14965D-7F94-494A-B7E6-81AF47D3D827}" id="{978B2B1F-1BFE-4389-B624-14279577082F}">
    <text>PR level adjustments needed</text>
  </threadedComment>
  <threadedComment ref="E115" dT="2024-01-02T17:38:37.28" personId="{BC14965D-7F94-494A-B7E6-81AF47D3D827}" id="{BB5363AA-9DCF-4274-B091-A4C9AE33CB8B}">
    <text>Sourced from the IL TRM example</text>
  </threadedComment>
  <threadedComment ref="E120" dT="2024-01-02T17:39:07.73" personId="{BC14965D-7F94-494A-B7E6-81AF47D3D827}" id="{210FF34F-CE1D-40C6-9097-E5F1659B67E4}">
    <text>Highest CDD for IL cities chosen as default, needs to be replaced to PR levels</text>
  </threadedComment>
  <threadedComment ref="E127" dT="2024-01-02T17:42:45.74" personId="{BC14965D-7F94-494A-B7E6-81AF47D3D827}" id="{01D44D3F-81E3-4B25-8AD7-F6D67EA1C262}">
    <text>Values chosen from IL TRM example</text>
  </threadedComment>
  <threadedComment ref="E131" dT="2024-01-02T17:39:07.73" personId="{BC14965D-7F94-494A-B7E6-81AF47D3D827}" id="{802599EE-D3E7-4108-9D47-705B1CD748E7}">
    <text>Highest CDD for IL cities chosen as default, needs to be replaced to PR levels</text>
  </threadedComment>
</ThreadedComments>
</file>

<file path=xl/threadedComments/threadedComment16.xml><?xml version="1.0" encoding="utf-8"?>
<ThreadedComments xmlns="http://schemas.microsoft.com/office/spreadsheetml/2018/threadedcomments" xmlns:x="http://schemas.openxmlformats.org/spreadsheetml/2006/main">
  <threadedComment ref="C112" dT="2024-01-02T16:45:39.49" personId="{BC14965D-7F94-494A-B7E6-81AF47D3D827}" id="{7C58F73D-8BAA-4E98-8F85-E1391741699C}">
    <text>PR Level adjustments needed</text>
  </threadedComment>
  <threadedComment ref="I122" dT="2024-05-21T04:53:30.41" personId="{BC14965D-7F94-494A-B7E6-81AF47D3D827}" id="{2F55A0B8-0E1B-4CA0-A2C5-4C292525AEBB}">
    <text>Measure costs from CA eTRM 
1" pipe foam insulation on a 3/4" pipe</text>
  </threadedComment>
  <threadedComment ref="I149" dT="2024-05-21T04:53:30.41" personId="{BC14965D-7F94-494A-B7E6-81AF47D3D827}" id="{BFEDBE0C-9469-4DC6-A200-2A3EB1973179}">
    <text>Measure costs from CA eTRM 
1" pipe foam insulation on a 3/4" pipe</text>
  </threadedComment>
</ThreadedComments>
</file>

<file path=xl/threadedComments/threadedComment17.xml><?xml version="1.0" encoding="utf-8"?>
<ThreadedComments xmlns="http://schemas.microsoft.com/office/spreadsheetml/2018/threadedcomments" xmlns:x="http://schemas.openxmlformats.org/spreadsheetml/2006/main">
  <threadedComment ref="C112" dT="2024-01-02T16:45:39.49" personId="{BC14965D-7F94-494A-B7E6-81AF47D3D827}" id="{9022CBA2-0E4D-44D0-8A8A-FD7395D99C61}">
    <text>PR Level adjustments needed</text>
  </threadedComment>
</ThreadedComments>
</file>

<file path=xl/threadedComments/threadedComment18.xml><?xml version="1.0" encoding="utf-8"?>
<ThreadedComments xmlns="http://schemas.microsoft.com/office/spreadsheetml/2018/threadedcomments" xmlns:x="http://schemas.openxmlformats.org/spreadsheetml/2006/main">
  <threadedComment ref="C112" dT="2024-01-02T16:45:39.49" personId="{BC14965D-7F94-494A-B7E6-81AF47D3D827}" id="{8F22C094-634B-47CD-9D7A-EFC630E528B8}">
    <text>PR Level adjustments needed</text>
  </threadedComment>
</ThreadedComments>
</file>

<file path=xl/threadedComments/threadedComment19.xml><?xml version="1.0" encoding="utf-8"?>
<ThreadedComments xmlns="http://schemas.microsoft.com/office/spreadsheetml/2018/threadedcomments" xmlns:x="http://schemas.openxmlformats.org/spreadsheetml/2006/main">
  <threadedComment ref="C113" dT="2024-01-02T16:45:39.49" personId="{BC14965D-7F94-494A-B7E6-81AF47D3D827}" id="{3B0F748F-9345-49EE-B190-3DA525C98655}">
    <text>PR Level adjustments needed</text>
  </threadedComment>
</ThreadedComments>
</file>

<file path=xl/threadedComments/threadedComment20.xml><?xml version="1.0" encoding="utf-8"?>
<ThreadedComments xmlns="http://schemas.microsoft.com/office/spreadsheetml/2018/threadedcomments" xmlns:x="http://schemas.openxmlformats.org/spreadsheetml/2006/main">
  <threadedComment ref="C112" dT="2024-01-02T16:45:39.49" personId="{BC14965D-7F94-494A-B7E6-81AF47D3D827}" id="{A0190BC7-95A4-48BB-BEE1-C2F2E6D7C8AA}">
    <text>PR Level adjustments needed</text>
  </threadedComment>
  <threadedComment ref="C114" dT="2024-01-18T20:40:37.04" personId="{BC14965D-7F94-494A-B7E6-81AF47D3D827}" id="{8DBABCE0-9286-4DCD-ADD6-B533B0EC5AFD}">
    <text>Retrofit values chosen</text>
  </threadedComment>
  <threadedComment ref="E126" dT="2024-01-18T20:40:46.63" personId="{BC14965D-7F94-494A-B7E6-81AF47D3D827}" id="{A75D1C4A-4D83-4AEF-8E77-DDDE415FC513}">
    <text xml:space="preserve">Retrofit values chosen
</text>
  </threadedComment>
  <threadedComment ref="E132" dT="2024-01-18T20:40:46.63" personId="{BC14965D-7F94-494A-B7E6-81AF47D3D827}" id="{6BEA284C-A274-4753-9004-A6095DCB4320}">
    <text xml:space="preserve">Retrofit values chosen
</text>
  </threadedComment>
</ThreadedComments>
</file>

<file path=xl/threadedComments/threadedComment21.xml><?xml version="1.0" encoding="utf-8"?>
<ThreadedComments xmlns="http://schemas.microsoft.com/office/spreadsheetml/2018/threadedcomments" xmlns:x="http://schemas.openxmlformats.org/spreadsheetml/2006/main">
  <threadedComment ref="C112" dT="2024-01-02T16:45:39.49" personId="{BC14965D-7F94-494A-B7E6-81AF47D3D827}" id="{7ED37097-41B9-4691-A49F-FC1DF146934E}">
    <text>PR Level adjustments needed</text>
  </threadedComment>
  <threadedComment ref="C115" dT="2024-01-19T04:52:36.14" personId="{BC14965D-7F94-494A-B7E6-81AF47D3D827}" id="{C8187C1E-657A-4F3D-A91F-D9F7C5C1C29F}">
    <text>Random choice from IL TRM example</text>
  </threadedComment>
  <threadedComment ref="F123" dT="2024-01-19T04:51:09.75" personId="{BC14965D-7F94-494A-B7E6-81AF47D3D827}" id="{7549AD28-DC8B-42F5-9C13-D1963E9A8E16}">
    <text>Random choices from IL TRM example</text>
  </threadedComment>
  <threadedComment ref="F130" dT="2024-01-19T04:51:09.75" personId="{BC14965D-7F94-494A-B7E6-81AF47D3D827}" id="{5DF001CA-A53F-4F9A-A39E-2DB4E96A564C}">
    <text>Random choices from IL TRM example</text>
  </threadedComment>
</ThreadedComments>
</file>

<file path=xl/threadedComments/threadedComment22.xml><?xml version="1.0" encoding="utf-8"?>
<ThreadedComments xmlns="http://schemas.microsoft.com/office/spreadsheetml/2018/threadedcomments" xmlns:x="http://schemas.openxmlformats.org/spreadsheetml/2006/main">
  <threadedComment ref="C112" dT="2024-01-02T16:45:39.49" personId="{BC14965D-7F94-494A-B7E6-81AF47D3D827}" id="{D238ED76-DC78-47E5-822B-F76C3008F6B2}">
    <text>PR Level adjustments needed</text>
  </threadedComment>
  <threadedComment ref="C113" dT="2024-01-19T17:35:30.17" personId="{BC14965D-7F94-494A-B7E6-81AF47D3D827}" id="{A5AE42BD-30AE-4C51-BD0D-D455E7FC1F40}">
    <text>Retrofit value chosen</text>
  </threadedComment>
  <threadedComment ref="C116" dT="2024-01-19T17:36:32.22" personId="{BC14965D-7F94-494A-B7E6-81AF47D3D827}" id="{31867310-183D-4F9C-865E-BCB3FF48285E}">
    <text>IL specific value</text>
  </threadedComment>
</ThreadedComments>
</file>

<file path=xl/threadedComments/threadedComment23.xml><?xml version="1.0" encoding="utf-8"?>
<ThreadedComments xmlns="http://schemas.microsoft.com/office/spreadsheetml/2018/threadedcomments" xmlns:x="http://schemas.openxmlformats.org/spreadsheetml/2006/main">
  <threadedComment ref="C113" dT="2024-01-02T16:45:39.49" personId="{BC14965D-7F94-494A-B7E6-81AF47D3D827}" id="{5BCC1D40-650F-4E94-9CA2-85070ABC37AA}">
    <text>PR Level adjustments needed</text>
  </threadedComment>
</ThreadedComments>
</file>

<file path=xl/threadedComments/threadedComment24.xml><?xml version="1.0" encoding="utf-8"?>
<ThreadedComments xmlns="http://schemas.microsoft.com/office/spreadsheetml/2018/threadedcomments" xmlns:x="http://schemas.openxmlformats.org/spreadsheetml/2006/main">
  <threadedComment ref="G112" dT="2024-05-22T19:13:21.00" personId="{BC14965D-7F94-494A-B7E6-81AF47D3D827}" id="{8F406122-2C98-48C9-BD97-3EB1E694897B}">
    <text>Using the Res splits for end use disaggregation</text>
  </threadedComment>
</ThreadedComments>
</file>

<file path=xl/threadedComments/threadedComment25.xml><?xml version="1.0" encoding="utf-8"?>
<ThreadedComments xmlns="http://schemas.microsoft.com/office/spreadsheetml/2018/threadedcomments" xmlns:x="http://schemas.openxmlformats.org/spreadsheetml/2006/main">
  <threadedComment ref="B163" dT="2023-12-01T17:01:48.72" personId="{BC14965D-7F94-494A-B7E6-81AF47D3D827}" id="{85B7C444-26A5-4CC1-AFE4-9039D067FD52}">
    <text xml:space="preserve">This table needs review for what is necessary and what is not. </text>
  </threadedComment>
  <threadedComment ref="B176" dT="2023-12-01T17:01:48.72" personId="{BC14965D-7F94-494A-B7E6-81AF47D3D827}" id="{0A47BF4B-35E4-4934-9F7F-B9D92DD291D1}">
    <text xml:space="preserve">This table needs review for what is necessary and what is not. </text>
  </threadedComment>
</ThreadedComments>
</file>

<file path=xl/threadedComments/threadedComment26.xml><?xml version="1.0" encoding="utf-8"?>
<ThreadedComments xmlns="http://schemas.microsoft.com/office/spreadsheetml/2018/threadedcomments" xmlns:x="http://schemas.openxmlformats.org/spreadsheetml/2006/main">
  <threadedComment ref="C114" dT="2023-11-26T20:34:55.64" personId="{BC14965D-7F94-494A-B7E6-81AF47D3D827}" id="{998241AE-D63C-46F8-AFAD-447C7D906ED2}">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B34B61D-EA24-4633-8DB7-DFDDEBBDBA85}">
    <text>Average of the Bins in the reference table above. Practice followed by IL TRM</text>
  </threadedComment>
  <threadedComment ref="B135" dT="2023-11-26T20:59:05.98" personId="{BC14965D-7F94-494A-B7E6-81AF47D3D827}" id="{A9F8259D-0063-424A-92B0-FA7D9BDE2D6C}">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0D19F506-F742-4CDC-8B45-9FBC7B24B461}">
    <text>Average of the Bins in the reference table above. Practice followed by IL TRM</text>
  </threadedComment>
  <threadedComment ref="B143" dT="2023-11-26T20:59:05.98" personId="{BC14965D-7F94-494A-B7E6-81AF47D3D827}" id="{6E8FD691-EA37-4183-97A9-DCCE13A928EB}">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27.xml><?xml version="1.0" encoding="utf-8"?>
<ThreadedComments xmlns="http://schemas.microsoft.com/office/spreadsheetml/2018/threadedcomments" xmlns:x="http://schemas.openxmlformats.org/spreadsheetml/2006/main">
  <threadedComment ref="C174" dT="2023-12-03T20:14:53.13" personId="{BC14965D-7F94-494A-B7E6-81AF47D3D827}" id="{21487A92-8054-4802-A49E-4EA0BDC4630C}">
    <text>Values are from the MN TRM, PR level splits and other baseline study information needed.</text>
  </threadedComment>
  <threadedComment ref="T183" dT="2023-12-03T19:59:57.87" personId="{BC14965D-7F94-494A-B7E6-81AF47D3D827}" id="{856F9DCA-8D4F-467A-A8FD-D088EFFC115C}">
    <text>CF has been averaged against available Location types. Likely needs a study to give a PR level distribution against End Use Locations</text>
  </threadedComment>
  <threadedComment ref="Q190" dT="2023-12-03T19:59:57.87" personId="{BC14965D-7F94-494A-B7E6-81AF47D3D827}" id="{3CB69EAF-3257-4AB7-B4D0-B4ABF13F1104}">
    <text>CF has been averaged against available Location types. Likely needs a study to give a PR level distribution against End Use Locations</text>
  </threadedComment>
</ThreadedComments>
</file>

<file path=xl/threadedComments/threadedComment28.xml><?xml version="1.0" encoding="utf-8"?>
<ThreadedComments xmlns="http://schemas.microsoft.com/office/spreadsheetml/2018/threadedcomments" xmlns:x="http://schemas.openxmlformats.org/spreadsheetml/2006/main">
  <threadedComment ref="C174" dT="2023-12-03T20:14:53.13" personId="{BC14965D-7F94-494A-B7E6-81AF47D3D827}" id="{6C505574-F3E2-4711-9D6C-B6F2D8E26755}">
    <text>Values are from the MN TRM, PR level splits and other baseline study information needed.</text>
  </threadedComment>
  <threadedComment ref="T183" dT="2023-12-03T19:59:57.87" personId="{BC14965D-7F94-494A-B7E6-81AF47D3D827}" id="{B11895B8-5905-425B-8254-B21F00958DDD}">
    <text>CF has been averaged against available Location types. Likely needs a study to give a PR level distribution against End Use Locations</text>
  </threadedComment>
  <threadedComment ref="Q190" dT="2023-12-03T19:59:57.87" personId="{BC14965D-7F94-494A-B7E6-81AF47D3D827}" id="{1A5227C4-ABE0-468D-BBFE-665B47157416}">
    <text>CF has been averaged against available Location types. Likely needs a study to give a PR level distribution against End Use Locations</text>
  </threadedComment>
</ThreadedComments>
</file>

<file path=xl/threadedComments/threadedComment29.xml><?xml version="1.0" encoding="utf-8"?>
<ThreadedComments xmlns="http://schemas.microsoft.com/office/spreadsheetml/2018/threadedcomments" xmlns:x="http://schemas.openxmlformats.org/spreadsheetml/2006/main">
  <threadedComment ref="C133" dT="2023-12-03T20:14:48.51" personId="{BC14965D-7F94-494A-B7E6-81AF47D3D827}" id="{5B0E904B-B9E0-4B27-8422-16FD79E0008A}">
    <text>Values are from the MN TRM, PR level splits and other baseline study information needed.</text>
  </threadedComment>
</ThreadedComments>
</file>

<file path=xl/threadedComments/threadedComment30.xml><?xml version="1.0" encoding="utf-8"?>
<ThreadedComments xmlns="http://schemas.microsoft.com/office/spreadsheetml/2018/threadedcomments" xmlns:x="http://schemas.openxmlformats.org/spreadsheetml/2006/main">
  <threadedComment ref="C130" dT="2023-12-03T20:14:48.51" personId="{BC14965D-7F94-494A-B7E6-81AF47D3D827}" id="{801FC52B-081F-4695-B16A-CC0A7E65BF2D}">
    <text>Values are from the MN TRM, PR level splits and other baseline study information needed.</text>
  </threadedComment>
</ThreadedComments>
</file>

<file path=xl/threadedComments/threadedComment31.xml><?xml version="1.0" encoding="utf-8"?>
<ThreadedComments xmlns="http://schemas.microsoft.com/office/spreadsheetml/2018/threadedcomments" xmlns:x="http://schemas.openxmlformats.org/spreadsheetml/2006/main">
  <threadedComment ref="C145" dT="2023-12-03T20:14:48.51" personId="{BC14965D-7F94-494A-B7E6-81AF47D3D827}" id="{BE14FA00-C2C6-4D73-9A5D-C5D4065EF5C4}">
    <text>Values are from the MN TRM, PR level splits and other baseline study information needed.</text>
  </threadedComment>
</ThreadedComments>
</file>

<file path=xl/threadedComments/threadedComment32.xml><?xml version="1.0" encoding="utf-8"?>
<ThreadedComments xmlns="http://schemas.microsoft.com/office/spreadsheetml/2018/threadedcomments" xmlns:x="http://schemas.openxmlformats.org/spreadsheetml/2006/main">
  <threadedComment ref="C124" dT="2023-12-03T20:14:48.51" personId="{BC14965D-7F94-494A-B7E6-81AF47D3D827}" id="{058DD852-16A8-4AC5-B404-8FC8E4657891}">
    <text>Values are from the MN TRM, PR level splits and other baseline study information needed.</text>
  </threadedComment>
</ThreadedComments>
</file>

<file path=xl/threadedComments/threadedComment33.xml><?xml version="1.0" encoding="utf-8"?>
<ThreadedComments xmlns="http://schemas.microsoft.com/office/spreadsheetml/2018/threadedcomments" xmlns:x="http://schemas.openxmlformats.org/spreadsheetml/2006/main">
  <threadedComment ref="C132" dT="2023-12-03T20:14:48.51" personId="{BC14965D-7F94-494A-B7E6-81AF47D3D827}" id="{1AC578A2-AC15-4E09-8C9A-4FFAEAD9B649}">
    <text>Values are from the MN TRM, PR level splits and other baseline study information needed.</text>
  </threadedComment>
</ThreadedComments>
</file>

<file path=xl/threadedComments/threadedComment34.xml><?xml version="1.0" encoding="utf-8"?>
<ThreadedComments xmlns="http://schemas.microsoft.com/office/spreadsheetml/2018/threadedcomments" xmlns:x="http://schemas.openxmlformats.org/spreadsheetml/2006/main">
  <threadedComment ref="C115" dT="2023-11-26T21:29:01.14" personId="{BC14965D-7F94-494A-B7E6-81AF47D3D827}" id="{2D9A2CC8-4D67-4DFB-B9C6-9F8766E0BEED}">
    <text>Factors here are from the NY baseline work. Needs to be adjusted to PR levels</text>
  </threadedComment>
</ThreadedComments>
</file>

<file path=xl/threadedComments/threadedComment35.xml><?xml version="1.0" encoding="utf-8"?>
<ThreadedComments xmlns="http://schemas.microsoft.com/office/spreadsheetml/2018/threadedcomments" xmlns:x="http://schemas.openxmlformats.org/spreadsheetml/2006/main">
  <threadedComment ref="C115" dT="2023-11-26T21:29:01.14" personId="{BC14965D-7F94-494A-B7E6-81AF47D3D827}" id="{8A0EF6E9-6FF0-40F2-80BE-A0ED4084C3E1}">
    <text>Factors here are from the NY baseline work. Needs to be adjusted to PR levels</text>
  </threadedComment>
</ThreadedComments>
</file>

<file path=xl/threadedComments/threadedComment36.xml><?xml version="1.0" encoding="utf-8"?>
<ThreadedComments xmlns="http://schemas.microsoft.com/office/spreadsheetml/2018/threadedcomments" xmlns:x="http://schemas.openxmlformats.org/spreadsheetml/2006/main">
  <threadedComment ref="C115" dT="2023-11-26T21:29:01.14" personId="{BC14965D-7F94-494A-B7E6-81AF47D3D827}" id="{C15B4773-99A8-4C07-800D-69EAA0EC1E6F}">
    <text>Factors here are from the NY baseline work. Needs to be adjusted to PR levels</text>
  </threadedComment>
</ThreadedComments>
</file>

<file path=xl/threadedComments/threadedComment37.xml><?xml version="1.0" encoding="utf-8"?>
<ThreadedComments xmlns="http://schemas.microsoft.com/office/spreadsheetml/2018/threadedcomments" xmlns:x="http://schemas.openxmlformats.org/spreadsheetml/2006/main">
  <threadedComment ref="G114" dT="2023-11-26T21:29:01.14" personId="{BC14965D-7F94-494A-B7E6-81AF47D3D827}" id="{7DCD9B83-5166-4260-9A3E-F00255AEDCA9}">
    <text>Factors here are from the NY baseline work. Needs to be adjusted to PR levels</text>
  </threadedComment>
</ThreadedComments>
</file>

<file path=xl/threadedComments/threadedComment38.xml><?xml version="1.0" encoding="utf-8"?>
<ThreadedComments xmlns="http://schemas.microsoft.com/office/spreadsheetml/2018/threadedcomments" xmlns:x="http://schemas.openxmlformats.org/spreadsheetml/2006/main">
  <threadedComment ref="G114" dT="2023-11-26T21:29:01.14" personId="{BC14965D-7F94-494A-B7E6-81AF47D3D827}" id="{69704E2A-9A29-40EC-B3C7-C0C733043F6D}">
    <text>Factors here are from the NY baseline work. Needs to be adjusted to PR levels</text>
  </threadedComment>
</ThreadedComments>
</file>

<file path=xl/threadedComments/threadedComment39.xml><?xml version="1.0" encoding="utf-8"?>
<ThreadedComments xmlns="http://schemas.microsoft.com/office/spreadsheetml/2018/threadedcomments" xmlns:x="http://schemas.openxmlformats.org/spreadsheetml/2006/main">
  <threadedComment ref="G114" dT="2023-11-26T21:29:01.14" personId="{BC14965D-7F94-494A-B7E6-81AF47D3D827}" id="{AEB677FF-30BD-44D7-982B-61EC2EC3AC51}">
    <text>Factors here are from the NY baseline work. Needs to be adjusted to PR levels</text>
  </threadedComment>
</ThreadedComments>
</file>

<file path=xl/threadedComments/threadedComment40.xml><?xml version="1.0" encoding="utf-8"?>
<ThreadedComments xmlns="http://schemas.microsoft.com/office/spreadsheetml/2018/threadedcomments" xmlns:x="http://schemas.openxmlformats.org/spreadsheetml/2006/main">
  <threadedComment ref="C115" dT="2023-11-26T21:29:01.14" personId="{BC14965D-7F94-494A-B7E6-81AF47D3D827}" id="{CA478B7E-8B55-4943-9E9B-CDCD54B44F0E}">
    <text>Factors here are from the NY baseline work. Needs to be adjusted to PR levels</text>
  </threadedComment>
</ThreadedComments>
</file>

<file path=xl/threadedComments/threadedComment41.xml><?xml version="1.0" encoding="utf-8"?>
<ThreadedComments xmlns="http://schemas.microsoft.com/office/spreadsheetml/2018/threadedcomments" xmlns:x="http://schemas.openxmlformats.org/spreadsheetml/2006/main">
  <threadedComment ref="C115" dT="2023-11-26T21:29:01.14" personId="{BC14965D-7F94-494A-B7E6-81AF47D3D827}" id="{0B073E0C-54A2-49FD-9D10-68F372A93F0B}">
    <text>Factors here are from the NY baseline work. Needs to be adjusted to PR levels</text>
  </threadedComment>
</ThreadedComments>
</file>

<file path=xl/threadedComments/threadedComment42.xml><?xml version="1.0" encoding="utf-8"?>
<ThreadedComments xmlns="http://schemas.microsoft.com/office/spreadsheetml/2018/threadedcomments" xmlns:x="http://schemas.openxmlformats.org/spreadsheetml/2006/main">
  <threadedComment ref="C115" dT="2023-11-26T21:29:01.14" personId="{BC14965D-7F94-494A-B7E6-81AF47D3D827}" id="{CC4957C0-A4FC-4BE5-8ABF-0851EE5548D1}">
    <text>Factors here are from the NY baseline work. Needs to be adjusted to PR levels</text>
  </threadedComment>
</ThreadedComments>
</file>

<file path=xl/threadedComments/threadedComment43.xml><?xml version="1.0" encoding="utf-8"?>
<ThreadedComments xmlns="http://schemas.microsoft.com/office/spreadsheetml/2018/threadedcomments" xmlns:x="http://schemas.openxmlformats.org/spreadsheetml/2006/main">
  <threadedComment ref="C119" dT="2023-12-06T21:54:23.45" personId="{BC14965D-7F94-494A-B7E6-81AF47D3D827}" id="{89354E47-83BB-4711-9804-D14D924EFE6C}">
    <text>Based on 21 cu. Ft assumption based off DOE findings</text>
  </threadedComment>
  <threadedComment ref="D122" dT="2023-12-04T21:23:05.68" personId="{BC14965D-7F94-494A-B7E6-81AF47D3D827}" id="{0E561484-496B-455A-A2C0-402FA228FFBD}">
    <text>Assuming average of A nd B machine controls.</text>
  </threadedComment>
  <threadedComment ref="E122" dT="2023-12-04T21:23:05.68" personId="{BC14965D-7F94-494A-B7E6-81AF47D3D827}" id="{2AF0722E-CE4A-43E0-BCEF-485BEFF774B1}">
    <text>Assuming average of A nd B machine controls.</text>
  </threadedComment>
</ThreadedComments>
</file>

<file path=xl/threadedComments/threadedComment44.xml><?xml version="1.0" encoding="utf-8"?>
<ThreadedComments xmlns="http://schemas.microsoft.com/office/spreadsheetml/2018/threadedcomments" xmlns:x="http://schemas.openxmlformats.org/spreadsheetml/2006/main">
  <threadedComment ref="C111" dT="2023-12-21T06:14:24.23" personId="{BC14965D-7F94-494A-B7E6-81AF47D3D827}" id="{1A8805F4-8DBD-4611-A2C3-894549F598E2}">
    <text>Region agnostic data</text>
  </threadedComment>
</ThreadedComments>
</file>

<file path=xl/threadedComments/threadedComment45.xml><?xml version="1.0" encoding="utf-8"?>
<ThreadedComments xmlns="http://schemas.microsoft.com/office/spreadsheetml/2018/threadedcomments" xmlns:x="http://schemas.openxmlformats.org/spreadsheetml/2006/main">
  <threadedComment ref="C119" dT="2023-11-28T15:10:51.43" personId="{BC14965D-7F94-494A-B7E6-81AF47D3D827}" id="{3FFD8515-E862-4F79-9F1C-6038ACEF6C23}">
    <text>Value centric to IL, PR CF needs to be evaluated</text>
  </threadedComment>
</ThreadedComments>
</file>

<file path=xl/threadedComments/threadedComment46.xml><?xml version="1.0" encoding="utf-8"?>
<ThreadedComments xmlns="http://schemas.microsoft.com/office/spreadsheetml/2018/threadedcomments" xmlns:x="http://schemas.openxmlformats.org/spreadsheetml/2006/main">
  <threadedComment ref="E118" dT="2023-12-05T20:34:02.16" personId="{BC14965D-7F94-494A-B7E6-81AF47D3D827}" id="{827BF922-DE03-4327-8CF7-B0C51A7017DD}">
    <text>Will assume to be 1 for now. PR level details needed</text>
  </threadedComment>
</ThreadedComments>
</file>

<file path=xl/threadedComments/threadedComment47.xml><?xml version="1.0" encoding="utf-8"?>
<ThreadedComments xmlns="http://schemas.microsoft.com/office/spreadsheetml/2018/threadedcomments" xmlns:x="http://schemas.openxmlformats.org/spreadsheetml/2006/main">
  <threadedComment ref="E118" dT="2023-12-05T20:34:02.16" personId="{BC14965D-7F94-494A-B7E6-81AF47D3D827}" id="{0B4C0339-781F-40F3-8FB8-23E4E58ED7A8}">
    <text>Will assume to be 1 for now. PR level details needed</text>
  </threadedComment>
</ThreadedComments>
</file>

<file path=xl/threadedComments/threadedComment48.xml><?xml version="1.0" encoding="utf-8"?>
<ThreadedComments xmlns="http://schemas.microsoft.com/office/spreadsheetml/2018/threadedcomments" xmlns:x="http://schemas.openxmlformats.org/spreadsheetml/2006/main">
  <threadedComment ref="C116" dT="2023-11-28T19:17:56.77" personId="{BC14965D-7F94-494A-B7E6-81AF47D3D827}" id="{9F7E0977-FF1B-4848-82B7-E7D96D73EC16}">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C03C99A6-FC4C-4298-B409-3AB6EF55A02D}">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778E584A-9F4A-4CD2-A23A-280FA9437488}">
    <text>Needs market evaluation</text>
  </threadedComment>
</ThreadedComments>
</file>

<file path=xl/threadedComments/threadedComment49.xml><?xml version="1.0" encoding="utf-8"?>
<ThreadedComments xmlns="http://schemas.microsoft.com/office/spreadsheetml/2018/threadedcomments" xmlns:x="http://schemas.openxmlformats.org/spreadsheetml/2006/main">
  <threadedComment ref="C113" dT="2023-12-06T17:45:50.04" personId="{BC14965D-7F94-494A-B7E6-81AF47D3D827}" id="{8BE4B212-CAFD-445A-894F-C33CD42E8D15}">
    <text>Random default chosen from IL TRM example measure.</text>
  </threadedComment>
  <threadedComment ref="B115" dT="2023-12-05T22:06:57.42" personId="{BC14965D-7F94-494A-B7E6-81AF47D3D827}" id="{92ACDB48-B158-441D-9BC0-DD9ADBB1E7A2}">
    <text>IL specific values, need to be adjusted for PR levels</text>
  </threadedComment>
  <threadedComment ref="C119" dT="2023-12-05T21:55:02.66" personId="{BC14965D-7F94-494A-B7E6-81AF47D3D827}" id="{1C9B8CC5-2CEF-4A7D-B437-ECABA2C79BCE}">
    <text>Assumption of new lighting being added. Value needs to be changed here.</text>
  </threadedComment>
  <threadedComment ref="C121" dT="2023-12-06T19:42:11.06" personId="{BC14965D-7F94-494A-B7E6-81AF47D3D827}" id="{0F40C322-32EF-43A3-ADF6-2D928332B17A}">
    <text>IL specific value, needs to be adjusted to PR levels</text>
  </threadedComment>
  <threadedComment ref="D139" dT="2023-12-06T20:53:21.16" personId="{BC14965D-7F94-494A-B7E6-81AF47D3D827}" id="{4448BDC8-9E98-46ED-8453-E6C401B5AAD2}">
    <text>Can be observed as region agnostic values</text>
  </threadedComment>
</ThreadedComments>
</file>

<file path=xl/threadedComments/threadedComment50.xml><?xml version="1.0" encoding="utf-8"?>
<ThreadedComments xmlns="http://schemas.microsoft.com/office/spreadsheetml/2018/threadedcomments" xmlns:x="http://schemas.openxmlformats.org/spreadsheetml/2006/main">
  <threadedComment ref="C111" dT="2023-12-06T17:45:50.04" personId="{BC14965D-7F94-494A-B7E6-81AF47D3D827}" id="{25990C51-C096-4843-B021-A95F29BA7517}">
    <text>Random default chosen from IL TRM example measure.</text>
  </threadedComment>
  <threadedComment ref="C120" dT="2023-12-06T17:45:50.04" personId="{BC14965D-7F94-494A-B7E6-81AF47D3D827}" id="{2DF790A3-B24F-415D-B3FD-44835C210F0A}">
    <text>Random default chosen from IL TRM example measure.</text>
  </threadedComment>
  <threadedComment ref="C121" dT="2023-12-06T17:45:50.04" personId="{BC14965D-7F94-494A-B7E6-81AF47D3D827}" id="{B93590B5-42A6-4945-B110-14EF19D57885}">
    <text>Random default chosen from IL TRM example measure.</text>
  </threadedComment>
</ThreadedComments>
</file>

<file path=xl/threadedComments/threadedComment51.xml><?xml version="1.0" encoding="utf-8"?>
<ThreadedComments xmlns="http://schemas.microsoft.com/office/spreadsheetml/2018/threadedcomments" xmlns:x="http://schemas.openxmlformats.org/spreadsheetml/2006/main">
  <threadedComment ref="C112" dT="2023-12-06T17:45:50.04" personId="{BC14965D-7F94-494A-B7E6-81AF47D3D827}" id="{21F26933-8EF7-4899-9310-48CB09BAB821}">
    <text>Random default chosen from IL TRM example measure.</text>
  </threadedComment>
</ThreadedComments>
</file>

<file path=xl/threadedComments/threadedComment52.xml><?xml version="1.0" encoding="utf-8"?>
<ThreadedComments xmlns="http://schemas.microsoft.com/office/spreadsheetml/2018/threadedcomments" xmlns:x="http://schemas.openxmlformats.org/spreadsheetml/2006/main">
  <threadedComment ref="C112" dT="2023-12-07T07:45:33.55" personId="{BC14965D-7F94-494A-B7E6-81AF47D3D827}" id="{B126960F-FBFF-42B9-AFA8-A3432AE5644D}">
    <text>IL TRM specific value</text>
  </threadedComment>
  <threadedComment ref="C115" dT="2023-12-19T20:43:59.51" personId="{BC14965D-7F94-494A-B7E6-81AF47D3D827}" id="{B04F9A76-CB70-45C2-8213-4C9B4A58E514}">
    <text xml:space="preserve">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ext>
  </threadedComment>
</ThreadedComments>
</file>

<file path=xl/threadedComments/threadedComment53.xml><?xml version="1.0" encoding="utf-8"?>
<ThreadedComments xmlns="http://schemas.microsoft.com/office/spreadsheetml/2018/threadedcomments" xmlns:x="http://schemas.openxmlformats.org/spreadsheetml/2006/main">
  <threadedComment ref="D121" dT="2023-12-06T22:02:30.87" personId="{BC14965D-7F94-494A-B7E6-81AF47D3D827}" id="{50B808E5-6549-4002-8824-53ACDC3AA265}">
    <text>Assuming to be equal to Combination A</text>
  </threadedComment>
</ThreadedComments>
</file>

<file path=xl/threadedComments/threadedComment54.xml><?xml version="1.0" encoding="utf-8"?>
<ThreadedComments xmlns="http://schemas.microsoft.com/office/spreadsheetml/2018/threadedcomments" xmlns:x="http://schemas.openxmlformats.org/spreadsheetml/2006/main">
  <threadedComment ref="C112" dT="2023-12-07T07:45:33.55" personId="{BC14965D-7F94-494A-B7E6-81AF47D3D827}" id="{7F857458-E472-4429-B877-568674300186}">
    <text>Random assumption from the IL TRM example</text>
  </threadedComment>
</ThreadedComments>
</file>

<file path=xl/threadedComments/threadedComment55.xml><?xml version="1.0" encoding="utf-8"?>
<ThreadedComments xmlns="http://schemas.microsoft.com/office/spreadsheetml/2018/threadedcomments" xmlns:x="http://schemas.openxmlformats.org/spreadsheetml/2006/main">
  <threadedComment ref="C112" dT="2023-12-07T07:45:33.55" personId="{BC14965D-7F94-494A-B7E6-81AF47D3D827}" id="{CD48593C-615E-42CD-9757-D8F87E460FD1}">
    <text>Random assumption from the IL TRM example</text>
  </threadedComment>
</ThreadedComments>
</file>

<file path=xl/threadedComments/threadedComment56.xml><?xml version="1.0" encoding="utf-8"?>
<ThreadedComments xmlns="http://schemas.microsoft.com/office/spreadsheetml/2018/threadedcomments" xmlns:x="http://schemas.openxmlformats.org/spreadsheetml/2006/main">
  <threadedComment ref="C112" dT="2023-12-07T07:45:33.55" personId="{BC14965D-7F94-494A-B7E6-81AF47D3D827}" id="{038EF6F4-B984-4A64-A7EF-08043F4A2C65}">
    <text>Random assumption from the IL TRM example</text>
  </threadedComment>
</ThreadedComments>
</file>

<file path=xl/threadedComments/threadedComment57.xml><?xml version="1.0" encoding="utf-8"?>
<ThreadedComments xmlns="http://schemas.microsoft.com/office/spreadsheetml/2018/threadedcomments" xmlns:x="http://schemas.openxmlformats.org/spreadsheetml/2006/main">
  <threadedComment ref="C113" dT="2023-12-07T07:45:33.55" personId="{BC14965D-7F94-494A-B7E6-81AF47D3D827}" id="{61D75DA9-6C1E-457F-9705-0D84591DECAB}">
    <text>IL TRM specific value</text>
  </threadedComment>
  <threadedComment ref="C115" dT="2023-12-19T20:48:58.58" personId="{BC14965D-7F94-494A-B7E6-81AF47D3D827}" id="{BA756753-B6B7-4464-9A86-200646BE90CF}">
    <text>Measure evaluated for the unitary condition</text>
  </threadedComment>
  <threadedComment ref="C116" dT="2023-12-19T20:43:59.51" personId="{BC14965D-7F94-494A-B7E6-81AF47D3D827}" id="{D6F23D79-0C83-41F3-8EF0-5C84DA452DB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8.xml><?xml version="1.0" encoding="utf-8"?>
<ThreadedComments xmlns="http://schemas.microsoft.com/office/spreadsheetml/2018/threadedcomments" xmlns:x="http://schemas.openxmlformats.org/spreadsheetml/2006/main">
  <threadedComment ref="C113" dT="2023-12-07T07:45:33.55" personId="{BC14965D-7F94-494A-B7E6-81AF47D3D827}" id="{60F6271E-6811-4CA2-8A2C-C7BA9D68622C}">
    <text>IL TRM specific value</text>
  </threadedComment>
  <threadedComment ref="C115" dT="2023-12-19T20:48:58.58" personId="{BC14965D-7F94-494A-B7E6-81AF47D3D827}" id="{159382E5-87C5-41F5-A4E8-F0CFF1D6E7EE}">
    <text>Measure evaluated for the unitary condition</text>
  </threadedComment>
  <threadedComment ref="C116" dT="2023-12-19T20:43:59.51" personId="{BC14965D-7F94-494A-B7E6-81AF47D3D827}" id="{EE56F2B9-324D-43F2-B4D2-5547D9CECB1B}">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9.xml><?xml version="1.0" encoding="utf-8"?>
<ThreadedComments xmlns="http://schemas.microsoft.com/office/spreadsheetml/2018/threadedcomments" xmlns:x="http://schemas.openxmlformats.org/spreadsheetml/2006/main">
  <threadedComment ref="C113" dT="2023-12-07T07:45:33.55" personId="{BC14965D-7F94-494A-B7E6-81AF47D3D827}" id="{6CEF6E7E-5236-4B50-A0EF-0DF613EAA188}">
    <text>IL TRM specific value</text>
  </threadedComment>
  <threadedComment ref="C115" dT="2023-12-19T20:48:58.58" personId="{BC14965D-7F94-494A-B7E6-81AF47D3D827}" id="{50A5D91E-000D-44AB-863F-4424FE5B491C}">
    <text>Assuming multi step</text>
  </threadedComment>
  <threadedComment ref="C116" dT="2023-12-19T20:43:59.51" personId="{BC14965D-7F94-494A-B7E6-81AF47D3D827}" id="{D3E07ED3-B89D-418F-A91B-57E6AD11DC3E}">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0.xml><?xml version="1.0" encoding="utf-8"?>
<ThreadedComments xmlns="http://schemas.microsoft.com/office/spreadsheetml/2018/threadedcomments" xmlns:x="http://schemas.openxmlformats.org/spreadsheetml/2006/main">
  <threadedComment ref="C113" dT="2023-12-07T07:45:33.55" personId="{BC14965D-7F94-494A-B7E6-81AF47D3D827}" id="{9219B36C-90D3-42BB-AA71-DF08B29D5481}">
    <text>IL TRM specific value</text>
  </threadedComment>
  <threadedComment ref="C115" dT="2023-12-19T20:48:58.58" personId="{BC14965D-7F94-494A-B7E6-81AF47D3D827}" id="{FFCA3F0D-AFAD-4BBB-ABD6-1B618FE6ED6B}">
    <text>Measure evaluated for the unitary condition</text>
  </threadedComment>
  <threadedComment ref="C116" dT="2023-12-19T20:43:59.51" personId="{BC14965D-7F94-494A-B7E6-81AF47D3D827}" id="{57834A9D-B27E-4DF5-A443-E7F52911E5C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1.xml><?xml version="1.0" encoding="utf-8"?>
<ThreadedComments xmlns="http://schemas.microsoft.com/office/spreadsheetml/2018/threadedcomments" xmlns:x="http://schemas.openxmlformats.org/spreadsheetml/2006/main">
  <threadedComment ref="E123" dT="2024-07-10T02:52:19.85" personId="{BC14965D-7F94-494A-B7E6-81AF47D3D827}" id="{A38FF09F-7681-49C7-8741-DC3C449D46D7}">
    <text>Based on source for baseline effectiveness being 50%</text>
  </threadedComment>
</ThreadedComments>
</file>

<file path=xl/threadedComments/threadedComment62.xml><?xml version="1.0" encoding="utf-8"?>
<ThreadedComments xmlns="http://schemas.microsoft.com/office/spreadsheetml/2018/threadedcomments" xmlns:x="http://schemas.openxmlformats.org/spreadsheetml/2006/main">
  <threadedComment ref="C113" dT="2023-12-07T07:45:33.55" personId="{BC14965D-7F94-494A-B7E6-81AF47D3D827}" id="{77D688AB-0D71-4F8A-9564-60B57DD3D406}">
    <text>IL TRM specific value</text>
  </threadedComment>
  <threadedComment ref="C115" dT="2023-12-19T20:48:58.58" personId="{BC14965D-7F94-494A-B7E6-81AF47D3D827}" id="{B6852827-D81B-4DD4-939B-A2531F7D0BEB}">
    <text>Measure evaluated for the unitary condition</text>
  </threadedComment>
  <threadedComment ref="C116" dT="2023-12-19T20:43:59.51" personId="{BC14965D-7F94-494A-B7E6-81AF47D3D827}" id="{9DF42E0E-F355-4E41-A28D-16DE24F7B588}">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3.xml><?xml version="1.0" encoding="utf-8"?>
<ThreadedComments xmlns="http://schemas.microsoft.com/office/spreadsheetml/2018/threadedcomments" xmlns:x="http://schemas.openxmlformats.org/spreadsheetml/2006/main">
  <threadedComment ref="C112" dT="2023-12-06T17:45:50.04" personId="{BC14965D-7F94-494A-B7E6-81AF47D3D827}" id="{83DCACD6-2A7C-4E39-AEE5-F454AB238A36}">
    <text>Random default chosen from NY TRM example measure.</text>
  </threadedComment>
  <threadedComment ref="C125" dT="2023-12-06T17:45:50.04" personId="{BC14965D-7F94-494A-B7E6-81AF47D3D827}" id="{B6B97C80-9E43-4842-AE47-24D423C71DC6}">
    <text>Random default chosen from IL TRM example measure.</text>
  </threadedComment>
</ThreadedComments>
</file>

<file path=xl/threadedComments/threadedComment64.xml><?xml version="1.0" encoding="utf-8"?>
<ThreadedComments xmlns="http://schemas.microsoft.com/office/spreadsheetml/2018/threadedcomments" xmlns:x="http://schemas.openxmlformats.org/spreadsheetml/2006/main">
  <threadedComment ref="C112" dT="2023-12-06T17:45:50.04" personId="{BC14965D-7F94-494A-B7E6-81AF47D3D827}" id="{78C0B617-77CD-40F2-85A9-06D550FA8422}">
    <text>Random default chosen from NY TRM example measure.</text>
  </threadedComment>
  <threadedComment ref="C125" dT="2023-12-06T17:45:50.04" personId="{BC14965D-7F94-494A-B7E6-81AF47D3D827}" id="{F0C786E0-8C7D-4FAF-9141-1E9428B16D62}">
    <text>Random default chosen from IL TRM example measure.</text>
  </threadedComment>
</ThreadedComments>
</file>

<file path=xl/threadedComments/threadedComment65.xml><?xml version="1.0" encoding="utf-8"?>
<ThreadedComments xmlns="http://schemas.microsoft.com/office/spreadsheetml/2018/threadedcomments" xmlns:x="http://schemas.openxmlformats.org/spreadsheetml/2006/main">
  <threadedComment ref="C111" dT="2023-12-07T08:46:08.49" personId="{BC14965D-7F94-494A-B7E6-81AF47D3D827}" id="{48B4B615-08C2-4E81-B88B-397CB15D8048}">
    <text xml:space="preserve">Region agnostic source: 5 DeOreo, B., and P. Mayer. Residential End Uses of Water Study Update. Forthcoming. ©2015 Water Research Foundation. Reprinted With Permission 
</text>
  </threadedComment>
  <threadedComment ref="C112" dT="2023-12-07T08:46:33.54" personId="{BC14965D-7F94-494A-B7E6-81AF47D3D827}" id="{3FAEB4A2-1EC7-41FA-9ACB-8AB1839E79F6}">
    <text xml:space="preserve">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ext>
  </threadedComment>
</ThreadedComments>
</file>

<file path=xl/threadedComments/threadedComment66.xml><?xml version="1.0" encoding="utf-8"?>
<ThreadedComments xmlns="http://schemas.microsoft.com/office/spreadsheetml/2018/threadedcomments" xmlns:x="http://schemas.openxmlformats.org/spreadsheetml/2006/main">
  <threadedComment ref="C113" dT="2024-01-02T16:45:39.49" personId="{BC14965D-7F94-494A-B7E6-81AF47D3D827}" id="{07D104B4-EB3D-4A6B-9B72-788B6F791649}">
    <text>PR Level adjustments needed</text>
  </threadedComment>
</ThreadedComments>
</file>

<file path=xl/threadedComments/threadedComment67.xml><?xml version="1.0" encoding="utf-8"?>
<ThreadedComments xmlns="http://schemas.microsoft.com/office/spreadsheetml/2018/threadedcomments" xmlns:x="http://schemas.openxmlformats.org/spreadsheetml/2006/main">
  <threadedComment ref="E125" dT="2024-07-10T05:17:29.40" personId="{BC14965D-7F94-494A-B7E6-81AF47D3D827}" id="{A174CFC0-2C51-4109-A3C4-83A03BACC1B5}">
    <text>Lack of data</text>
  </threadedComment>
</ThreadedComments>
</file>

<file path=xl/threadedComments/threadedComment68.xml><?xml version="1.0" encoding="utf-8"?>
<ThreadedComments xmlns="http://schemas.microsoft.com/office/spreadsheetml/2018/threadedcomments" xmlns:x="http://schemas.openxmlformats.org/spreadsheetml/2006/main">
  <threadedComment ref="C124" dT="2024-05-23T03:10:53.71" personId="{BC14965D-7F94-494A-B7E6-81AF47D3D827}" id="{D0CFFCB5-720D-47CA-92B1-4195FADD8475}">
    <text>Electric tankless</text>
  </threadedComment>
</ThreadedComments>
</file>

<file path=xl/threadedComments/threadedComment69.xml><?xml version="1.0" encoding="utf-8"?>
<ThreadedComments xmlns="http://schemas.microsoft.com/office/spreadsheetml/2018/threadedcomments" xmlns:x="http://schemas.openxmlformats.org/spreadsheetml/2006/main">
  <threadedComment ref="C118" dT="2023-12-07T07:45:33.55" personId="{BC14965D-7F94-494A-B7E6-81AF47D3D827}" id="{63CEB620-FACE-4F2A-9853-F5F20FC52F5C}">
    <text>IL TRM specific value</text>
  </threadedComment>
  <threadedComment ref="C120" dT="2023-12-19T05:10:15.61" personId="{BC14965D-7F94-494A-B7E6-81AF47D3D827}" id="{23479CBA-26C8-4A87-BD01-D9DC67F90D44}">
    <text>Assuming a 12 EER for a Large CI CAC: https://www.energystar.gov/products/heating_cooling/light_commercial_heating_cooling/light_commercial_hvac_key_product_criteria</text>
    <extLst>
      <x:ext xmlns:xltc2="http://schemas.microsoft.com/office/spreadsheetml/2020/threadedcomments2" uri="{F7C98A9C-CBB3-438F-8F68-D28B6AF4A901}">
        <xltc2:checksum>1631152621</xltc2:checksum>
        <xltc2:hyperlink startIndex="38" length="127" url="https://www.energystar.gov/products/heating_cooling/light_commercial_heating_cooling/light_commercial_hvac_key_product_criteria"/>
      </x:ext>
    </extLst>
  </threadedComment>
  <threadedComment ref="C123" dT="2023-12-19T05:12:54.03" personId="{BC14965D-7F94-494A-B7E6-81AF47D3D827}" id="{B88DB72A-6879-4407-9551-3D36CAAD897E}">
    <text>Random assumption of 65 degree CD for PE. Likely to be higher, closer to 360</text>
  </threadedComment>
  <threadedComment ref="C131" dT="2023-12-19T04:58:29.38" personId="{BC14965D-7F94-494A-B7E6-81AF47D3D827}" id="{080E2416-C163-4299-B287-68DD01FF9C02}">
    <text>Chosen a setpoint of 72, with highest humidity.</text>
  </threadedComment>
  <threadedComment ref="C135" dT="2023-12-19T04:56:17.73" personId="{BC14965D-7F94-494A-B7E6-81AF47D3D827}" id="{A8BE7C35-F30A-497F-96A5-677B7DA038B9}">
    <text>Could not find PR specific values. Chosen a bad example of averaging IL cities. To be changed later</text>
  </threadedComment>
  <threadedComment ref="C139" dT="2023-12-18T21:08:30.33" personId="{BC14965D-7F94-494A-B7E6-81AF47D3D827}" id="{6267CA0D-55A6-43AA-883E-E66A4FB94D56}">
    <text>Random assumption of a storefront door being 4ft by 8ft, and having two of them</text>
  </threadedComment>
  <threadedComment ref="C141" dT="2023-12-18T20:38:10.24" personId="{BC14965D-7F94-494A-B7E6-81AF47D3D827}" id="{83195B40-9AAD-4DF9-A251-90974E2D782E}">
    <text>Assumption for PR C&amp;I spaces</text>
  </threadedComment>
  <threadedComment ref="C142" dT="2023-12-18T20:41:52.81" personId="{BC14965D-7F94-494A-B7E6-81AF47D3D827}" id="{A8A857BA-C7A9-4FEC-B749-6664990594FD}">
    <text>https://www.weather.gov/wrh/Climate?wfo=sju
Average temp of San Juan for 2000-2023</text>
    <extLst>
      <x:ext xmlns:xltc2="http://schemas.microsoft.com/office/spreadsheetml/2020/threadedcomments2" uri="{F7C98A9C-CBB3-438F-8F68-D28B6AF4A901}">
        <xltc2:checksum>2886352806</xltc2:checksum>
        <xltc2:hyperlink startIndex="0" length="43" url="https://www.weather.gov/wrh/Climate?wfo=sju"/>
      </x:ext>
    </extLst>
  </threadedComment>
</ThreadedComments>
</file>

<file path=xl/threadedComments/threadedComment70.xml><?xml version="1.0" encoding="utf-8"?>
<ThreadedComments xmlns="http://schemas.microsoft.com/office/spreadsheetml/2018/threadedcomments" xmlns:x="http://schemas.openxmlformats.org/spreadsheetml/2006/main">
  <threadedComment ref="C118" dT="2023-12-07T07:45:33.55" personId="{BC14965D-7F94-494A-B7E6-81AF47D3D827}" id="{28A0B2FE-98FF-485F-B2ED-0FBF89E68B9E}">
    <text>IL TRM specific value</text>
  </threadedComment>
</ThreadedComments>
</file>

<file path=xl/threadedComments/threadedComment71.xml><?xml version="1.0" encoding="utf-8"?>
<ThreadedComments xmlns="http://schemas.microsoft.com/office/spreadsheetml/2018/threadedcomments" xmlns:x="http://schemas.openxmlformats.org/spreadsheetml/2006/main">
  <threadedComment ref="C113" dT="2023-12-07T07:45:33.55" personId="{BC14965D-7F94-494A-B7E6-81AF47D3D827}" id="{5A0EA77C-888B-42B8-88C7-0866CF18C15D}">
    <text>IL TRM specific value</text>
  </threadedComment>
  <threadedComment ref="C115" dT="2023-12-19T20:48:58.58" personId="{BC14965D-7F94-494A-B7E6-81AF47D3D827}" id="{F8A0CF42-A0AC-4660-B29B-38945CA25631}">
    <text>Measure evaluated for the unitary condition</text>
  </threadedComment>
  <threadedComment ref="C116" dT="2023-12-19T20:43:59.51" personId="{BC14965D-7F94-494A-B7E6-81AF47D3D827}" id="{BABECC54-2864-4F38-9166-4E96D473EC91}">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2.xml><?xml version="1.0" encoding="utf-8"?>
<ThreadedComments xmlns="http://schemas.microsoft.com/office/spreadsheetml/2018/threadedcomments" xmlns:x="http://schemas.openxmlformats.org/spreadsheetml/2006/main">
  <threadedComment ref="C112" dT="2023-12-07T07:45:33.55" personId="{BC14965D-7F94-494A-B7E6-81AF47D3D827}" id="{C19CD67E-5CC1-4007-AEEF-475DCC2AFDBC}">
    <text>IL TRM specific value</text>
  </threadedComment>
  <threadedComment ref="C114" dT="2023-12-19T20:48:58.58" personId="{BC14965D-7F94-494A-B7E6-81AF47D3D827}" id="{C2F7E902-1FF6-4A15-83AF-86D7DD873B14}">
    <text>Measure evaluated for the unitary condition</text>
  </threadedComment>
  <threadedComment ref="C115" dT="2023-12-19T20:43:59.51" personId="{BC14965D-7F94-494A-B7E6-81AF47D3D827}" id="{BDB3856F-1912-426F-AF7E-90105D861554}">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3.xml><?xml version="1.0" encoding="utf-8"?>
<ThreadedComments xmlns="http://schemas.microsoft.com/office/spreadsheetml/2018/threadedcomments" xmlns:x="http://schemas.openxmlformats.org/spreadsheetml/2006/main">
  <threadedComment ref="C112" dT="2023-12-07T07:45:33.55" personId="{BC14965D-7F94-494A-B7E6-81AF47D3D827}" id="{9975BCC3-72F6-43FD-9925-77904878F4D4}">
    <text>IL TRM specific value</text>
  </threadedComment>
</ThreadedComments>
</file>

<file path=xl/threadedComments/threadedComment74.xml><?xml version="1.0" encoding="utf-8"?>
<ThreadedComments xmlns="http://schemas.microsoft.com/office/spreadsheetml/2018/threadedcomments" xmlns:x="http://schemas.openxmlformats.org/spreadsheetml/2006/main">
  <threadedComment ref="C113" dT="2023-12-07T07:45:33.55" personId="{BC14965D-7F94-494A-B7E6-81AF47D3D827}" id="{EDC64C18-9146-4A65-B3E0-1E918D86D629}">
    <text>IL TRM specific value</text>
  </threadedComment>
</ThreadedComments>
</file>

<file path=xl/threadedComments/threadedComment75.xml><?xml version="1.0" encoding="utf-8"?>
<ThreadedComments xmlns="http://schemas.microsoft.com/office/spreadsheetml/2018/threadedcomments" xmlns:x="http://schemas.openxmlformats.org/spreadsheetml/2006/main">
  <threadedComment ref="C111" dT="2023-12-07T07:45:33.55" personId="{BC14965D-7F94-494A-B7E6-81AF47D3D827}" id="{0B14A078-0CF7-45D2-A084-3ED909E43DF4}">
    <text>IL TRM specific value</text>
  </threadedComment>
</ThreadedComments>
</file>

<file path=xl/threadedComments/threadedComment76.xml><?xml version="1.0" encoding="utf-8"?>
<ThreadedComments xmlns="http://schemas.microsoft.com/office/spreadsheetml/2018/threadedcomments" xmlns:x="http://schemas.openxmlformats.org/spreadsheetml/2006/main">
  <threadedComment ref="C112" dT="2023-12-07T07:45:33.55" personId="{BC14965D-7F94-494A-B7E6-81AF47D3D827}" id="{9F5EDABB-BCEB-4217-AAF4-62B365A8CBB5}">
    <text>IL TRM specific value</text>
  </threadedComment>
</ThreadedComments>
</file>

<file path=xl/threadedComments/threadedComment77.xml><?xml version="1.0" encoding="utf-8"?>
<ThreadedComments xmlns="http://schemas.microsoft.com/office/spreadsheetml/2018/threadedcomments" xmlns:x="http://schemas.openxmlformats.org/spreadsheetml/2006/main">
  <threadedComment ref="C113" dT="2023-12-07T07:45:33.55" personId="{BC14965D-7F94-494A-B7E6-81AF47D3D827}" id="{859B11B8-4471-4362-895E-087864D308CA}">
    <text>IL TRM specific value</text>
  </threadedComment>
  <threadedComment ref="C116" dT="2023-12-28T17:47:46.57" personId="{BC14965D-7F94-494A-B7E6-81AF47D3D827}" id="{48F0316D-F662-41CF-839D-AFE1083D5CD0}">
    <text>Random assumption of highest Hours value from IL TRM cities</text>
  </threadedComment>
  <threadedComment ref="C120" dT="2023-12-28T17:43:08.97" personId="{BC14965D-7F94-494A-B7E6-81AF47D3D827}" id="{3361DAF4-53EA-4921-BDEA-BE53CC769FB1}">
    <text>Characterized for the unitary condition</text>
  </threadedComment>
  <threadedComment ref="E127" dT="2023-12-28T17:47:10.16" personId="{BC14965D-7F94-494A-B7E6-81AF47D3D827}" id="{FF6E3405-2583-44BD-B384-835A5CD8C74A}">
    <text>Random assumption from IL TRM example</text>
  </threadedComment>
</ThreadedComments>
</file>

<file path=xl/threadedComments/threadedComment78.xml><?xml version="1.0" encoding="utf-8"?>
<ThreadedComments xmlns="http://schemas.microsoft.com/office/spreadsheetml/2018/threadedcomments" xmlns:x="http://schemas.openxmlformats.org/spreadsheetml/2006/main">
  <threadedComment ref="C124" dT="2023-12-28T05:30:37.36" personId="{BC14965D-7F94-494A-B7E6-81AF47D3D827}" id="{60777D77-C385-4EE5-83D7-5A1DBC0FAF2C}">
    <text>IL Centric value, needs to be normalized to PR levels</text>
  </threadedComment>
</ThreadedComments>
</file>

<file path=xl/threadedComments/threadedComment79.xml><?xml version="1.0" encoding="utf-8"?>
<ThreadedComments xmlns="http://schemas.microsoft.com/office/spreadsheetml/2018/threadedcomments" xmlns:x="http://schemas.openxmlformats.org/spreadsheetml/2006/main">
  <threadedComment ref="C112" dT="2023-12-11T19:52:41.45" personId="{BC14965D-7F94-494A-B7E6-81AF47D3D827}" id="{935AD4B9-802B-4289-82C5-215AD5E29C63}">
    <text>Default assumed as Unknown. PR level verification needed</text>
  </threadedComment>
  <threadedComment ref="B116" dT="2023-12-11T06:07:07.23" personId="{BC14965D-7F94-494A-B7E6-81AF47D3D827}" id="{E80C7717-EFF2-4148-A24C-A2C930FE2C51}">
    <text>Needs PR level Costs of material and labor</text>
  </threadedComment>
  <threadedComment ref="B122" dT="2023-12-11T19:50:23.90" personId="{BC14965D-7F94-494A-B7E6-81AF47D3D827}" id="{F1DB404C-1605-4930-BD2E-A668A68B906F}">
    <text>Random assumptions. Need PR level verification</text>
  </threadedComment>
</ThreadedComments>
</file>

<file path=xl/threadedComments/threadedComment80.xml><?xml version="1.0" encoding="utf-8"?>
<ThreadedComments xmlns="http://schemas.microsoft.com/office/spreadsheetml/2018/threadedcomments" xmlns:x="http://schemas.openxmlformats.org/spreadsheetml/2006/main">
  <threadedComment ref="B114" dT="2023-12-11T06:07:07.23" personId="{BC14965D-7F94-494A-B7E6-81AF47D3D827}" id="{570DD050-55C1-49C1-9B7D-B964DB28E9F5}">
    <text>Needs PR level Costs of material and labor</text>
  </threadedComment>
</ThreadedComments>
</file>

<file path=xl/threadedComments/threadedComment81.xml><?xml version="1.0" encoding="utf-8"?>
<ThreadedComments xmlns="http://schemas.microsoft.com/office/spreadsheetml/2018/threadedcomments" xmlns:x="http://schemas.openxmlformats.org/spreadsheetml/2006/main">
  <threadedComment ref="B115" dT="2023-12-11T06:07:07.23" personId="{BC14965D-7F94-494A-B7E6-81AF47D3D827}" id="{31582A78-12F0-4671-AC9C-7AC1801236E4}">
    <text>Needs PR level Costs of material and labor</text>
  </threadedComment>
  <threadedComment ref="C123" dT="2023-12-11T05:05:05.19" personId="{BC14965D-7F94-494A-B7E6-81AF47D3D827}" id="{CBF0E1D6-4E66-4EF9-B301-4FDE970ED097}">
    <text>Lower of the values chosen between 455 and 469</text>
  </threadedComment>
  <threadedComment ref="E132" dT="2023-12-11T06:24:54.62" personId="{BC14965D-7F94-494A-B7E6-81AF47D3D827}" id="{F3489483-8458-4FF2-9DA2-B8AD1545EE40}">
    <text>Assumed value from the IL TRM. Needs evaluation</text>
  </threadedComment>
  <threadedComment ref="C149" dT="2023-12-11T05:05:05.19" personId="{BC14965D-7F94-494A-B7E6-81AF47D3D827}" id="{06DDB2B0-08F6-4F0E-BED3-D8B752F9E199}">
    <text>Lower of the values chosen between 455 and 469</text>
  </threadedComment>
  <threadedComment ref="C154" dT="2023-12-11T05:05:05.19" personId="{BC14965D-7F94-494A-B7E6-81AF47D3D827}" id="{6AF73F63-7645-4052-8521-CCC30D4C6BF0}">
    <text>Lower of the values chosen between 455 and 469</text>
  </threadedComment>
</ThreadedComments>
</file>

<file path=xl/threadedComments/threadedComment82.xml><?xml version="1.0" encoding="utf-8"?>
<ThreadedComments xmlns="http://schemas.microsoft.com/office/spreadsheetml/2018/threadedcomments" xmlns:x="http://schemas.openxmlformats.org/spreadsheetml/2006/main">
  <threadedComment ref="C113" dT="2023-12-11T06:34:15.93" personId="{BC14965D-7F94-494A-B7E6-81AF47D3D827}" id="{369EF062-058C-49D3-8DCA-68FD8F1591F6}">
    <text>Assuming as Unknown from Table in Sec 4.5</text>
  </threadedComment>
  <threadedComment ref="B115" dT="2023-12-11T06:07:07.23" personId="{BC14965D-7F94-494A-B7E6-81AF47D3D827}" id="{6D5BBEC8-CBDE-4AA2-A04E-29E1F841298C}">
    <text>Needs PR level Costs of material and labor</text>
  </threadedComment>
  <threadedComment ref="D119" dT="2023-12-11T06:28:52.52" personId="{BC14965D-7F94-494A-B7E6-81AF47D3D827}" id="{6D7527DF-D7C3-479E-9749-976E34B74A4E}">
    <text>Unknown no. of sides is assumed to be 2W as per IL TRM</text>
  </threadedComment>
</ThreadedComments>
</file>

<file path=xl/threadedComments/threadedComment83.xml><?xml version="1.0" encoding="utf-8"?>
<ThreadedComments xmlns="http://schemas.microsoft.com/office/spreadsheetml/2018/threadedcomments" xmlns:x="http://schemas.openxmlformats.org/spreadsheetml/2006/main">
  <threadedComment ref="C112" dT="2023-12-11T19:52:41.45" personId="{BC14965D-7F94-494A-B7E6-81AF47D3D827}" id="{79797B9B-66B1-4D7E-9CDD-C439F437EAA1}">
    <text>Default assumed as Unknown. PR level verification needed</text>
  </threadedComment>
  <threadedComment ref="B116" dT="2023-12-11T06:07:07.23" personId="{BC14965D-7F94-494A-B7E6-81AF47D3D827}" id="{981BA872-0675-4207-979D-A31A9A78FA5D}">
    <text>Needs PR level Costs of material and labor</text>
  </threadedComment>
  <threadedComment ref="G120" dT="2023-12-14T16:26:14.57" personId="{BC14965D-7F94-494A-B7E6-81AF47D3D827}" id="{6DB4C295-0CAF-4F95-BAB0-E7A8035F6C83}">
    <text>Assuming a 40% improvements with standard LEDs. https://www.usa.lighting.philips.com/consumer/ultra-efficient#:~:text=By%20improving%20the%20energy%20efficiency,saving%20energy%20%E2%80%93%20and%20the%20plant.</text>
    <extLst>
      <x:ext xmlns:xltc2="http://schemas.microsoft.com/office/spreadsheetml/2020/threadedcomments2" uri="{F7C98A9C-CBB3-438F-8F68-D28B6AF4A901}">
        <xltc2:checksum>4219305801</xltc2:checksum>
        <xltc2:hyperlink startIndex="48" length="160" url="https://www.usa.lighting.philips.com/consumer/ultra-efficient#:~:text=By%20improving%20the%20energy%20efficiency,saving%20energy%20%E2%80%93%20and%20the%20plant"/>
      </x:ext>
    </extLst>
  </threadedComment>
</ThreadedComments>
</file>

<file path=xl/threadedComments/threadedComment84.xml><?xml version="1.0" encoding="utf-8"?>
<ThreadedComments xmlns="http://schemas.microsoft.com/office/spreadsheetml/2018/threadedcomments" xmlns:x="http://schemas.openxmlformats.org/spreadsheetml/2006/main">
  <threadedComment ref="C112" dT="2023-12-11T19:52:41.45" personId="{BC14965D-7F94-494A-B7E6-81AF47D3D827}" id="{9B19A5A5-6FB6-45DC-824E-E4898D93082E}">
    <text>Default assumed as Unknown. PR level verification needed</text>
  </threadedComment>
  <threadedComment ref="B116" dT="2023-12-11T06:07:07.23" personId="{BC14965D-7F94-494A-B7E6-81AF47D3D827}" id="{04E1D48E-6A92-43AF-9BF6-CB190F88CD6A}">
    <text>Needs PR level Costs of material and labor</text>
  </threadedComment>
  <threadedComment ref="F121" dT="2023-12-13T20:27:08.05" personId="{BC14965D-7F94-494A-B7E6-81AF47D3D827}" id="{7F62ECD6-9694-4D15-923F-8E826ABD0690}">
    <text>IL Utility based values, needs PR level evaluations</text>
  </threadedComment>
  <threadedComment ref="C129" dT="2023-12-11T19:50:23.90" personId="{BC14965D-7F94-494A-B7E6-81AF47D3D827}" id="{914F4F1F-C978-4D3A-B5EE-07D510450304}">
    <text>Assuming complete delamping of T8 lamp with reflector, etc. Measure considers T12 delamping to have a T8 retrofit</text>
  </threadedComment>
</ThreadedComments>
</file>

<file path=xl/threadedComments/threadedComment85.xml><?xml version="1.0" encoding="utf-8"?>
<ThreadedComments xmlns="http://schemas.microsoft.com/office/spreadsheetml/2018/threadedcomments" xmlns:x="http://schemas.openxmlformats.org/spreadsheetml/2006/main">
  <threadedComment ref="C112" dT="2023-12-11T19:52:41.45" personId="{BC14965D-7F94-494A-B7E6-81AF47D3D827}" id="{3BB51B7C-CC20-46F1-B3EB-EBE16A66DD27}">
    <text>Default assumed as Unknown. PR level verification needed</text>
  </threadedComment>
  <threadedComment ref="C114" dT="2023-12-11T19:52:41.45" personId="{BC14965D-7F94-494A-B7E6-81AF47D3D827}" id="{CA3958F4-089C-403A-A528-BFD25F16CC2B}">
    <text>Default assumed as Unknown. PR level verification needed</text>
  </threadedComment>
  <threadedComment ref="C118" dT="2023-12-12T06:33:43.30" personId="{BC14965D-7F94-494A-B7E6-81AF47D3D827}" id="{3A205F7E-5FAA-41A1-A187-8F85031EA619}">
    <text>Assuming no existing Lighting controls</text>
  </threadedComment>
  <threadedComment ref="B119" dT="2023-12-11T06:07:07.23" personId="{BC14965D-7F94-494A-B7E6-81AF47D3D827}" id="{CE9A2AB6-3180-4F04-8A6F-5D47094D5E96}">
    <text>Needs PR level Costs of material and labor</text>
  </threadedComment>
  <threadedComment ref="C136" dT="2023-12-11T21:25:37.06" personId="{BC14965D-7F94-494A-B7E6-81AF47D3D827}" id="{65C50DBB-3700-4572-B8C3-6B51A114676D}">
    <text>$/Per sqft</text>
  </threadedComment>
  <threadedComment ref="E139" dT="2023-12-12T06:21:09.67" personId="{BC14965D-7F94-494A-B7E6-81AF47D3D827}" id="{C4E11F11-641A-4D7D-B14C-ACE1E24B57CA}">
    <text>Defaulting to LLLC &gt;10000 lumens</text>
  </threadedComment>
  <threadedComment ref="C141" dT="2023-12-12T06:37:09.88" personId="{BC14965D-7F94-494A-B7E6-81AF47D3D827}" id="{70511C40-F6BC-45B8-8E1A-31651E1D73E9}">
    <text>Defaulting to Exte Occupancy Sensor</text>
  </threadedComment>
  <threadedComment ref="E151" dT="2023-12-12T06:16:27.83" personId="{BC14965D-7F94-494A-B7E6-81AF47D3D827}" id="{25123F3B-72D2-42CB-90C5-0C5CC6AB54BA}">
    <text>Assigned Unknown value from Table 4.5</text>
  </threadedComment>
  <threadedComment ref="C170" dT="2023-12-12T06:12:33.61" personId="{BC14965D-7F94-494A-B7E6-81AF47D3D827}" id="{29E1CAEB-587F-447C-ADFC-13A50AB410E1}">
    <text>Approx values have been assigned from above table</text>
  </threadedComment>
  <threadedComment ref="E184" dT="2023-12-12T06:38:56.94" personId="{BC14965D-7F94-494A-B7E6-81AF47D3D827}" id="{5E5184C9-3436-433D-9C8E-E3E173D5E26F}">
    <text>Assuming 7500 sqft.</text>
  </threadedComment>
  <threadedComment ref="E185" dT="2023-12-12T06:39:06.59" personId="{BC14965D-7F94-494A-B7E6-81AF47D3D827}" id="{EC678C39-9147-40CE-BE76-D6D3B22AA13A}">
    <text>Assuming 55000 sqft.</text>
  </threadedComment>
  <threadedComment ref="E186" dT="2023-12-12T06:39:20.41" personId="{BC14965D-7F94-494A-B7E6-81AF47D3D827}" id="{F6FEDBC6-DE97-4434-80A4-A0E9C217708E}">
    <text>Assuming 125000 sqft.</text>
  </threadedComment>
  <threadedComment ref="E189" dT="2023-12-12T06:23:18.19" personId="{BC14965D-7F94-494A-B7E6-81AF47D3D827}" id="{3AE0E764-CE8C-4C57-8576-DF0EF02F9EF5}">
    <text>Defaulting to Ext occupancy sensor</text>
  </threadedComment>
</ThreadedComments>
</file>

<file path=xl/threadedComments/threadedComment86.xml><?xml version="1.0" encoding="utf-8"?>
<ThreadedComments xmlns="http://schemas.microsoft.com/office/spreadsheetml/2018/threadedcomments" xmlns:x="http://schemas.openxmlformats.org/spreadsheetml/2006/main">
  <threadedComment ref="C112" dT="2023-12-11T19:52:41.45" personId="{BC14965D-7F94-494A-B7E6-81AF47D3D827}" id="{9884986B-76F1-4FA2-9457-061457303A8E}">
    <text>Default assumed as Unknown. PR level verification needed</text>
  </threadedComment>
  <threadedComment ref="B116" dT="2023-12-11T06:07:07.23" personId="{BC14965D-7F94-494A-B7E6-81AF47D3D827}" id="{756D341D-EC53-4E06-8935-9E004E2AB1C2}">
    <text>Needs PR level Costs of material and labor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 Id="rId4" Type="http://schemas.microsoft.com/office/2017/10/relationships/threadedComment" Target="../threadedComments/threadedComment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 Id="rId4" Type="http://schemas.microsoft.com/office/2017/10/relationships/threadedComment" Target="../threadedComments/threadedComment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 Id="rId4" Type="http://schemas.microsoft.com/office/2017/10/relationships/threadedComment" Target="../threadedComments/threadedComment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3.xml"/><Relationship Id="rId1" Type="http://schemas.openxmlformats.org/officeDocument/2006/relationships/printerSettings" Target="../printerSettings/printerSettings12.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6.xml"/><Relationship Id="rId1" Type="http://schemas.openxmlformats.org/officeDocument/2006/relationships/printerSettings" Target="../printerSettings/printerSettings1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7.xml"/><Relationship Id="rId1" Type="http://schemas.openxmlformats.org/officeDocument/2006/relationships/printerSettings" Target="../printerSettings/printerSettings1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8.xml"/><Relationship Id="rId1" Type="http://schemas.openxmlformats.org/officeDocument/2006/relationships/printerSettings" Target="../printerSettings/printerSettings18.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9.xml"/><Relationship Id="rId1" Type="http://schemas.openxmlformats.org/officeDocument/2006/relationships/printerSettings" Target="../printerSettings/printerSettings19.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0.bin"/><Relationship Id="rId1" Type="http://schemas.openxmlformats.org/officeDocument/2006/relationships/hyperlink" Target="https://www.energystar.gov/products/ask-the-experts/what-uniform-energy-factor-and-why-does-it-matter" TargetMode="External"/><Relationship Id="rId6" Type="http://schemas.microsoft.com/office/2017/10/relationships/threadedComment" Target="../threadedComments/threadedComment19.xm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1.xml"/><Relationship Id="rId1" Type="http://schemas.openxmlformats.org/officeDocument/2006/relationships/printerSettings" Target="../printerSettings/printerSettings21.bin"/><Relationship Id="rId5" Type="http://schemas.microsoft.com/office/2017/10/relationships/threadedComment" Target="../threadedComments/threadedComment20.xml"/><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2.xml"/><Relationship Id="rId1" Type="http://schemas.openxmlformats.org/officeDocument/2006/relationships/printerSettings" Target="../printerSettings/printerSettings22.bin"/><Relationship Id="rId5" Type="http://schemas.microsoft.com/office/2017/10/relationships/threadedComment" Target="../threadedComments/threadedComment21.xml"/><Relationship Id="rId4" Type="http://schemas.openxmlformats.org/officeDocument/2006/relationships/comments" Target="../comments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16.xml"/><Relationship Id="rId1" Type="http://schemas.openxmlformats.org/officeDocument/2006/relationships/printerSettings" Target="../printerSettings/printerSettings26.bin"/><Relationship Id="rId5" Type="http://schemas.microsoft.com/office/2017/10/relationships/threadedComment" Target="../threadedComments/threadedComment22.xml"/><Relationship Id="rId4" Type="http://schemas.openxmlformats.org/officeDocument/2006/relationships/comments" Target="../comments2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8.xml"/><Relationship Id="rId1" Type="http://schemas.openxmlformats.org/officeDocument/2006/relationships/printerSettings" Target="../printerSettings/printerSettings28.bin"/><Relationship Id="rId5" Type="http://schemas.microsoft.com/office/2017/10/relationships/threadedComment" Target="../threadedComments/threadedComment23.xml"/><Relationship Id="rId4" Type="http://schemas.openxmlformats.org/officeDocument/2006/relationships/comments" Target="../comments2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0.xml"/><Relationship Id="rId1" Type="http://schemas.openxmlformats.org/officeDocument/2006/relationships/printerSettings" Target="../printerSettings/printerSettings30.bin"/><Relationship Id="rId5" Type="http://schemas.microsoft.com/office/2017/10/relationships/threadedComment" Target="../threadedComments/threadedComment24.xml"/><Relationship Id="rId4" Type="http://schemas.openxmlformats.org/officeDocument/2006/relationships/comments" Target="../comments24.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1.xml"/><Relationship Id="rId1" Type="http://schemas.openxmlformats.org/officeDocument/2006/relationships/printerSettings" Target="../printerSettings/printerSettings31.bin"/><Relationship Id="rId5" Type="http://schemas.microsoft.com/office/2017/10/relationships/threadedComment" Target="../threadedComments/threadedComment25.xml"/><Relationship Id="rId4" Type="http://schemas.openxmlformats.org/officeDocument/2006/relationships/comments" Target="../comments25.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2.bin"/><Relationship Id="rId4" Type="http://schemas.microsoft.com/office/2017/10/relationships/threadedComment" Target="../threadedComments/threadedComment26.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3.bin"/><Relationship Id="rId4" Type="http://schemas.microsoft.com/office/2017/10/relationships/threadedComment" Target="../threadedComments/threadedComment27.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4.bin"/><Relationship Id="rId4" Type="http://schemas.microsoft.com/office/2017/10/relationships/threadedComment" Target="../threadedComments/threadedComment2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5.bin"/><Relationship Id="rId4" Type="http://schemas.microsoft.com/office/2017/10/relationships/threadedComment" Target="../threadedComments/threadedComment2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6.bin"/><Relationship Id="rId4" Type="http://schemas.microsoft.com/office/2017/10/relationships/threadedComment" Target="../threadedComments/threadedComment30.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7.bin"/><Relationship Id="rId4" Type="http://schemas.microsoft.com/office/2017/10/relationships/threadedComment" Target="../threadedComments/threadedComment31.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8.bin"/><Relationship Id="rId4" Type="http://schemas.microsoft.com/office/2017/10/relationships/threadedComment" Target="../threadedComments/threadedComment32.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9.bin"/><Relationship Id="rId4" Type="http://schemas.microsoft.com/office/2017/10/relationships/threadedComment" Target="../threadedComments/threadedComment33.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22.xml"/><Relationship Id="rId1" Type="http://schemas.openxmlformats.org/officeDocument/2006/relationships/printerSettings" Target="../printerSettings/printerSettings40.bin"/><Relationship Id="rId5" Type="http://schemas.microsoft.com/office/2017/10/relationships/threadedComment" Target="../threadedComments/threadedComment34.xml"/><Relationship Id="rId4" Type="http://schemas.openxmlformats.org/officeDocument/2006/relationships/comments" Target="../comments34.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23.xml"/><Relationship Id="rId1" Type="http://schemas.openxmlformats.org/officeDocument/2006/relationships/printerSettings" Target="../printerSettings/printerSettings41.bin"/><Relationship Id="rId5" Type="http://schemas.microsoft.com/office/2017/10/relationships/threadedComment" Target="../threadedComments/threadedComment35.xml"/><Relationship Id="rId4" Type="http://schemas.openxmlformats.org/officeDocument/2006/relationships/comments" Target="../comments35.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24.xml"/><Relationship Id="rId1" Type="http://schemas.openxmlformats.org/officeDocument/2006/relationships/printerSettings" Target="../printerSettings/printerSettings42.bin"/><Relationship Id="rId5" Type="http://schemas.microsoft.com/office/2017/10/relationships/threadedComment" Target="../threadedComments/threadedComment36.xml"/><Relationship Id="rId4" Type="http://schemas.openxmlformats.org/officeDocument/2006/relationships/comments" Target="../comments36.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25.xml"/><Relationship Id="rId1" Type="http://schemas.openxmlformats.org/officeDocument/2006/relationships/printerSettings" Target="../printerSettings/printerSettings43.bin"/><Relationship Id="rId5" Type="http://schemas.microsoft.com/office/2017/10/relationships/threadedComment" Target="../threadedComments/threadedComment37.xml"/><Relationship Id="rId4" Type="http://schemas.openxmlformats.org/officeDocument/2006/relationships/comments" Target="../comments37.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26.xml"/><Relationship Id="rId1" Type="http://schemas.openxmlformats.org/officeDocument/2006/relationships/printerSettings" Target="../printerSettings/printerSettings44.bin"/><Relationship Id="rId5" Type="http://schemas.microsoft.com/office/2017/10/relationships/threadedComment" Target="../threadedComments/threadedComment38.xml"/><Relationship Id="rId4" Type="http://schemas.openxmlformats.org/officeDocument/2006/relationships/comments" Target="../comments38.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7.xml"/><Relationship Id="rId1" Type="http://schemas.openxmlformats.org/officeDocument/2006/relationships/printerSettings" Target="../printerSettings/printerSettings45.bin"/><Relationship Id="rId5" Type="http://schemas.microsoft.com/office/2017/10/relationships/threadedComment" Target="../threadedComments/threadedComment39.xml"/><Relationship Id="rId4" Type="http://schemas.openxmlformats.org/officeDocument/2006/relationships/comments" Target="../comments39.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8.xml"/><Relationship Id="rId1" Type="http://schemas.openxmlformats.org/officeDocument/2006/relationships/printerSettings" Target="../printerSettings/printerSettings47.bin"/><Relationship Id="rId5" Type="http://schemas.microsoft.com/office/2017/10/relationships/threadedComment" Target="../threadedComments/threadedComment40.xml"/><Relationship Id="rId4" Type="http://schemas.openxmlformats.org/officeDocument/2006/relationships/comments" Target="../comments40.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9.xml"/><Relationship Id="rId1" Type="http://schemas.openxmlformats.org/officeDocument/2006/relationships/printerSettings" Target="../printerSettings/printerSettings48.bin"/><Relationship Id="rId5" Type="http://schemas.microsoft.com/office/2017/10/relationships/threadedComment" Target="../threadedComments/threadedComment41.xml"/><Relationship Id="rId4" Type="http://schemas.openxmlformats.org/officeDocument/2006/relationships/comments" Target="../comments41.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30.xml"/><Relationship Id="rId1" Type="http://schemas.openxmlformats.org/officeDocument/2006/relationships/printerSettings" Target="../printerSettings/printerSettings49.bin"/><Relationship Id="rId5" Type="http://schemas.microsoft.com/office/2017/10/relationships/threadedComment" Target="../threadedComments/threadedComment42.xml"/><Relationship Id="rId4" Type="http://schemas.openxmlformats.org/officeDocument/2006/relationships/comments" Target="../comments42.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50.bin"/><Relationship Id="rId4" Type="http://schemas.microsoft.com/office/2017/10/relationships/threadedComment" Target="../threadedComments/threadedComment43.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51.bin"/><Relationship Id="rId4" Type="http://schemas.microsoft.com/office/2017/10/relationships/threadedComment" Target="../threadedComments/threadedComment44.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52.bin"/><Relationship Id="rId4" Type="http://schemas.microsoft.com/office/2017/10/relationships/threadedComment" Target="../threadedComments/threadedComment45.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53.bin"/><Relationship Id="rId4" Type="http://schemas.microsoft.com/office/2017/10/relationships/threadedComment" Target="../threadedComments/threadedComment46.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4.bin"/><Relationship Id="rId4" Type="http://schemas.microsoft.com/office/2017/10/relationships/threadedComment" Target="../threadedComments/threadedComment47.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5.bin"/><Relationship Id="rId4" Type="http://schemas.microsoft.com/office/2017/10/relationships/threadedComment" Target="../threadedComments/threadedComment48.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6.bin"/><Relationship Id="rId4" Type="http://schemas.microsoft.com/office/2017/10/relationships/threadedComment" Target="../threadedComments/threadedComment49.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7.bin"/><Relationship Id="rId4" Type="http://schemas.microsoft.com/office/2017/10/relationships/threadedComment" Target="../threadedComments/threadedComment50.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8.bin"/><Relationship Id="rId4" Type="http://schemas.microsoft.com/office/2017/10/relationships/threadedComment" Target="../threadedComments/threadedComment51.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62.bin"/><Relationship Id="rId4" Type="http://schemas.microsoft.com/office/2017/10/relationships/threadedComment" Target="../threadedComments/threadedComment52.xml"/></Relationships>
</file>

<file path=xl/worksheets/_rels/sheet64.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63.bin"/><Relationship Id="rId4" Type="http://schemas.microsoft.com/office/2017/10/relationships/threadedComment" Target="../threadedComments/threadedComment5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67.bin"/><Relationship Id="rId4" Type="http://schemas.microsoft.com/office/2017/10/relationships/threadedComment" Target="../threadedComments/threadedComment54.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68.bin"/><Relationship Id="rId4" Type="http://schemas.microsoft.com/office/2017/10/relationships/threadedComment" Target="../threadedComments/threadedComment55.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69.bin"/><Relationship Id="rId4" Type="http://schemas.microsoft.com/office/2017/10/relationships/threadedComment" Target="../threadedComments/threadedComment56.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70.bin"/><Relationship Id="rId4" Type="http://schemas.microsoft.com/office/2017/10/relationships/threadedComment" Target="../threadedComments/threadedComment57.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71.bin"/><Relationship Id="rId4" Type="http://schemas.microsoft.com/office/2017/10/relationships/threadedComment" Target="../threadedComments/threadedComment58.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2.bin"/><Relationship Id="rId4" Type="http://schemas.microsoft.com/office/2017/10/relationships/threadedComment" Target="../threadedComments/threadedComment59.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3.bin"/><Relationship Id="rId4" Type="http://schemas.microsoft.com/office/2017/10/relationships/threadedComment" Target="../threadedComments/threadedComment60.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74.bin"/><Relationship Id="rId4" Type="http://schemas.microsoft.com/office/2017/10/relationships/threadedComment" Target="../threadedComments/threadedComment61.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75.bin"/><Relationship Id="rId4" Type="http://schemas.microsoft.com/office/2017/10/relationships/threadedComment" Target="../threadedComments/threadedComment62.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76.bin"/><Relationship Id="rId4" Type="http://schemas.microsoft.com/office/2017/10/relationships/threadedComment" Target="../threadedComments/threadedComment63.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77.bin"/><Relationship Id="rId4" Type="http://schemas.microsoft.com/office/2017/10/relationships/threadedComment" Target="../threadedComments/threadedComment64.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35.xml"/><Relationship Id="rId1" Type="http://schemas.openxmlformats.org/officeDocument/2006/relationships/printerSettings" Target="../printerSettings/printerSettings82.bin"/><Relationship Id="rId5" Type="http://schemas.microsoft.com/office/2017/10/relationships/threadedComment" Target="../threadedComments/threadedComment65.xml"/><Relationship Id="rId4" Type="http://schemas.openxmlformats.org/officeDocument/2006/relationships/comments" Target="../comments65.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36.xml"/><Relationship Id="rId1" Type="http://schemas.openxmlformats.org/officeDocument/2006/relationships/printerSettings" Target="../printerSettings/printerSettings83.bin"/><Relationship Id="rId5" Type="http://schemas.microsoft.com/office/2017/10/relationships/threadedComment" Target="../threadedComments/threadedComment66.xml"/><Relationship Id="rId4" Type="http://schemas.openxmlformats.org/officeDocument/2006/relationships/comments" Target="../comments66.xml"/></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37.xml"/><Relationship Id="rId1" Type="http://schemas.openxmlformats.org/officeDocument/2006/relationships/printerSettings" Target="../printerSettings/printerSettings84.bin"/><Relationship Id="rId5" Type="http://schemas.microsoft.com/office/2017/10/relationships/threadedComment" Target="../threadedComments/threadedComment67.xml"/><Relationship Id="rId4" Type="http://schemas.openxmlformats.org/officeDocument/2006/relationships/comments" Target="../comments67.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38.xml"/><Relationship Id="rId1" Type="http://schemas.openxmlformats.org/officeDocument/2006/relationships/printerSettings" Target="../printerSettings/printerSettings85.bin"/><Relationship Id="rId4" Type="http://schemas.openxmlformats.org/officeDocument/2006/relationships/comments" Target="../comments68.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39.xml"/><Relationship Id="rId1" Type="http://schemas.openxmlformats.org/officeDocument/2006/relationships/printerSettings" Target="../printerSettings/printerSettings86.bin"/><Relationship Id="rId5" Type="http://schemas.microsoft.com/office/2017/10/relationships/threadedComment" Target="../threadedComments/threadedComment68.xml"/><Relationship Id="rId4" Type="http://schemas.openxmlformats.org/officeDocument/2006/relationships/comments" Target="../comments69.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87.bin"/><Relationship Id="rId4" Type="http://schemas.microsoft.com/office/2017/10/relationships/threadedComment" Target="../threadedComments/threadedComment69.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40.xml"/><Relationship Id="rId1" Type="http://schemas.openxmlformats.org/officeDocument/2006/relationships/printerSettings" Target="../printerSettings/printerSettings88.bin"/><Relationship Id="rId5" Type="http://schemas.microsoft.com/office/2017/10/relationships/threadedComment" Target="../threadedComments/threadedComment70.xml"/><Relationship Id="rId4" Type="http://schemas.openxmlformats.org/officeDocument/2006/relationships/comments" Target="../comments71.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89.bin"/><Relationship Id="rId4" Type="http://schemas.microsoft.com/office/2017/10/relationships/threadedComment" Target="../threadedComments/threadedComment71.xml"/></Relationships>
</file>

<file path=xl/worksheets/_rels/sheet91.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90.bin"/><Relationship Id="rId4" Type="http://schemas.microsoft.com/office/2017/10/relationships/threadedComment" Target="../threadedComments/threadedComment72.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91.bin"/><Relationship Id="rId4" Type="http://schemas.microsoft.com/office/2017/10/relationships/threadedComment" Target="../threadedComments/threadedComment73.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92.bin"/><Relationship Id="rId4" Type="http://schemas.microsoft.com/office/2017/10/relationships/threadedComment" Target="../threadedComments/threadedComment74.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93.bin"/><Relationship Id="rId4" Type="http://schemas.microsoft.com/office/2017/10/relationships/threadedComment" Target="../threadedComments/threadedComment75.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94.bin"/><Relationship Id="rId4" Type="http://schemas.microsoft.com/office/2017/10/relationships/threadedComment" Target="../threadedComments/threadedComment76.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95.bin"/><Relationship Id="rId4" Type="http://schemas.microsoft.com/office/2017/10/relationships/threadedComment" Target="../threadedComments/threadedComment77.xml"/></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9.vml"/><Relationship Id="rId2" Type="http://schemas.openxmlformats.org/officeDocument/2006/relationships/drawing" Target="../drawings/drawing41.xml"/><Relationship Id="rId1" Type="http://schemas.openxmlformats.org/officeDocument/2006/relationships/printerSettings" Target="../printerSettings/printerSettings96.bin"/><Relationship Id="rId5" Type="http://schemas.microsoft.com/office/2017/10/relationships/threadedComment" Target="../threadedComments/threadedComment78.xml"/><Relationship Id="rId4" Type="http://schemas.openxmlformats.org/officeDocument/2006/relationships/comments" Target="../comments79.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97.bin"/><Relationship Id="rId4" Type="http://schemas.microsoft.com/office/2017/10/relationships/threadedComment" Target="../threadedComments/threadedComment79.xml"/></Relationships>
</file>

<file path=xl/worksheets/_rels/sheet99.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98.bin"/><Relationship Id="rId4" Type="http://schemas.microsoft.com/office/2017/10/relationships/threadedComment" Target="../threadedComments/threadedComment80.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99.bin"/><Relationship Id="rId4" Type="http://schemas.microsoft.com/office/2017/10/relationships/threadedComment" Target="../threadedComments/threadedComment81.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100.bin"/><Relationship Id="rId4" Type="http://schemas.microsoft.com/office/2017/10/relationships/threadedComment" Target="../threadedComments/threadedComment82.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101.bin"/><Relationship Id="rId4" Type="http://schemas.microsoft.com/office/2017/10/relationships/threadedComment" Target="../threadedComments/threadedComment83.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102.bin"/><Relationship Id="rId4" Type="http://schemas.microsoft.com/office/2017/10/relationships/threadedComment" Target="../threadedComments/threadedComment84.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103.bin"/><Relationship Id="rId4" Type="http://schemas.microsoft.com/office/2017/10/relationships/threadedComment" Target="../threadedComments/threadedComment85.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104.bin"/><Relationship Id="rId4" Type="http://schemas.microsoft.com/office/2017/10/relationships/threadedComment" Target="../threadedComments/threadedComment8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7B931-08E7-4F30-9AE7-42BE377F1284}">
  <sheetPr codeName="Sheet2">
    <tabColor indexed="27"/>
  </sheetPr>
  <dimension ref="A1:AQ169"/>
  <sheetViews>
    <sheetView zoomScale="85" zoomScaleNormal="85" workbookViewId="0">
      <selection activeCell="C118" sqref="C118"/>
    </sheetView>
  </sheetViews>
  <sheetFormatPr defaultColWidth="8.85546875" defaultRowHeight="15"/>
  <cols>
    <col min="1" max="1" width="3.5703125" style="1" customWidth="1"/>
    <col min="2" max="2" width="33" style="1" bestFit="1" customWidth="1"/>
    <col min="3" max="3" width="44.85546875" style="1" customWidth="1"/>
    <col min="4" max="4" width="21.140625" style="1" customWidth="1"/>
    <col min="5" max="6" width="18.140625" style="1" customWidth="1"/>
    <col min="7" max="7" width="19.85546875" style="1" customWidth="1"/>
    <col min="8" max="8" width="16.42578125" style="1" customWidth="1"/>
    <col min="9" max="9" width="45.1406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Electric Stove Coil Upgrade</v>
      </c>
      <c r="C7" s="98" t="s">
        <v>2423</v>
      </c>
      <c r="D7" s="97" t="s">
        <v>212</v>
      </c>
      <c r="E7" s="97">
        <v>12</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204</v>
      </c>
      <c r="F11" s="99" t="s">
        <v>2002</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Electric Stove Coil Upgrade_Res, E - Appl [Elec Dry, SF] (RET)</v>
      </c>
      <c r="J11" s="83" t="str">
        <f t="shared" ref="J11:J20" si="3">IF(B11="","",CONCATENATE($C$7,IF(C11="","",CONCATENATE(" with ",C11," Secondary Fuel"))))</f>
        <v>Electric Stove Coil Upgrade</v>
      </c>
      <c r="K11" s="83"/>
      <c r="M11" s="94" t="s">
        <v>123</v>
      </c>
      <c r="N11" s="93" t="s">
        <v>212</v>
      </c>
      <c r="O11" s="93" t="s">
        <v>211</v>
      </c>
    </row>
    <row r="12" spans="1:17">
      <c r="A12" s="1">
        <v>2</v>
      </c>
      <c r="B12" s="97"/>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Electric Stove Coil Upgrade_Res, E - Appl [Elec Dry, SF]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Electric Stove Coil Upgrade_Res, E - Appl [Elec Dry, SF]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87" si="7">A33+1</f>
        <v>2</v>
      </c>
      <c r="B34" s="83" t="s">
        <v>128</v>
      </c>
      <c r="C34" s="83" t="str">
        <f t="shared" ref="C34:L34" si="8">IF(VLOOKUP(C$31,$A$11:$K$20,10,FALSE)="","",VLOOKUP(C$31,$A$11:$K$20,10,FALSE))</f>
        <v>Electric Stove Coil Upgrade</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2003</v>
      </c>
      <c r="D35" s="82"/>
      <c r="E35" s="82"/>
      <c r="F35" s="82"/>
      <c r="G35" s="82"/>
      <c r="H35" s="82"/>
      <c r="I35" s="82"/>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Electric Stove Coil Upgrade</v>
      </c>
      <c r="D36" s="65"/>
      <c r="E36" s="65"/>
      <c r="F36" s="65"/>
      <c r="G36" s="65"/>
      <c r="H36" s="65"/>
      <c r="I36" s="65" t="str">
        <f>I34</f>
        <v/>
      </c>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c r="E37" s="83"/>
      <c r="F37" s="83"/>
      <c r="G37" s="83"/>
      <c r="H37" s="83"/>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c r="D38" s="82"/>
      <c r="E38" s="82"/>
      <c r="F38" s="82"/>
      <c r="G38" s="82"/>
      <c r="H38" s="82"/>
      <c r="I38" s="82"/>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c r="F44" s="82"/>
      <c r="G44" s="82"/>
      <c r="H44" s="82"/>
      <c r="I44" s="82"/>
      <c r="J44" s="82"/>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Electric Stove Coil Upgrade_Res, E - Appl [Elec Dry, SF] (RET)</v>
      </c>
      <c r="D49" s="65"/>
      <c r="E49" s="65" t="str">
        <f>E33</f>
        <v/>
      </c>
      <c r="F49" s="65" t="str">
        <f>E33</f>
        <v/>
      </c>
      <c r="G49" s="65"/>
      <c r="H49" s="65" t="str">
        <f>H33</f>
        <v/>
      </c>
      <c r="I49" s="65" t="str">
        <f>H33</f>
        <v/>
      </c>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Electric Stove Coil Upgrade</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c r="D56" s="82"/>
      <c r="E56" s="82"/>
      <c r="F56" s="82"/>
      <c r="G56" s="82"/>
      <c r="H56" s="82"/>
      <c r="I56" s="82"/>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82"/>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82"/>
      <c r="D60" s="82"/>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81"/>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81"/>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79"/>
      <c r="D63" s="80"/>
      <c r="E63" s="79"/>
      <c r="F63" s="79"/>
      <c r="G63" s="79"/>
      <c r="H63" s="79"/>
      <c r="I63" s="79"/>
      <c r="J63" s="79"/>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76">
        <f>(G159+G169)/2</f>
        <v>0</v>
      </c>
      <c r="D64" s="78"/>
      <c r="E64" s="76"/>
      <c r="F64" s="77"/>
      <c r="G64" s="76"/>
      <c r="H64" s="67"/>
      <c r="I64" s="67"/>
      <c r="J64" s="67"/>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(I159+I169)/2</f>
        <v>0</v>
      </c>
      <c r="D65" s="75"/>
      <c r="E65" s="74"/>
      <c r="F65" s="74"/>
      <c r="G65" s="74"/>
      <c r="H65" s="74"/>
      <c r="I65" s="74"/>
      <c r="J65" s="73"/>
      <c r="K65" s="65"/>
      <c r="L65" s="65"/>
      <c r="M65" s="69" t="s">
        <v>84</v>
      </c>
      <c r="N65" s="69" t="s">
        <v>84</v>
      </c>
      <c r="O65" s="69" t="s">
        <v>84</v>
      </c>
      <c r="P65" s="69" t="s">
        <v>84</v>
      </c>
      <c r="Q65" s="69" t="s">
        <v>84</v>
      </c>
      <c r="R65" s="69" t="s">
        <v>84</v>
      </c>
      <c r="S65" s="69" t="s">
        <v>84</v>
      </c>
      <c r="T65" s="69" t="str">
        <f t="shared" si="15"/>
        <v/>
      </c>
      <c r="U65" s="69" t="str">
        <f t="shared" si="15"/>
        <v/>
      </c>
      <c r="V65" s="69" t="str">
        <f t="shared" si="15"/>
        <v/>
      </c>
    </row>
    <row r="66" spans="1:22">
      <c r="A66" s="1">
        <f t="shared" si="7"/>
        <v>34</v>
      </c>
      <c r="B66" s="65" t="s">
        <v>83</v>
      </c>
      <c r="C66" s="65"/>
      <c r="D66" s="72"/>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72"/>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(J159+J169)/2</f>
        <v>0</v>
      </c>
      <c r="D68" s="71"/>
      <c r="E68" s="71"/>
      <c r="F68" s="71"/>
      <c r="G68" s="71"/>
      <c r="H68" s="71"/>
      <c r="I68" s="71"/>
      <c r="J68" s="70"/>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(K159+K169)/2</f>
        <v>0</v>
      </c>
      <c r="D69" s="70"/>
      <c r="E69" s="70"/>
      <c r="F69" s="70"/>
      <c r="G69" s="70"/>
      <c r="H69" s="70"/>
      <c r="I69" s="70"/>
      <c r="J69" s="70"/>
      <c r="K69" s="70"/>
      <c r="L69" s="70"/>
      <c r="M69" s="69">
        <v>4</v>
      </c>
      <c r="N69" s="69">
        <v>4</v>
      </c>
      <c r="O69" s="69">
        <v>4</v>
      </c>
      <c r="P69" s="69">
        <v>4</v>
      </c>
      <c r="Q69" s="69">
        <v>4</v>
      </c>
      <c r="R69" s="69">
        <v>4</v>
      </c>
      <c r="S69" s="69">
        <v>4</v>
      </c>
      <c r="T69" s="69" t="str">
        <f t="shared" ref="T69:V81" si="19">IF(T$33="","","-")</f>
        <v/>
      </c>
      <c r="U69" s="69" t="str">
        <f t="shared" si="19"/>
        <v/>
      </c>
      <c r="V69" s="69" t="str">
        <f t="shared" si="19"/>
        <v/>
      </c>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19"/>
        <v/>
      </c>
      <c r="U70" s="64" t="str">
        <f t="shared" si="19"/>
        <v/>
      </c>
      <c r="V70" s="64" t="str">
        <f t="shared" si="19"/>
        <v/>
      </c>
    </row>
    <row r="71" spans="1:22">
      <c r="A71" s="1">
        <f t="shared" si="7"/>
        <v>39</v>
      </c>
      <c r="B71" s="1" t="s">
        <v>80</v>
      </c>
      <c r="C71" s="66" t="str">
        <f t="shared" ref="C71:L71" si="21">C52</f>
        <v>Electric Stove Coil Upgrade</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19"/>
        <v/>
      </c>
      <c r="U71" s="64" t="str">
        <f t="shared" si="19"/>
        <v/>
      </c>
      <c r="V71" s="64" t="str">
        <f t="shared" si="19"/>
        <v/>
      </c>
    </row>
    <row r="72" spans="1:22">
      <c r="A72" s="1">
        <f t="shared" si="7"/>
        <v>40</v>
      </c>
      <c r="B72" s="604" t="s">
        <v>79</v>
      </c>
      <c r="C72" s="67"/>
      <c r="D72" s="65"/>
      <c r="E72" s="68"/>
      <c r="F72" s="65"/>
      <c r="G72" s="67"/>
      <c r="H72" s="67"/>
      <c r="I72" s="67"/>
      <c r="J72" s="67"/>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19"/>
        <v/>
      </c>
      <c r="U72" s="64" t="str">
        <f t="shared" si="19"/>
        <v/>
      </c>
      <c r="V72" s="64" t="str">
        <f t="shared" si="19"/>
        <v/>
      </c>
    </row>
    <row r="73" spans="1:22">
      <c r="A73" s="1">
        <f t="shared" si="7"/>
        <v>41</v>
      </c>
      <c r="B73" s="604" t="s">
        <v>78</v>
      </c>
      <c r="C73" s="67"/>
      <c r="D73" s="65"/>
      <c r="E73" s="68"/>
      <c r="F73" s="65"/>
      <c r="G73" s="68"/>
      <c r="H73" s="67"/>
      <c r="I73" s="67"/>
      <c r="J73" s="67"/>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19"/>
        <v/>
      </c>
      <c r="U73" s="64" t="str">
        <f t="shared" si="19"/>
        <v/>
      </c>
      <c r="V73" s="64" t="str">
        <f t="shared" si="19"/>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19"/>
        <v/>
      </c>
      <c r="U74" s="64" t="str">
        <f t="shared" si="19"/>
        <v/>
      </c>
      <c r="V74" s="64" t="str">
        <f t="shared" si="19"/>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19"/>
        <v/>
      </c>
      <c r="U75" s="64" t="str">
        <f t="shared" si="19"/>
        <v/>
      </c>
      <c r="V75" s="64" t="str">
        <f t="shared" si="19"/>
        <v/>
      </c>
    </row>
    <row r="76" spans="1:22">
      <c r="A76" s="1">
        <f t="shared" si="7"/>
        <v>44</v>
      </c>
      <c r="B76" s="604"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19"/>
        <v/>
      </c>
      <c r="U76" s="64" t="str">
        <f t="shared" si="19"/>
        <v/>
      </c>
      <c r="V76" s="64" t="str">
        <f t="shared" si="19"/>
        <v/>
      </c>
    </row>
    <row r="77" spans="1:22">
      <c r="A77" s="1">
        <f t="shared" si="7"/>
        <v>45</v>
      </c>
      <c r="B77" s="604"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19"/>
        <v/>
      </c>
      <c r="U77" s="64" t="str">
        <f t="shared" si="19"/>
        <v/>
      </c>
      <c r="V77" s="64" t="str">
        <f t="shared" si="19"/>
        <v/>
      </c>
    </row>
    <row r="78" spans="1:22">
      <c r="A78" s="1">
        <f t="shared" si="7"/>
        <v>46</v>
      </c>
      <c r="B78" s="604"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19"/>
        <v/>
      </c>
      <c r="U78" s="64" t="str">
        <f t="shared" si="19"/>
        <v/>
      </c>
      <c r="V78" s="64" t="str">
        <f t="shared" si="19"/>
        <v/>
      </c>
    </row>
    <row r="79" spans="1:22">
      <c r="A79" s="1">
        <f t="shared" si="7"/>
        <v>47</v>
      </c>
      <c r="B79" s="604"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19"/>
        <v/>
      </c>
      <c r="U79" s="64" t="str">
        <f t="shared" si="19"/>
        <v/>
      </c>
      <c r="V79" s="64" t="str">
        <f t="shared" si="19"/>
        <v/>
      </c>
    </row>
    <row r="80" spans="1:22">
      <c r="A80" s="1">
        <f t="shared" si="7"/>
        <v>48</v>
      </c>
      <c r="B80" s="604"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19"/>
        <v/>
      </c>
      <c r="U80" s="64" t="str">
        <f t="shared" si="19"/>
        <v/>
      </c>
      <c r="V80" s="64" t="str">
        <f t="shared" si="19"/>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19"/>
        <v/>
      </c>
      <c r="U81" s="64" t="str">
        <f t="shared" si="19"/>
        <v/>
      </c>
      <c r="V81" s="64" t="str">
        <f t="shared" si="19"/>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s="26" customFormat="1">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s="26" customFormat="1">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A87+1</f>
        <v>56</v>
      </c>
      <c r="B90" s="65" t="s">
        <v>65</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ref="A91:A105" si="24">A90+1</f>
        <v>57</v>
      </c>
      <c r="B91" s="65" t="s">
        <v>64</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24"/>
        <v>58</v>
      </c>
      <c r="B92" s="65" t="s">
        <v>63</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24"/>
        <v>59</v>
      </c>
      <c r="B93" s="65" t="s">
        <v>62</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24"/>
        <v>60</v>
      </c>
      <c r="B94" s="65" t="s">
        <v>61</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24"/>
        <v>61</v>
      </c>
      <c r="B95" s="65" t="s">
        <v>60</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24"/>
        <v>62</v>
      </c>
      <c r="B96" s="65" t="s">
        <v>59</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24"/>
        <v>63</v>
      </c>
      <c r="B97" s="65" t="s">
        <v>58</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si="24"/>
        <v>64</v>
      </c>
      <c r="B98" s="65" t="s">
        <v>57</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65</v>
      </c>
      <c r="B99" s="65" t="s">
        <v>56</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66</v>
      </c>
      <c r="B100" s="65" t="s">
        <v>55</v>
      </c>
      <c r="C100" s="65"/>
      <c r="D100" s="65"/>
      <c r="E100" s="65"/>
      <c r="F100" s="65"/>
      <c r="G100" s="65"/>
      <c r="H100" s="65"/>
      <c r="I100" s="65"/>
      <c r="J100" s="65"/>
      <c r="K100" s="65"/>
      <c r="L100" s="65"/>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67</v>
      </c>
      <c r="B101" s="65" t="s">
        <v>54</v>
      </c>
      <c r="C101" s="65"/>
      <c r="D101" s="65"/>
      <c r="E101" s="65"/>
      <c r="F101" s="65"/>
      <c r="G101" s="65"/>
      <c r="H101" s="65"/>
      <c r="I101" s="65"/>
      <c r="J101" s="65"/>
      <c r="K101" s="65"/>
      <c r="L101" s="65"/>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68</v>
      </c>
      <c r="M102" s="64" t="str">
        <f t="shared" ref="M102:V105"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69</v>
      </c>
      <c r="B103" s="1" t="s">
        <v>53</v>
      </c>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4" spans="1:22">
      <c r="A104" s="1">
        <f t="shared" si="24"/>
        <v>70</v>
      </c>
      <c r="B104" s="65" t="s">
        <v>52</v>
      </c>
      <c r="C104" s="65"/>
      <c r="D104" s="65"/>
      <c r="E104" s="65"/>
      <c r="F104" s="65"/>
      <c r="G104" s="65"/>
      <c r="H104" s="65"/>
      <c r="I104" s="65"/>
      <c r="J104" s="65"/>
      <c r="K104" s="65"/>
      <c r="L104" s="65"/>
      <c r="M104" s="64" t="str">
        <f t="shared" ca="1" si="25"/>
        <v>-</v>
      </c>
      <c r="N104" s="64" t="str">
        <f t="shared" si="25"/>
        <v/>
      </c>
      <c r="O104" s="64" t="str">
        <f t="shared" si="25"/>
        <v/>
      </c>
      <c r="P104" s="64" t="str">
        <f t="shared" si="25"/>
        <v/>
      </c>
      <c r="Q104" s="64" t="str">
        <f t="shared" si="25"/>
        <v/>
      </c>
      <c r="R104" s="64" t="str">
        <f t="shared" si="25"/>
        <v/>
      </c>
      <c r="S104" s="64" t="str">
        <f t="shared" si="25"/>
        <v/>
      </c>
      <c r="T104" s="64" t="str">
        <f t="shared" si="25"/>
        <v/>
      </c>
      <c r="U104" s="64" t="str">
        <f t="shared" si="25"/>
        <v/>
      </c>
      <c r="V104" s="64" t="str">
        <f t="shared" si="25"/>
        <v/>
      </c>
    </row>
    <row r="105" spans="1:22">
      <c r="A105" s="1">
        <f t="shared" si="24"/>
        <v>71</v>
      </c>
      <c r="B105" s="65" t="s">
        <v>51</v>
      </c>
      <c r="C105" s="65"/>
      <c r="D105" s="65"/>
      <c r="E105" s="65"/>
      <c r="F105" s="65"/>
      <c r="G105" s="65"/>
      <c r="H105" s="65"/>
      <c r="I105" s="65"/>
      <c r="J105" s="65"/>
      <c r="K105" s="65"/>
      <c r="L105" s="65"/>
      <c r="M105" s="64" t="str">
        <f t="shared" ca="1" si="25"/>
        <v>-</v>
      </c>
      <c r="N105" s="64" t="str">
        <f t="shared" si="25"/>
        <v/>
      </c>
      <c r="O105" s="64" t="str">
        <f t="shared" si="25"/>
        <v/>
      </c>
      <c r="P105" s="64" t="str">
        <f t="shared" si="25"/>
        <v/>
      </c>
      <c r="Q105" s="64" t="str">
        <f t="shared" si="25"/>
        <v/>
      </c>
      <c r="R105" s="64" t="str">
        <f t="shared" si="25"/>
        <v/>
      </c>
      <c r="S105" s="64" t="str">
        <f t="shared" si="25"/>
        <v/>
      </c>
      <c r="T105" s="64" t="str">
        <f t="shared" si="25"/>
        <v/>
      </c>
      <c r="U105" s="64" t="str">
        <f t="shared" si="25"/>
        <v/>
      </c>
      <c r="V105" s="64" t="str">
        <f t="shared" si="25"/>
        <v/>
      </c>
    </row>
    <row r="108" spans="1:22" s="63" customFormat="1" ht="15.75" thickBot="1">
      <c r="B108" s="63" t="s">
        <v>50</v>
      </c>
    </row>
    <row r="109" spans="1:22">
      <c r="B109" s="62"/>
      <c r="D109" s="62"/>
    </row>
    <row r="110" spans="1:22">
      <c r="B110" t="s">
        <v>49</v>
      </c>
      <c r="D110" s="62"/>
    </row>
    <row r="111" spans="1:22">
      <c r="B111" s="1" t="s">
        <v>48</v>
      </c>
      <c r="D111" s="62"/>
    </row>
    <row r="112" spans="1:22">
      <c r="A112" s="26"/>
      <c r="B112" s="26"/>
      <c r="C112" s="26"/>
      <c r="D112" s="26"/>
      <c r="E112" s="26"/>
      <c r="F112" s="61"/>
      <c r="G112" s="26"/>
      <c r="H112" s="26"/>
      <c r="I112" s="26"/>
      <c r="J112" s="26"/>
      <c r="K112" s="26"/>
    </row>
    <row r="113" spans="1:16" ht="18.75">
      <c r="A113" s="26"/>
      <c r="B113" s="60" t="s">
        <v>47</v>
      </c>
      <c r="C113" s="59"/>
      <c r="D113" s="59"/>
      <c r="E113" s="59"/>
      <c r="F113" s="59"/>
      <c r="G113" s="59"/>
      <c r="H113" s="59"/>
      <c r="I113" s="59"/>
      <c r="J113" s="59"/>
      <c r="K113" s="59"/>
      <c r="L113" s="59"/>
      <c r="M113" s="59"/>
      <c r="N113" s="59"/>
      <c r="O113"/>
      <c r="P113"/>
    </row>
    <row r="114" spans="1:16">
      <c r="A114" s="26"/>
      <c r="B114"/>
      <c r="C114"/>
      <c r="D114"/>
      <c r="E114"/>
      <c r="F114"/>
      <c r="G114"/>
      <c r="H114"/>
      <c r="I114"/>
      <c r="J114"/>
      <c r="K114"/>
      <c r="L114"/>
      <c r="M114"/>
      <c r="N114"/>
      <c r="O114"/>
      <c r="P114"/>
    </row>
    <row r="115" spans="1:16">
      <c r="A115" s="26"/>
      <c r="B115" s="58" t="s">
        <v>46</v>
      </c>
      <c r="C115" s="58" t="s">
        <v>45</v>
      </c>
      <c r="D115" s="58" t="s">
        <v>44</v>
      </c>
      <c r="E115" s="58" t="s">
        <v>43</v>
      </c>
      <c r="F115" s="26"/>
      <c r="G115" s="26"/>
      <c r="H115" s="26"/>
      <c r="I115" s="26"/>
      <c r="J115" s="26"/>
      <c r="K115" s="26"/>
      <c r="L115" s="26"/>
      <c r="M115" s="26"/>
      <c r="N115" s="27"/>
      <c r="O115" s="27"/>
      <c r="P115" s="27"/>
    </row>
    <row r="116" spans="1:16">
      <c r="B116" s="28"/>
      <c r="C116" s="28"/>
      <c r="D116" s="57"/>
      <c r="E116" s="28"/>
      <c r="F116" s="26"/>
      <c r="G116" s="26"/>
      <c r="H116" s="26"/>
      <c r="I116" s="26"/>
      <c r="J116" s="26"/>
      <c r="K116" s="26"/>
      <c r="L116" s="26"/>
      <c r="M116" s="26"/>
      <c r="N116" s="27"/>
      <c r="O116" s="27"/>
      <c r="P116" s="27"/>
    </row>
    <row r="117" spans="1:16">
      <c r="B117" s="28"/>
      <c r="C117" s="28"/>
      <c r="D117" s="57"/>
      <c r="E117" s="28"/>
      <c r="F117" s="26"/>
      <c r="G117" s="26"/>
      <c r="H117" s="26"/>
      <c r="I117" s="26"/>
      <c r="J117" s="26"/>
      <c r="K117" s="26"/>
      <c r="L117" s="26"/>
      <c r="M117" s="26"/>
      <c r="N117" s="27"/>
      <c r="O117" s="27"/>
      <c r="P117" s="27"/>
    </row>
    <row r="118" spans="1:16">
      <c r="B118" s="28"/>
      <c r="C118" s="28"/>
      <c r="D118" s="57"/>
      <c r="E118" s="28"/>
      <c r="F118" s="26"/>
      <c r="G118" s="26"/>
      <c r="H118" s="26"/>
      <c r="I118" s="26"/>
      <c r="J118" s="26"/>
      <c r="K118" s="26"/>
      <c r="L118" s="26"/>
      <c r="M118" s="26"/>
      <c r="N118" s="27"/>
      <c r="O118" s="27"/>
      <c r="P118" s="27"/>
    </row>
    <row r="119" spans="1:16">
      <c r="B119" s="28"/>
      <c r="C119" s="28"/>
      <c r="D119" s="57"/>
      <c r="E119" s="28"/>
      <c r="F119" s="26"/>
      <c r="G119" s="26"/>
      <c r="H119" s="26"/>
      <c r="I119" s="26"/>
      <c r="J119" s="26"/>
      <c r="K119" s="26"/>
      <c r="L119" s="26"/>
      <c r="M119" s="26"/>
      <c r="N119" s="27"/>
      <c r="O119" s="27"/>
      <c r="P119" s="27"/>
    </row>
    <row r="120" spans="1:16">
      <c r="B120" s="53"/>
      <c r="C120" s="661"/>
      <c r="D120" s="57"/>
      <c r="E120" s="53"/>
      <c r="F120" s="26"/>
      <c r="K120" s="26"/>
      <c r="L120" s="26"/>
      <c r="M120" s="26"/>
      <c r="N120" s="27"/>
      <c r="O120" s="27"/>
      <c r="P120" s="27"/>
    </row>
    <row r="121" spans="1:16">
      <c r="B121" s="28"/>
      <c r="C121" s="55"/>
      <c r="D121" s="57"/>
      <c r="E121" s="53"/>
      <c r="F121"/>
      <c r="G121"/>
      <c r="H121"/>
      <c r="I121"/>
      <c r="J121"/>
      <c r="K121"/>
      <c r="L121"/>
      <c r="M121"/>
      <c r="N121"/>
      <c r="O121"/>
      <c r="P121"/>
    </row>
    <row r="122" spans="1:16">
      <c r="B122" s="53"/>
      <c r="C122" s="53"/>
      <c r="D122" s="57"/>
      <c r="E122" s="53"/>
      <c r="F122"/>
      <c r="G122"/>
      <c r="H122"/>
      <c r="I122"/>
      <c r="J122"/>
      <c r="K122"/>
      <c r="L122"/>
      <c r="M122"/>
      <c r="N122"/>
      <c r="O122"/>
      <c r="P122"/>
    </row>
    <row r="123" spans="1:16" ht="13.9" customHeight="1">
      <c r="B123" s="28"/>
      <c r="C123" s="28"/>
      <c r="D123" s="57"/>
      <c r="E123" s="53"/>
      <c r="F123"/>
      <c r="G123"/>
      <c r="H123"/>
      <c r="I123"/>
      <c r="J123"/>
      <c r="K123"/>
      <c r="L123"/>
      <c r="M123"/>
      <c r="N123"/>
      <c r="O123"/>
      <c r="P123"/>
    </row>
    <row r="124" spans="1:16">
      <c r="D124" s="28"/>
      <c r="E124"/>
      <c r="F124"/>
      <c r="G124"/>
      <c r="H124"/>
      <c r="I124"/>
      <c r="J124"/>
      <c r="K124"/>
      <c r="L124"/>
      <c r="M124"/>
      <c r="N124"/>
      <c r="O124"/>
      <c r="P124"/>
    </row>
    <row r="125" spans="1:16">
      <c r="B125"/>
      <c r="C125"/>
      <c r="D125"/>
      <c r="E125"/>
      <c r="F125"/>
      <c r="G125"/>
      <c r="H125"/>
      <c r="I125"/>
      <c r="J125"/>
      <c r="K125"/>
      <c r="L125"/>
      <c r="M125"/>
      <c r="N125"/>
      <c r="O125"/>
      <c r="P125"/>
    </row>
    <row r="126" spans="1:16">
      <c r="B126" s="2"/>
      <c r="F126" s="26"/>
      <c r="G126" s="26"/>
      <c r="H126" s="26"/>
      <c r="I126" s="26"/>
      <c r="J126" s="26"/>
      <c r="K126" s="26"/>
      <c r="L126" s="26"/>
      <c r="M126" s="26"/>
      <c r="N126" s="27"/>
      <c r="O126" s="27"/>
      <c r="P126" s="27"/>
    </row>
    <row r="127" spans="1:16">
      <c r="B127" s="2"/>
      <c r="C127" s="170"/>
      <c r="D127" s="170"/>
      <c r="E127" s="95"/>
      <c r="F127" s="26"/>
      <c r="G127" s="26"/>
      <c r="H127" s="26"/>
      <c r="I127" s="26"/>
      <c r="J127" s="26"/>
      <c r="K127" s="26"/>
      <c r="L127" s="26"/>
      <c r="M127" s="26"/>
      <c r="N127" s="27"/>
      <c r="O127" s="27"/>
      <c r="P127" s="27"/>
    </row>
    <row r="128" spans="1:16">
      <c r="B128" s="26"/>
      <c r="C128" s="184"/>
      <c r="D128" s="184"/>
      <c r="E128" s="95"/>
      <c r="F128" s="26"/>
      <c r="G128" s="26"/>
      <c r="H128" s="26"/>
      <c r="I128" s="26"/>
      <c r="J128" s="26"/>
      <c r="K128" s="26"/>
      <c r="L128" s="26"/>
      <c r="M128" s="26"/>
      <c r="N128" s="27"/>
      <c r="O128" s="27"/>
      <c r="P128" s="27"/>
    </row>
    <row r="129" spans="2:16">
      <c r="B129" s="26"/>
      <c r="C129" s="184"/>
      <c r="D129" s="184"/>
      <c r="E129" s="662"/>
      <c r="F129" s="26"/>
      <c r="G129" s="26"/>
      <c r="H129" s="26"/>
      <c r="I129" s="26"/>
      <c r="J129" s="26"/>
      <c r="K129" s="26"/>
      <c r="L129" s="26"/>
      <c r="M129" s="26"/>
      <c r="N129" s="27"/>
      <c r="O129" s="27"/>
      <c r="P129" s="27"/>
    </row>
    <row r="130" spans="2:16">
      <c r="B130" s="26"/>
      <c r="C130" s="663"/>
      <c r="D130" s="663"/>
      <c r="E130" s="664"/>
      <c r="F130" s="26"/>
      <c r="G130" s="26"/>
      <c r="H130" s="26"/>
      <c r="I130" s="26"/>
      <c r="J130" s="26"/>
      <c r="K130" s="26"/>
      <c r="L130" s="26"/>
      <c r="M130" s="26"/>
      <c r="N130" s="27"/>
      <c r="O130" s="27"/>
      <c r="P130" s="27"/>
    </row>
    <row r="131" spans="2:16">
      <c r="B131" s="2"/>
      <c r="C131" s="665"/>
      <c r="D131" s="663"/>
      <c r="E131" s="664"/>
      <c r="F131" s="26"/>
      <c r="G131" s="26"/>
      <c r="H131" s="26"/>
      <c r="I131" s="26"/>
      <c r="J131" s="26"/>
      <c r="K131" s="26"/>
      <c r="L131" s="26"/>
      <c r="M131" s="26"/>
      <c r="N131" s="27"/>
      <c r="O131" s="27"/>
      <c r="P131" s="27"/>
    </row>
    <row r="132" spans="2:16">
      <c r="B132" s="26"/>
      <c r="C132" s="663"/>
      <c r="D132" s="663"/>
      <c r="E132" s="664"/>
      <c r="F132" s="26"/>
      <c r="G132" s="26"/>
      <c r="H132" s="26"/>
      <c r="I132" s="26"/>
      <c r="J132" s="26"/>
      <c r="K132" s="26"/>
      <c r="L132" s="26"/>
      <c r="M132" s="26"/>
      <c r="N132" s="27"/>
      <c r="O132" s="27"/>
      <c r="P132" s="27"/>
    </row>
    <row r="133" spans="2:16">
      <c r="B133" s="666"/>
      <c r="C133" s="663"/>
      <c r="D133" s="663"/>
      <c r="E133" s="664"/>
      <c r="F133" s="26"/>
      <c r="G133" s="26"/>
      <c r="H133" s="26"/>
      <c r="I133" s="26"/>
      <c r="J133" s="26"/>
      <c r="K133" s="26"/>
      <c r="L133" s="26"/>
      <c r="M133" s="26"/>
      <c r="N133" s="27"/>
      <c r="O133" s="27"/>
      <c r="P133" s="27"/>
    </row>
    <row r="134" spans="2:16">
      <c r="B134" s="667"/>
      <c r="C134" s="663"/>
      <c r="D134" s="663"/>
      <c r="E134" s="664"/>
      <c r="F134" s="26"/>
      <c r="G134" s="26"/>
      <c r="H134" s="26"/>
      <c r="I134" s="26"/>
      <c r="J134" s="26"/>
      <c r="K134" s="26"/>
      <c r="L134" s="26"/>
      <c r="M134" s="26"/>
      <c r="N134" s="27"/>
      <c r="O134" s="27"/>
      <c r="P134" s="27"/>
    </row>
    <row r="135" spans="2:16">
      <c r="B135" s="667"/>
      <c r="C135" s="663"/>
      <c r="D135" s="663"/>
      <c r="E135" s="664"/>
      <c r="F135" s="26"/>
      <c r="G135" s="26"/>
      <c r="H135" s="26"/>
      <c r="I135" s="26"/>
      <c r="J135" s="26"/>
      <c r="K135" s="26"/>
      <c r="L135" s="26"/>
      <c r="M135" s="26"/>
      <c r="N135" s="27"/>
      <c r="O135" s="27"/>
      <c r="P135" s="27"/>
    </row>
    <row r="136" spans="2:16">
      <c r="B136" s="667"/>
      <c r="C136" s="663"/>
      <c r="D136" s="663"/>
      <c r="E136" s="664"/>
      <c r="F136" s="26"/>
      <c r="G136" s="26"/>
      <c r="H136" s="26"/>
      <c r="I136" s="26"/>
      <c r="J136" s="26"/>
      <c r="K136" s="26"/>
      <c r="L136" s="26"/>
      <c r="M136" s="26"/>
      <c r="N136" s="27"/>
      <c r="O136" s="27"/>
      <c r="P136" s="27"/>
    </row>
    <row r="137" spans="2:16">
      <c r="B137" s="667"/>
      <c r="C137" s="663"/>
      <c r="D137" s="663"/>
      <c r="E137" s="664"/>
      <c r="F137" s="26"/>
      <c r="G137" s="26"/>
      <c r="H137" s="26"/>
      <c r="I137" s="26"/>
      <c r="J137" s="26"/>
      <c r="K137" s="26"/>
      <c r="L137" s="26"/>
      <c r="M137" s="26"/>
      <c r="N137" s="27"/>
      <c r="O137" s="27"/>
      <c r="P137" s="27"/>
    </row>
    <row r="138" spans="2:16">
      <c r="B138" s="666"/>
      <c r="C138" s="663"/>
      <c r="D138" s="663"/>
      <c r="E138" s="664"/>
      <c r="F138" s="26"/>
      <c r="G138" s="26"/>
      <c r="H138" s="26"/>
      <c r="I138" s="26"/>
      <c r="J138" s="26"/>
      <c r="K138" s="26"/>
      <c r="L138" s="26"/>
      <c r="M138" s="26"/>
      <c r="N138" s="27"/>
      <c r="O138" s="27"/>
      <c r="P138" s="27"/>
    </row>
    <row r="139" spans="2:16">
      <c r="B139" s="666"/>
      <c r="C139" s="663"/>
      <c r="D139" s="663"/>
      <c r="E139" s="664"/>
      <c r="F139" s="26"/>
      <c r="G139" s="26"/>
      <c r="H139" s="26"/>
      <c r="I139" s="26"/>
      <c r="J139" s="26"/>
      <c r="K139" s="26"/>
      <c r="L139" s="26"/>
      <c r="M139" s="26"/>
      <c r="N139" s="27"/>
      <c r="O139" s="27"/>
      <c r="P139" s="27"/>
    </row>
    <row r="140" spans="2:16" ht="14.65" customHeight="1">
      <c r="B140" s="2"/>
      <c r="C140" s="665"/>
      <c r="D140" s="668"/>
      <c r="E140" s="667"/>
      <c r="F140" s="26"/>
      <c r="G140" s="26"/>
      <c r="H140" s="26"/>
      <c r="I140" s="26"/>
      <c r="J140" s="26"/>
      <c r="K140" s="26"/>
      <c r="L140" s="26"/>
      <c r="M140" s="26"/>
      <c r="N140" s="27"/>
      <c r="O140" s="27"/>
      <c r="P140" s="27"/>
    </row>
    <row r="141" spans="2:16" ht="16.149999999999999" customHeight="1">
      <c r="B141" s="26"/>
      <c r="C141" s="669"/>
      <c r="D141" s="669"/>
      <c r="E141" s="670"/>
      <c r="F141" s="671"/>
      <c r="G141" s="26"/>
      <c r="H141" s="26"/>
      <c r="I141" s="26"/>
      <c r="J141" s="26"/>
      <c r="K141" s="26"/>
      <c r="L141" s="26"/>
      <c r="M141" s="26"/>
      <c r="N141" s="27"/>
      <c r="O141" s="27"/>
      <c r="P141" s="27"/>
    </row>
    <row r="142" spans="2:16">
      <c r="B142" s="666"/>
      <c r="C142" s="669"/>
      <c r="D142" s="669"/>
      <c r="E142" s="672"/>
      <c r="F142" s="26"/>
      <c r="G142" s="26"/>
      <c r="H142" s="26"/>
      <c r="I142" s="26"/>
      <c r="J142" s="26"/>
      <c r="K142" s="26"/>
      <c r="L142" s="26"/>
      <c r="M142" s="26"/>
      <c r="N142" s="27"/>
      <c r="O142" s="27"/>
      <c r="P142" s="27"/>
    </row>
    <row r="143" spans="2:16">
      <c r="B143" s="667"/>
      <c r="C143" s="673"/>
      <c r="D143" s="673"/>
      <c r="E143" s="674"/>
      <c r="F143" s="460"/>
      <c r="G143" s="26"/>
      <c r="H143" s="26"/>
      <c r="I143" s="26"/>
      <c r="J143" s="26"/>
      <c r="K143" s="26"/>
      <c r="L143" s="26"/>
      <c r="M143" s="26"/>
      <c r="N143" s="27"/>
      <c r="O143" s="27"/>
      <c r="P143" s="27"/>
    </row>
    <row r="144" spans="2:16">
      <c r="B144" s="667"/>
      <c r="C144" s="675"/>
      <c r="D144" s="675"/>
      <c r="E144" s="676"/>
      <c r="F144" s="677"/>
      <c r="G144" s="695"/>
      <c r="H144" s="695"/>
      <c r="I144" s="678"/>
      <c r="J144" s="679"/>
      <c r="K144" s="678"/>
      <c r="L144" s="26"/>
      <c r="M144" s="26"/>
      <c r="N144" s="27"/>
      <c r="O144" s="27"/>
      <c r="P144" s="27"/>
    </row>
    <row r="145" spans="2:20">
      <c r="B145" s="667"/>
      <c r="C145" s="675"/>
      <c r="D145" s="675"/>
      <c r="E145" s="680"/>
      <c r="F145" s="681"/>
      <c r="G145" s="680"/>
      <c r="H145" s="681"/>
      <c r="I145" s="681"/>
      <c r="J145" s="680"/>
      <c r="K145" s="680"/>
      <c r="L145" s="26"/>
      <c r="M145" s="26"/>
      <c r="N145" s="27"/>
      <c r="O145" s="27"/>
      <c r="P145" s="27"/>
    </row>
    <row r="146" spans="2:20">
      <c r="B146" s="667"/>
      <c r="C146" s="675"/>
      <c r="D146" s="675"/>
      <c r="E146" s="680"/>
      <c r="F146" s="681"/>
      <c r="G146" s="680"/>
      <c r="H146" s="681"/>
      <c r="I146" s="681"/>
      <c r="J146" s="680"/>
      <c r="K146" s="680"/>
      <c r="L146" s="26"/>
      <c r="M146" s="26"/>
      <c r="N146" s="27"/>
      <c r="O146" s="27"/>
      <c r="P146" s="27"/>
    </row>
    <row r="147" spans="2:20">
      <c r="B147" s="666"/>
      <c r="C147" s="675"/>
      <c r="D147" s="675"/>
      <c r="E147" s="680"/>
      <c r="F147" s="681"/>
      <c r="G147" s="680"/>
      <c r="H147" s="681"/>
      <c r="I147" s="681"/>
      <c r="J147" s="680"/>
      <c r="K147" s="680"/>
      <c r="L147" s="26"/>
      <c r="M147" s="26"/>
      <c r="N147" s="27"/>
      <c r="O147" s="27"/>
      <c r="P147" s="27"/>
    </row>
    <row r="148" spans="2:20">
      <c r="B148" s="2"/>
      <c r="C148" s="682"/>
      <c r="D148" s="683"/>
      <c r="E148" s="28"/>
      <c r="F148" s="26"/>
      <c r="G148" s="26"/>
      <c r="H148" s="26"/>
      <c r="I148" s="26"/>
      <c r="J148" s="26"/>
      <c r="K148" s="26"/>
      <c r="L148" s="26"/>
      <c r="M148" s="26"/>
      <c r="N148" s="27"/>
      <c r="O148" s="27"/>
      <c r="P148" s="27"/>
    </row>
    <row r="149" spans="2:20">
      <c r="B149"/>
      <c r="C149"/>
      <c r="D149"/>
      <c r="E149"/>
      <c r="F149"/>
      <c r="G149"/>
      <c r="H149"/>
      <c r="I149"/>
      <c r="J149"/>
      <c r="K149"/>
      <c r="L149"/>
      <c r="M149"/>
      <c r="N149"/>
      <c r="O149"/>
      <c r="P149"/>
    </row>
    <row r="150" spans="2:20">
      <c r="B150"/>
      <c r="C150"/>
      <c r="D150"/>
      <c r="E150"/>
      <c r="F150"/>
      <c r="G150"/>
      <c r="H150"/>
      <c r="I150"/>
      <c r="J150"/>
      <c r="K150"/>
      <c r="L150"/>
      <c r="M150"/>
      <c r="N150"/>
      <c r="O150"/>
      <c r="P150"/>
    </row>
    <row r="151" spans="2:20">
      <c r="B151" s="2"/>
      <c r="G151" s="26"/>
      <c r="H151" s="26"/>
      <c r="I151" s="26"/>
      <c r="J151" s="26"/>
      <c r="K151" s="26"/>
      <c r="L151" s="26"/>
      <c r="M151" s="26"/>
      <c r="N151" s="26"/>
      <c r="T151" s="26"/>
    </row>
    <row r="152" spans="2:20">
      <c r="B152" s="2"/>
      <c r="C152" s="25"/>
      <c r="D152" s="25"/>
      <c r="E152" s="25"/>
      <c r="F152" s="25"/>
      <c r="G152" s="25"/>
      <c r="H152" s="25"/>
      <c r="I152" s="25"/>
      <c r="J152" s="25"/>
      <c r="K152" s="25"/>
      <c r="L152" s="25"/>
      <c r="M152" s="25"/>
      <c r="N152" s="25"/>
    </row>
    <row r="153" spans="2:20">
      <c r="B153" s="26"/>
      <c r="C153" s="684"/>
      <c r="D153" s="685"/>
      <c r="E153" s="686"/>
      <c r="F153" s="460"/>
      <c r="G153" s="687"/>
      <c r="H153" s="687"/>
      <c r="I153" s="687"/>
      <c r="J153" s="688"/>
      <c r="K153" s="689"/>
      <c r="L153" s="690"/>
      <c r="M153" s="25"/>
      <c r="N153" s="25"/>
    </row>
    <row r="154" spans="2:20">
      <c r="B154" s="666"/>
      <c r="C154" s="691"/>
      <c r="D154" s="685"/>
      <c r="E154" s="686"/>
      <c r="F154" s="460"/>
      <c r="G154" s="687"/>
      <c r="H154" s="687"/>
      <c r="I154" s="687"/>
      <c r="J154" s="688"/>
      <c r="K154" s="689"/>
      <c r="L154" s="690"/>
      <c r="M154" s="25"/>
      <c r="N154" s="25"/>
    </row>
    <row r="155" spans="2:20">
      <c r="B155" s="667"/>
      <c r="C155" s="691"/>
      <c r="D155" s="685"/>
      <c r="E155" s="686"/>
      <c r="F155" s="460"/>
      <c r="G155" s="687"/>
      <c r="H155" s="687"/>
      <c r="I155" s="687"/>
      <c r="J155" s="688"/>
      <c r="K155" s="689"/>
      <c r="L155" s="690"/>
      <c r="M155" s="25"/>
      <c r="N155" s="25"/>
    </row>
    <row r="156" spans="2:20">
      <c r="B156" s="667"/>
      <c r="C156" s="691"/>
      <c r="D156" s="685"/>
      <c r="E156" s="686"/>
      <c r="F156" s="460"/>
      <c r="G156" s="687"/>
      <c r="H156" s="687"/>
      <c r="I156" s="687"/>
      <c r="J156" s="688"/>
      <c r="K156" s="689"/>
      <c r="L156" s="690"/>
      <c r="M156" s="25"/>
      <c r="N156" s="25"/>
    </row>
    <row r="157" spans="2:20">
      <c r="B157" s="667"/>
      <c r="C157" s="691"/>
      <c r="D157" s="685"/>
      <c r="E157" s="686"/>
      <c r="F157" s="460"/>
      <c r="G157" s="687"/>
      <c r="H157" s="687"/>
      <c r="I157" s="687"/>
      <c r="J157" s="688"/>
      <c r="K157" s="689"/>
      <c r="L157" s="690"/>
      <c r="M157" s="24"/>
      <c r="N157" s="24"/>
    </row>
    <row r="158" spans="2:20">
      <c r="B158" s="666"/>
      <c r="C158" s="691"/>
      <c r="D158" s="685"/>
      <c r="E158" s="686"/>
      <c r="F158" s="460"/>
      <c r="G158" s="687"/>
      <c r="H158" s="687"/>
      <c r="I158" s="687"/>
      <c r="J158" s="688"/>
      <c r="K158" s="689"/>
      <c r="L158" s="690"/>
      <c r="M158" s="24"/>
      <c r="N158" s="24"/>
    </row>
    <row r="159" spans="2:20">
      <c r="B159" s="2"/>
      <c r="C159" s="2"/>
      <c r="D159" s="2"/>
      <c r="E159" s="2"/>
      <c r="F159" s="2"/>
      <c r="G159" s="23"/>
      <c r="H159" s="692"/>
      <c r="I159" s="692"/>
      <c r="J159" s="693"/>
      <c r="K159" s="694"/>
      <c r="L159" s="2"/>
      <c r="M159" s="23"/>
      <c r="N159" s="23"/>
    </row>
    <row r="160" spans="2:20">
      <c r="B160" s="2"/>
      <c r="C160" s="2"/>
      <c r="D160" s="2"/>
      <c r="E160" s="2"/>
      <c r="F160" s="2"/>
      <c r="G160" s="2"/>
      <c r="H160" s="23"/>
      <c r="I160" s="23"/>
      <c r="J160" s="23"/>
    </row>
    <row r="161" spans="2:12">
      <c r="B161" s="2"/>
      <c r="G161" s="26"/>
      <c r="H161" s="26"/>
      <c r="I161" s="26"/>
      <c r="J161" s="26"/>
      <c r="K161" s="26"/>
      <c r="L161" s="26"/>
    </row>
    <row r="162" spans="2:12">
      <c r="B162" s="2"/>
      <c r="C162" s="25"/>
      <c r="D162" s="25"/>
      <c r="E162" s="25"/>
      <c r="F162" s="25"/>
      <c r="G162" s="25"/>
      <c r="H162" s="25"/>
      <c r="I162" s="25"/>
      <c r="J162" s="25"/>
      <c r="K162" s="25"/>
      <c r="L162" s="25"/>
    </row>
    <row r="163" spans="2:12">
      <c r="B163" s="26"/>
      <c r="C163" s="684"/>
      <c r="D163" s="685"/>
      <c r="E163" s="686"/>
      <c r="F163" s="460"/>
      <c r="G163" s="687"/>
      <c r="H163" s="687"/>
      <c r="I163" s="687"/>
      <c r="J163" s="688"/>
      <c r="K163" s="689"/>
      <c r="L163" s="690"/>
    </row>
    <row r="164" spans="2:12">
      <c r="B164" s="666"/>
      <c r="C164" s="691"/>
      <c r="D164" s="685"/>
      <c r="E164" s="686"/>
      <c r="F164" s="460"/>
      <c r="G164" s="687"/>
      <c r="H164" s="687"/>
      <c r="I164" s="687"/>
      <c r="J164" s="688"/>
      <c r="K164" s="689"/>
      <c r="L164" s="690"/>
    </row>
    <row r="165" spans="2:12">
      <c r="B165" s="667"/>
      <c r="C165" s="691"/>
      <c r="D165" s="685"/>
      <c r="E165" s="686"/>
      <c r="F165" s="460"/>
      <c r="G165" s="687"/>
      <c r="H165" s="687"/>
      <c r="I165" s="687"/>
      <c r="J165" s="688"/>
      <c r="K165" s="689"/>
      <c r="L165" s="690"/>
    </row>
    <row r="166" spans="2:12">
      <c r="B166" s="667"/>
      <c r="C166" s="691"/>
      <c r="D166" s="685"/>
      <c r="E166" s="686"/>
      <c r="F166" s="460"/>
      <c r="G166" s="687"/>
      <c r="H166" s="687"/>
      <c r="I166" s="687"/>
      <c r="J166" s="688"/>
      <c r="K166" s="689"/>
      <c r="L166" s="690"/>
    </row>
    <row r="167" spans="2:12">
      <c r="B167" s="667"/>
      <c r="C167" s="691"/>
      <c r="D167" s="685"/>
      <c r="E167" s="686"/>
      <c r="F167" s="460"/>
      <c r="G167" s="687"/>
      <c r="H167" s="687"/>
      <c r="I167" s="687"/>
      <c r="J167" s="688"/>
      <c r="K167" s="689"/>
      <c r="L167" s="690"/>
    </row>
    <row r="168" spans="2:12">
      <c r="B168" s="666"/>
      <c r="C168" s="691"/>
      <c r="D168" s="685"/>
      <c r="E168" s="686"/>
      <c r="F168" s="460"/>
      <c r="G168" s="687"/>
      <c r="H168" s="687"/>
      <c r="I168" s="687"/>
      <c r="J168" s="688"/>
      <c r="K168" s="689"/>
      <c r="L168" s="690"/>
    </row>
    <row r="169" spans="2:12">
      <c r="B169" s="2"/>
      <c r="C169" s="2"/>
      <c r="D169" s="2"/>
      <c r="E169" s="2"/>
      <c r="F169" s="2"/>
      <c r="G169" s="23"/>
      <c r="H169" s="692"/>
      <c r="I169" s="692"/>
      <c r="J169" s="693"/>
      <c r="K169" s="694"/>
      <c r="L169" s="2"/>
    </row>
  </sheetData>
  <mergeCells count="1">
    <mergeCell ref="G144:H144"/>
  </mergeCells>
  <dataValidations count="5">
    <dataValidation type="list" allowBlank="1" showInputMessage="1" showErrorMessage="1" sqref="D7" xr:uid="{FFA32331-7DDF-46C7-9D38-8C4CED236306}">
      <formula1>$N$11:$O$11</formula1>
    </dataValidation>
    <dataValidation type="list" allowBlank="1" showInputMessage="1" showErrorMessage="1" sqref="B11:C20" xr:uid="{9A653D91-B1EE-4F7C-A8AB-89A582CE81CA}">
      <formula1>$N$7:$Q$7</formula1>
    </dataValidation>
    <dataValidation type="list" allowBlank="1" showInputMessage="1" showErrorMessage="1" sqref="D11:D20" xr:uid="{BAB97E42-4EB1-4072-A347-32C6E4601BAA}">
      <formula1>$N$22:$AE$22</formula1>
    </dataValidation>
    <dataValidation type="list" allowBlank="1" showInputMessage="1" showErrorMessage="1" sqref="E11:E20" xr:uid="{98E9C96A-6E70-4D13-A736-51B5645ADA5A}">
      <formula1>$N$16:$O$16</formula1>
    </dataValidation>
    <dataValidation type="list" allowBlank="1" showInputMessage="1" showErrorMessage="1" sqref="C59:L59" xr:uid="{9631B773-540F-4D7A-B702-F46A8CAB33C3}">
      <formula1>$N$19:$AQ$19</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1578-65D7-40BA-9FB6-000CB24EA91B}">
  <sheetPr codeName="Sheet131">
    <tabColor indexed="27"/>
  </sheetPr>
  <dimension ref="A1:AQ169"/>
  <sheetViews>
    <sheetView zoomScale="85" zoomScaleNormal="85" workbookViewId="0">
      <selection activeCell="B53" sqref="B53:B80"/>
    </sheetView>
  </sheetViews>
  <sheetFormatPr defaultColWidth="8.85546875" defaultRowHeight="15"/>
  <cols>
    <col min="1" max="1" width="3.5703125" style="1" customWidth="1"/>
    <col min="2" max="2" width="33" style="1" bestFit="1" customWidth="1"/>
    <col min="3" max="3" width="44.85546875" style="1" customWidth="1"/>
    <col min="4" max="4" width="21.140625" style="1" customWidth="1"/>
    <col min="5" max="6" width="18.140625" style="1" customWidth="1"/>
    <col min="7" max="7" width="19.85546875" style="1" customWidth="1"/>
    <col min="8" max="8" width="16.42578125" style="1" customWidth="1"/>
    <col min="9" max="9" width="45.1406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Clothes Dryer</v>
      </c>
      <c r="C7" s="98" t="s">
        <v>2000</v>
      </c>
      <c r="D7" s="97" t="s">
        <v>212</v>
      </c>
      <c r="E7" s="97">
        <f>C123</f>
        <v>16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t="s">
        <v>2002</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Clothes Dryer_Res, E - Appl [Elec Dry, SF] (MD)</v>
      </c>
      <c r="J11" s="83" t="str">
        <f t="shared" ref="J11:J20" si="3">IF(B11="","",CONCATENATE($C$7,IF(C11="","",CONCATENATE(" with ",C11," Secondary Fuel"))))</f>
        <v>ENERGY STAR Clothes Dryer</v>
      </c>
      <c r="K11" s="83"/>
      <c r="M11" s="94" t="s">
        <v>123</v>
      </c>
      <c r="N11" s="93" t="s">
        <v>212</v>
      </c>
      <c r="O11" s="93" t="s">
        <v>211</v>
      </c>
    </row>
    <row r="12" spans="1:17">
      <c r="A12" s="1">
        <v>2</v>
      </c>
      <c r="B12" s="97"/>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ES Clothes Dryer_Res, E - Appl [Elec Dry, SF]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Clothes Dryer_Res, E - Appl [Elec Dry, SF]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Clothes Dryer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2003</v>
      </c>
      <c r="D35" s="82"/>
      <c r="E35" s="82"/>
      <c r="F35" s="82"/>
      <c r="G35" s="82"/>
      <c r="H35" s="82"/>
      <c r="I35" s="82"/>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Clothes Dryer</v>
      </c>
      <c r="D36" s="65"/>
      <c r="E36" s="65"/>
      <c r="F36" s="65"/>
      <c r="G36" s="65"/>
      <c r="H36" s="65"/>
      <c r="I36" s="65" t="str">
        <f>I34</f>
        <v/>
      </c>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c r="E37" s="83"/>
      <c r="F37" s="83"/>
      <c r="G37" s="83"/>
      <c r="H37" s="83"/>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2001</v>
      </c>
      <c r="D38" s="82"/>
      <c r="E38" s="82"/>
      <c r="F38" s="82"/>
      <c r="G38" s="82"/>
      <c r="H38" s="82"/>
      <c r="I38" s="82"/>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c r="F44" s="82"/>
      <c r="G44" s="82"/>
      <c r="H44" s="82"/>
      <c r="I44" s="82"/>
      <c r="J44" s="82"/>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ES Clothes Dryer_Res, E - Appl [Elec Dry, SF] (MD)</v>
      </c>
      <c r="D49" s="65"/>
      <c r="E49" s="65" t="str">
        <f>E33</f>
        <v/>
      </c>
      <c r="F49" s="65" t="str">
        <f>E33</f>
        <v/>
      </c>
      <c r="G49" s="65"/>
      <c r="H49" s="65" t="str">
        <f>H33</f>
        <v/>
      </c>
      <c r="I49" s="65" t="str">
        <f>H33</f>
        <v/>
      </c>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Clothes Dryer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2004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2005</v>
      </c>
      <c r="D56" s="82"/>
      <c r="E56" s="82"/>
      <c r="F56" s="82"/>
      <c r="G56" s="82"/>
      <c r="H56" s="82"/>
      <c r="I56" s="82"/>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82" t="s">
        <v>92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90</v>
      </c>
      <c r="D60" s="82"/>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81"/>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81"/>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79"/>
      <c r="D63" s="80"/>
      <c r="E63" s="79"/>
      <c r="F63" s="79"/>
      <c r="G63" s="79"/>
      <c r="H63" s="79"/>
      <c r="I63" s="79"/>
      <c r="J63" s="79"/>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76">
        <f>(G159+G169)/2</f>
        <v>124.23210614975721</v>
      </c>
      <c r="D64" s="78"/>
      <c r="E64" s="76"/>
      <c r="F64" s="77"/>
      <c r="G64" s="76"/>
      <c r="H64" s="67"/>
      <c r="I64" s="67"/>
      <c r="J64" s="67"/>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74">
        <f>(I159+I169)/2</f>
        <v>0.27363654709902679</v>
      </c>
      <c r="D65" s="75"/>
      <c r="E65" s="74"/>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c r="A66" s="1">
        <f t="shared" ref="A66:A87" si="20">A65+1</f>
        <v>34</v>
      </c>
      <c r="B66" s="65" t="s">
        <v>83</v>
      </c>
      <c r="C66" s="65"/>
      <c r="D66" s="72"/>
      <c r="E66" s="65"/>
      <c r="F66" s="65"/>
      <c r="G66" s="65"/>
      <c r="H66" s="65"/>
      <c r="I66" s="65"/>
      <c r="J66" s="65"/>
      <c r="K66" s="65"/>
      <c r="L66" s="65"/>
      <c r="M66" s="64" t="str">
        <f t="shared" ref="M66:S68" ca="1" si="21">IF(M$33="","","-")</f>
        <v>-</v>
      </c>
      <c r="N66" s="64" t="str">
        <f t="shared" si="21"/>
        <v/>
      </c>
      <c r="O66" s="64" t="str">
        <f t="shared" si="21"/>
        <v/>
      </c>
      <c r="P66" s="64" t="str">
        <f t="shared" si="21"/>
        <v/>
      </c>
      <c r="Q66" s="64" t="str">
        <f t="shared" si="21"/>
        <v/>
      </c>
      <c r="R66" s="64" t="str">
        <f t="shared" si="21"/>
        <v/>
      </c>
      <c r="S66" s="64" t="str">
        <f t="shared" si="21"/>
        <v/>
      </c>
      <c r="T66" s="64" t="str">
        <f t="shared" si="19"/>
        <v/>
      </c>
      <c r="U66" s="64" t="str">
        <f t="shared" si="19"/>
        <v/>
      </c>
      <c r="V66" s="64" t="str">
        <f t="shared" si="19"/>
        <v/>
      </c>
    </row>
    <row r="67" spans="1:22">
      <c r="A67" s="1">
        <f t="shared" si="20"/>
        <v>35</v>
      </c>
      <c r="B67" s="65" t="s">
        <v>82</v>
      </c>
      <c r="C67" s="65"/>
      <c r="D67" s="72"/>
      <c r="E67" s="65"/>
      <c r="F67" s="65"/>
      <c r="G67" s="65"/>
      <c r="H67" s="65"/>
      <c r="I67" s="65"/>
      <c r="J67" s="65"/>
      <c r="K67" s="65"/>
      <c r="L67" s="65"/>
      <c r="M67" s="64" t="str">
        <f t="shared" ca="1" si="21"/>
        <v>-</v>
      </c>
      <c r="N67" s="64" t="str">
        <f t="shared" si="21"/>
        <v/>
      </c>
      <c r="O67" s="64" t="str">
        <f t="shared" si="21"/>
        <v/>
      </c>
      <c r="P67" s="64" t="str">
        <f t="shared" si="21"/>
        <v/>
      </c>
      <c r="Q67" s="64" t="str">
        <f t="shared" si="21"/>
        <v/>
      </c>
      <c r="R67" s="64" t="str">
        <f t="shared" si="21"/>
        <v/>
      </c>
      <c r="S67" s="64" t="str">
        <f t="shared" si="21"/>
        <v/>
      </c>
      <c r="T67" s="64" t="str">
        <f t="shared" si="19"/>
        <v/>
      </c>
      <c r="U67" s="64" t="str">
        <f t="shared" si="19"/>
        <v/>
      </c>
      <c r="V67" s="64" t="str">
        <f t="shared" si="19"/>
        <v/>
      </c>
    </row>
    <row r="68" spans="1:22">
      <c r="A68" s="1">
        <f t="shared" si="20"/>
        <v>36</v>
      </c>
      <c r="B68" s="604" t="s">
        <v>9</v>
      </c>
      <c r="C68" s="71">
        <f>(J159+J169)/2</f>
        <v>278.5</v>
      </c>
      <c r="D68" s="71"/>
      <c r="E68" s="71"/>
      <c r="F68" s="71"/>
      <c r="G68" s="71"/>
      <c r="H68" s="71"/>
      <c r="I68" s="71"/>
      <c r="J68" s="70"/>
      <c r="K68" s="65"/>
      <c r="L68" s="65"/>
      <c r="M68" s="64" t="str">
        <f t="shared" ca="1" si="21"/>
        <v>-</v>
      </c>
      <c r="N68" s="64" t="str">
        <f t="shared" si="21"/>
        <v/>
      </c>
      <c r="O68" s="64" t="str">
        <f t="shared" si="21"/>
        <v/>
      </c>
      <c r="P68" s="64" t="str">
        <f t="shared" si="21"/>
        <v/>
      </c>
      <c r="Q68" s="64" t="str">
        <f t="shared" si="21"/>
        <v/>
      </c>
      <c r="R68" s="64" t="str">
        <f t="shared" si="21"/>
        <v/>
      </c>
      <c r="S68" s="64" t="str">
        <f t="shared" si="21"/>
        <v/>
      </c>
      <c r="T68" s="64" t="str">
        <f t="shared" si="19"/>
        <v/>
      </c>
      <c r="U68" s="64" t="str">
        <f t="shared" si="19"/>
        <v/>
      </c>
      <c r="V68" s="64" t="str">
        <f t="shared" si="19"/>
        <v/>
      </c>
    </row>
    <row r="69" spans="1:22">
      <c r="A69" s="1">
        <f t="shared" si="20"/>
        <v>37</v>
      </c>
      <c r="B69" s="604" t="s">
        <v>81</v>
      </c>
      <c r="C69" s="70">
        <f>(K159+K169)/2</f>
        <v>2.604986914894134</v>
      </c>
      <c r="D69" s="70"/>
      <c r="E69" s="70"/>
      <c r="F69" s="70"/>
      <c r="G69" s="70"/>
      <c r="H69" s="70"/>
      <c r="I69" s="70"/>
      <c r="J69" s="70"/>
      <c r="K69" s="70"/>
      <c r="L69" s="70"/>
      <c r="M69" s="69">
        <v>4</v>
      </c>
      <c r="N69" s="69">
        <v>4</v>
      </c>
      <c r="O69" s="69">
        <v>4</v>
      </c>
      <c r="P69" s="69">
        <v>4</v>
      </c>
      <c r="Q69" s="69">
        <v>4</v>
      </c>
      <c r="R69" s="69">
        <v>4</v>
      </c>
      <c r="S69" s="69">
        <v>4</v>
      </c>
      <c r="T69" s="69" t="str">
        <f t="shared" si="19"/>
        <v/>
      </c>
      <c r="U69" s="69" t="str">
        <f t="shared" si="19"/>
        <v/>
      </c>
      <c r="V69" s="69" t="str">
        <f t="shared" si="19"/>
        <v/>
      </c>
    </row>
    <row r="70" spans="1:22">
      <c r="A70" s="1">
        <f t="shared" si="20"/>
        <v>38</v>
      </c>
      <c r="M70" s="64" t="str">
        <f t="shared" ref="M70:S79" ca="1" si="22">IF(M$33="","","-")</f>
        <v>-</v>
      </c>
      <c r="N70" s="64" t="str">
        <f t="shared" si="22"/>
        <v/>
      </c>
      <c r="O70" s="64" t="str">
        <f t="shared" si="22"/>
        <v/>
      </c>
      <c r="P70" s="64" t="str">
        <f t="shared" si="22"/>
        <v/>
      </c>
      <c r="Q70" s="64" t="str">
        <f t="shared" si="22"/>
        <v/>
      </c>
      <c r="R70" s="64" t="str">
        <f t="shared" si="22"/>
        <v/>
      </c>
      <c r="S70" s="64" t="str">
        <f t="shared" si="22"/>
        <v/>
      </c>
      <c r="T70" s="64" t="str">
        <f t="shared" si="19"/>
        <v/>
      </c>
      <c r="U70" s="64" t="str">
        <f t="shared" si="19"/>
        <v/>
      </c>
      <c r="V70" s="64" t="str">
        <f t="shared" si="19"/>
        <v/>
      </c>
    </row>
    <row r="71" spans="1:22">
      <c r="A71" s="1">
        <f t="shared" si="20"/>
        <v>39</v>
      </c>
      <c r="B71" s="1" t="s">
        <v>80</v>
      </c>
      <c r="C71" s="66" t="str">
        <f t="shared" ref="C71:L71" si="23">C52</f>
        <v>ENERGY STAR Clothes Dryer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19"/>
        <v/>
      </c>
      <c r="U71" s="64" t="str">
        <f t="shared" si="19"/>
        <v/>
      </c>
      <c r="V71" s="64" t="str">
        <f t="shared" si="19"/>
        <v/>
      </c>
    </row>
    <row r="72" spans="1:22">
      <c r="A72" s="1">
        <f t="shared" si="20"/>
        <v>40</v>
      </c>
      <c r="B72" s="604" t="s">
        <v>79</v>
      </c>
      <c r="C72" s="67"/>
      <c r="D72" s="65"/>
      <c r="E72" s="68"/>
      <c r="F72" s="65"/>
      <c r="G72" s="67"/>
      <c r="H72" s="67"/>
      <c r="I72" s="67"/>
      <c r="J72" s="67"/>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19"/>
        <v/>
      </c>
      <c r="U72" s="64" t="str">
        <f t="shared" si="19"/>
        <v/>
      </c>
      <c r="V72" s="64" t="str">
        <f t="shared" si="19"/>
        <v/>
      </c>
    </row>
    <row r="73" spans="1:22">
      <c r="A73" s="1">
        <f t="shared" si="20"/>
        <v>41</v>
      </c>
      <c r="B73" s="604" t="s">
        <v>78</v>
      </c>
      <c r="C73" s="67"/>
      <c r="D73" s="65"/>
      <c r="E73" s="68"/>
      <c r="F73" s="65"/>
      <c r="G73" s="68"/>
      <c r="H73" s="67"/>
      <c r="I73" s="67"/>
      <c r="J73" s="67"/>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19"/>
        <v/>
      </c>
      <c r="U73" s="64" t="str">
        <f t="shared" si="19"/>
        <v/>
      </c>
      <c r="V73" s="64" t="str">
        <f t="shared" si="19"/>
        <v/>
      </c>
    </row>
    <row r="74" spans="1:22">
      <c r="A74" s="1">
        <f t="shared" si="20"/>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19"/>
        <v/>
      </c>
      <c r="U74" s="64" t="str">
        <f t="shared" si="19"/>
        <v/>
      </c>
      <c r="V74" s="64" t="str">
        <f t="shared" si="19"/>
        <v/>
      </c>
    </row>
    <row r="75" spans="1:22">
      <c r="A75" s="1">
        <f t="shared" si="20"/>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19"/>
        <v/>
      </c>
      <c r="U75" s="64" t="str">
        <f t="shared" si="19"/>
        <v/>
      </c>
      <c r="V75" s="64" t="str">
        <f t="shared" si="19"/>
        <v/>
      </c>
    </row>
    <row r="76" spans="1:22">
      <c r="A76" s="1">
        <f t="shared" si="20"/>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19"/>
        <v/>
      </c>
      <c r="U76" s="64" t="str">
        <f t="shared" si="19"/>
        <v/>
      </c>
      <c r="V76" s="64" t="str">
        <f t="shared" si="19"/>
        <v/>
      </c>
    </row>
    <row r="77" spans="1:22">
      <c r="A77" s="1">
        <f t="shared" si="20"/>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19"/>
        <v/>
      </c>
      <c r="U77" s="64" t="str">
        <f t="shared" si="19"/>
        <v/>
      </c>
      <c r="V77" s="64" t="str">
        <f t="shared" si="19"/>
        <v/>
      </c>
    </row>
    <row r="78" spans="1:22">
      <c r="A78" s="1">
        <f t="shared" si="20"/>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19"/>
        <v/>
      </c>
      <c r="U78" s="64" t="str">
        <f t="shared" si="19"/>
        <v/>
      </c>
      <c r="V78" s="64" t="str">
        <f t="shared" si="19"/>
        <v/>
      </c>
    </row>
    <row r="79" spans="1:22">
      <c r="A79" s="1">
        <f t="shared" si="20"/>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19"/>
        <v/>
      </c>
      <c r="U79" s="64" t="str">
        <f t="shared" si="19"/>
        <v/>
      </c>
      <c r="V79" s="64" t="str">
        <f t="shared" si="19"/>
        <v/>
      </c>
    </row>
    <row r="80" spans="1:22">
      <c r="A80" s="1">
        <f t="shared" si="20"/>
        <v>48</v>
      </c>
      <c r="B80" s="604" t="s">
        <v>72</v>
      </c>
      <c r="C80" s="65"/>
      <c r="D80" s="65"/>
      <c r="E80" s="65"/>
      <c r="F80" s="65"/>
      <c r="G80" s="65"/>
      <c r="H80" s="65"/>
      <c r="I80" s="65"/>
      <c r="J80" s="65"/>
      <c r="K80" s="65"/>
      <c r="L80" s="65"/>
      <c r="M80" s="64" t="str">
        <f t="shared" ref="M80:S89" ca="1" si="24">IF(M$33="","","-")</f>
        <v>-</v>
      </c>
      <c r="N80" s="64" t="str">
        <f t="shared" si="24"/>
        <v/>
      </c>
      <c r="O80" s="64" t="str">
        <f t="shared" si="24"/>
        <v/>
      </c>
      <c r="P80" s="64" t="str">
        <f t="shared" si="24"/>
        <v/>
      </c>
      <c r="Q80" s="64" t="str">
        <f t="shared" si="24"/>
        <v/>
      </c>
      <c r="R80" s="64" t="str">
        <f t="shared" si="24"/>
        <v/>
      </c>
      <c r="S80" s="64" t="str">
        <f t="shared" si="24"/>
        <v/>
      </c>
      <c r="T80" s="64" t="str">
        <f t="shared" si="19"/>
        <v/>
      </c>
      <c r="U80" s="64" t="str">
        <f t="shared" si="19"/>
        <v/>
      </c>
      <c r="V80" s="64" t="str">
        <f t="shared" si="19"/>
        <v/>
      </c>
    </row>
    <row r="81" spans="1:22">
      <c r="A81" s="1">
        <f t="shared" si="20"/>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19"/>
        <v/>
      </c>
      <c r="U81" s="64" t="str">
        <f t="shared" si="19"/>
        <v/>
      </c>
      <c r="V81" s="64" t="str">
        <f t="shared" si="19"/>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19"/>
        <v/>
      </c>
      <c r="U82" s="64" t="str">
        <f t="shared" si="19"/>
        <v/>
      </c>
      <c r="V82" s="64" t="str">
        <f t="shared" si="19"/>
        <v/>
      </c>
    </row>
    <row r="83" spans="1:22">
      <c r="A83" s="1">
        <f t="shared" si="20"/>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19"/>
        <v/>
      </c>
      <c r="U83" s="64" t="str">
        <f t="shared" si="19"/>
        <v/>
      </c>
      <c r="V83" s="64" t="str">
        <f t="shared" si="19"/>
        <v/>
      </c>
    </row>
    <row r="84" spans="1:22">
      <c r="A84" s="1">
        <f t="shared" si="20"/>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19"/>
        <v/>
      </c>
      <c r="U84" s="64" t="str">
        <f t="shared" si="19"/>
        <v/>
      </c>
      <c r="V84" s="64" t="str">
        <f t="shared" si="19"/>
        <v/>
      </c>
    </row>
    <row r="85" spans="1:22">
      <c r="A85" s="1">
        <f t="shared" si="20"/>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6"/>
        <v/>
      </c>
      <c r="U89" s="64" t="str">
        <f t="shared" si="26"/>
        <v/>
      </c>
      <c r="V89" s="64" t="str">
        <f t="shared" si="26"/>
        <v/>
      </c>
    </row>
    <row r="90" spans="1:22">
      <c r="A90" s="1">
        <f>A87+1</f>
        <v>56</v>
      </c>
      <c r="B90" s="65" t="s">
        <v>65</v>
      </c>
      <c r="C90" s="65"/>
      <c r="D90" s="65"/>
      <c r="E90" s="65"/>
      <c r="F90" s="65"/>
      <c r="G90" s="65"/>
      <c r="H90" s="65"/>
      <c r="I90" s="65"/>
      <c r="J90" s="65"/>
      <c r="K90" s="65"/>
      <c r="L90" s="65"/>
      <c r="M90" s="64" t="str">
        <f t="shared" ref="M90:S99" ca="1" si="27">IF(M$33="","","-")</f>
        <v>-</v>
      </c>
      <c r="N90" s="64" t="str">
        <f t="shared" si="27"/>
        <v/>
      </c>
      <c r="O90" s="64" t="str">
        <f t="shared" si="27"/>
        <v/>
      </c>
      <c r="P90" s="64" t="str">
        <f t="shared" si="27"/>
        <v/>
      </c>
      <c r="Q90" s="64" t="str">
        <f t="shared" si="27"/>
        <v/>
      </c>
      <c r="R90" s="64" t="str">
        <f t="shared" si="27"/>
        <v/>
      </c>
      <c r="S90" s="64" t="str">
        <f t="shared" si="27"/>
        <v/>
      </c>
      <c r="T90" s="64" t="str">
        <f t="shared" si="26"/>
        <v/>
      </c>
      <c r="U90" s="64" t="str">
        <f t="shared" si="26"/>
        <v/>
      </c>
      <c r="V90" s="64" t="str">
        <f t="shared" si="26"/>
        <v/>
      </c>
    </row>
    <row r="91" spans="1:22">
      <c r="A91" s="1">
        <f t="shared" ref="A91:A105" si="28">A90+1</f>
        <v>57</v>
      </c>
      <c r="B91" s="65" t="s">
        <v>64</v>
      </c>
      <c r="C91" s="65"/>
      <c r="D91" s="65"/>
      <c r="E91" s="65"/>
      <c r="F91" s="65"/>
      <c r="G91" s="65"/>
      <c r="H91" s="65"/>
      <c r="I91" s="65"/>
      <c r="J91" s="65"/>
      <c r="K91" s="65"/>
      <c r="L91" s="65"/>
      <c r="M91" s="64" t="str">
        <f t="shared" ca="1" si="27"/>
        <v>-</v>
      </c>
      <c r="N91" s="64" t="str">
        <f t="shared" si="27"/>
        <v/>
      </c>
      <c r="O91" s="64" t="str">
        <f t="shared" si="27"/>
        <v/>
      </c>
      <c r="P91" s="64" t="str">
        <f t="shared" si="27"/>
        <v/>
      </c>
      <c r="Q91" s="64" t="str">
        <f t="shared" si="27"/>
        <v/>
      </c>
      <c r="R91" s="64" t="str">
        <f t="shared" si="27"/>
        <v/>
      </c>
      <c r="S91" s="64" t="str">
        <f t="shared" si="27"/>
        <v/>
      </c>
      <c r="T91" s="64" t="str">
        <f t="shared" si="26"/>
        <v/>
      </c>
      <c r="U91" s="64" t="str">
        <f t="shared" si="26"/>
        <v/>
      </c>
      <c r="V91" s="64" t="str">
        <f t="shared" si="26"/>
        <v/>
      </c>
    </row>
    <row r="92" spans="1:22">
      <c r="A92" s="1">
        <f t="shared" si="28"/>
        <v>58</v>
      </c>
      <c r="B92" s="65" t="s">
        <v>63</v>
      </c>
      <c r="C92" s="65"/>
      <c r="D92" s="65"/>
      <c r="E92" s="65"/>
      <c r="F92" s="65"/>
      <c r="G92" s="65"/>
      <c r="H92" s="65"/>
      <c r="I92" s="65"/>
      <c r="J92" s="65"/>
      <c r="K92" s="65"/>
      <c r="L92" s="65"/>
      <c r="M92" s="64" t="str">
        <f t="shared" ca="1" si="27"/>
        <v>-</v>
      </c>
      <c r="N92" s="64" t="str">
        <f t="shared" si="27"/>
        <v/>
      </c>
      <c r="O92" s="64" t="str">
        <f t="shared" si="27"/>
        <v/>
      </c>
      <c r="P92" s="64" t="str">
        <f t="shared" si="27"/>
        <v/>
      </c>
      <c r="Q92" s="64" t="str">
        <f t="shared" si="27"/>
        <v/>
      </c>
      <c r="R92" s="64" t="str">
        <f t="shared" si="27"/>
        <v/>
      </c>
      <c r="S92" s="64" t="str">
        <f t="shared" si="27"/>
        <v/>
      </c>
      <c r="T92" s="64" t="str">
        <f t="shared" si="26"/>
        <v/>
      </c>
      <c r="U92" s="64" t="str">
        <f t="shared" si="26"/>
        <v/>
      </c>
      <c r="V92" s="64" t="str">
        <f t="shared" si="26"/>
        <v/>
      </c>
    </row>
    <row r="93" spans="1:22">
      <c r="A93" s="1">
        <f t="shared" si="28"/>
        <v>59</v>
      </c>
      <c r="B93" s="65" t="s">
        <v>62</v>
      </c>
      <c r="C93" s="65"/>
      <c r="D93" s="65"/>
      <c r="E93" s="65"/>
      <c r="F93" s="65"/>
      <c r="G93" s="65"/>
      <c r="H93" s="65"/>
      <c r="I93" s="65"/>
      <c r="J93" s="65"/>
      <c r="K93" s="65"/>
      <c r="L93" s="65"/>
      <c r="M93" s="64" t="str">
        <f t="shared" ca="1" si="27"/>
        <v>-</v>
      </c>
      <c r="N93" s="64" t="str">
        <f t="shared" si="27"/>
        <v/>
      </c>
      <c r="O93" s="64" t="str">
        <f t="shared" si="27"/>
        <v/>
      </c>
      <c r="P93" s="64" t="str">
        <f t="shared" si="27"/>
        <v/>
      </c>
      <c r="Q93" s="64" t="str">
        <f t="shared" si="27"/>
        <v/>
      </c>
      <c r="R93" s="64" t="str">
        <f t="shared" si="27"/>
        <v/>
      </c>
      <c r="S93" s="64" t="str">
        <f t="shared" si="27"/>
        <v/>
      </c>
      <c r="T93" s="64" t="str">
        <f t="shared" si="26"/>
        <v/>
      </c>
      <c r="U93" s="64" t="str">
        <f t="shared" si="26"/>
        <v/>
      </c>
      <c r="V93" s="64" t="str">
        <f t="shared" si="26"/>
        <v/>
      </c>
    </row>
    <row r="94" spans="1:22">
      <c r="A94" s="1">
        <f t="shared" si="28"/>
        <v>60</v>
      </c>
      <c r="B94" s="65" t="s">
        <v>61</v>
      </c>
      <c r="C94" s="65"/>
      <c r="D94" s="65"/>
      <c r="E94" s="65"/>
      <c r="F94" s="65"/>
      <c r="G94" s="65"/>
      <c r="H94" s="65"/>
      <c r="I94" s="65"/>
      <c r="J94" s="65"/>
      <c r="K94" s="65"/>
      <c r="L94" s="65"/>
      <c r="M94" s="64" t="str">
        <f t="shared" ca="1" si="27"/>
        <v>-</v>
      </c>
      <c r="N94" s="64" t="str">
        <f t="shared" si="27"/>
        <v/>
      </c>
      <c r="O94" s="64" t="str">
        <f t="shared" si="27"/>
        <v/>
      </c>
      <c r="P94" s="64" t="str">
        <f t="shared" si="27"/>
        <v/>
      </c>
      <c r="Q94" s="64" t="str">
        <f t="shared" si="27"/>
        <v/>
      </c>
      <c r="R94" s="64" t="str">
        <f t="shared" si="27"/>
        <v/>
      </c>
      <c r="S94" s="64" t="str">
        <f t="shared" si="27"/>
        <v/>
      </c>
      <c r="T94" s="64" t="str">
        <f t="shared" si="26"/>
        <v/>
      </c>
      <c r="U94" s="64" t="str">
        <f t="shared" si="26"/>
        <v/>
      </c>
      <c r="V94" s="64" t="str">
        <f t="shared" si="26"/>
        <v/>
      </c>
    </row>
    <row r="95" spans="1:22">
      <c r="A95" s="1">
        <f t="shared" si="28"/>
        <v>61</v>
      </c>
      <c r="B95" s="65" t="s">
        <v>60</v>
      </c>
      <c r="C95" s="65"/>
      <c r="D95" s="65"/>
      <c r="E95" s="65"/>
      <c r="F95" s="65"/>
      <c r="G95" s="65"/>
      <c r="H95" s="65"/>
      <c r="I95" s="65"/>
      <c r="J95" s="65"/>
      <c r="K95" s="65"/>
      <c r="L95" s="65"/>
      <c r="M95" s="64" t="str">
        <f t="shared" ca="1" si="27"/>
        <v>-</v>
      </c>
      <c r="N95" s="64" t="str">
        <f t="shared" si="27"/>
        <v/>
      </c>
      <c r="O95" s="64" t="str">
        <f t="shared" si="27"/>
        <v/>
      </c>
      <c r="P95" s="64" t="str">
        <f t="shared" si="27"/>
        <v/>
      </c>
      <c r="Q95" s="64" t="str">
        <f t="shared" si="27"/>
        <v/>
      </c>
      <c r="R95" s="64" t="str">
        <f t="shared" si="27"/>
        <v/>
      </c>
      <c r="S95" s="64" t="str">
        <f t="shared" si="27"/>
        <v/>
      </c>
      <c r="T95" s="64" t="str">
        <f t="shared" si="26"/>
        <v/>
      </c>
      <c r="U95" s="64" t="str">
        <f t="shared" si="26"/>
        <v/>
      </c>
      <c r="V95" s="64" t="str">
        <f t="shared" si="26"/>
        <v/>
      </c>
    </row>
    <row r="96" spans="1:22">
      <c r="A96" s="1">
        <f t="shared" si="28"/>
        <v>62</v>
      </c>
      <c r="B96" s="65" t="s">
        <v>59</v>
      </c>
      <c r="C96" s="65"/>
      <c r="D96" s="65"/>
      <c r="E96" s="65"/>
      <c r="F96" s="65"/>
      <c r="G96" s="65"/>
      <c r="H96" s="65"/>
      <c r="I96" s="65"/>
      <c r="J96" s="65"/>
      <c r="K96" s="65"/>
      <c r="L96" s="65"/>
      <c r="M96" s="64" t="str">
        <f t="shared" ca="1" si="27"/>
        <v>-</v>
      </c>
      <c r="N96" s="64" t="str">
        <f t="shared" si="27"/>
        <v/>
      </c>
      <c r="O96" s="64" t="str">
        <f t="shared" si="27"/>
        <v/>
      </c>
      <c r="P96" s="64" t="str">
        <f t="shared" si="27"/>
        <v/>
      </c>
      <c r="Q96" s="64" t="str">
        <f t="shared" si="27"/>
        <v/>
      </c>
      <c r="R96" s="64" t="str">
        <f t="shared" si="27"/>
        <v/>
      </c>
      <c r="S96" s="64" t="str">
        <f t="shared" si="27"/>
        <v/>
      </c>
      <c r="T96" s="64" t="str">
        <f t="shared" si="26"/>
        <v/>
      </c>
      <c r="U96" s="64" t="str">
        <f t="shared" si="26"/>
        <v/>
      </c>
      <c r="V96" s="64" t="str">
        <f t="shared" si="26"/>
        <v/>
      </c>
    </row>
    <row r="97" spans="1:22">
      <c r="A97" s="1">
        <f t="shared" si="28"/>
        <v>63</v>
      </c>
      <c r="B97" s="65" t="s">
        <v>58</v>
      </c>
      <c r="C97" s="65"/>
      <c r="D97" s="65"/>
      <c r="E97" s="65"/>
      <c r="F97" s="65"/>
      <c r="G97" s="65"/>
      <c r="H97" s="65"/>
      <c r="I97" s="65"/>
      <c r="J97" s="65"/>
      <c r="K97" s="65"/>
      <c r="L97" s="65"/>
      <c r="M97" s="64" t="str">
        <f t="shared" ca="1" si="27"/>
        <v>-</v>
      </c>
      <c r="N97" s="64" t="str">
        <f t="shared" si="27"/>
        <v/>
      </c>
      <c r="O97" s="64" t="str">
        <f t="shared" si="27"/>
        <v/>
      </c>
      <c r="P97" s="64" t="str">
        <f t="shared" si="27"/>
        <v/>
      </c>
      <c r="Q97" s="64" t="str">
        <f t="shared" si="27"/>
        <v/>
      </c>
      <c r="R97" s="64" t="str">
        <f t="shared" si="27"/>
        <v/>
      </c>
      <c r="S97" s="64" t="str">
        <f t="shared" si="27"/>
        <v/>
      </c>
      <c r="T97" s="64" t="str">
        <f t="shared" si="26"/>
        <v/>
      </c>
      <c r="U97" s="64" t="str">
        <f t="shared" si="26"/>
        <v/>
      </c>
      <c r="V97" s="64" t="str">
        <f t="shared" si="26"/>
        <v/>
      </c>
    </row>
    <row r="98" spans="1:22">
      <c r="A98" s="1">
        <f t="shared" si="28"/>
        <v>64</v>
      </c>
      <c r="B98" s="65" t="s">
        <v>57</v>
      </c>
      <c r="C98" s="65"/>
      <c r="D98" s="65"/>
      <c r="E98" s="65"/>
      <c r="F98" s="65"/>
      <c r="G98" s="65"/>
      <c r="H98" s="65"/>
      <c r="I98" s="65"/>
      <c r="J98" s="65"/>
      <c r="K98" s="65"/>
      <c r="L98" s="65"/>
      <c r="M98" s="64" t="str">
        <f t="shared" ca="1" si="27"/>
        <v>-</v>
      </c>
      <c r="N98" s="64" t="str">
        <f t="shared" si="27"/>
        <v/>
      </c>
      <c r="O98" s="64" t="str">
        <f t="shared" si="27"/>
        <v/>
      </c>
      <c r="P98" s="64" t="str">
        <f t="shared" si="27"/>
        <v/>
      </c>
      <c r="Q98" s="64" t="str">
        <f t="shared" si="27"/>
        <v/>
      </c>
      <c r="R98" s="64" t="str">
        <f t="shared" si="27"/>
        <v/>
      </c>
      <c r="S98" s="64" t="str">
        <f t="shared" si="27"/>
        <v/>
      </c>
      <c r="T98" s="64" t="str">
        <f t="shared" si="26"/>
        <v/>
      </c>
      <c r="U98" s="64" t="str">
        <f t="shared" si="26"/>
        <v/>
      </c>
      <c r="V98" s="64" t="str">
        <f t="shared" si="26"/>
        <v/>
      </c>
    </row>
    <row r="99" spans="1:22">
      <c r="A99" s="1">
        <f t="shared" si="28"/>
        <v>65</v>
      </c>
      <c r="B99" s="65" t="s">
        <v>56</v>
      </c>
      <c r="C99" s="65"/>
      <c r="D99" s="65"/>
      <c r="E99" s="65"/>
      <c r="F99" s="65"/>
      <c r="G99" s="65"/>
      <c r="H99" s="65"/>
      <c r="I99" s="65"/>
      <c r="J99" s="65"/>
      <c r="K99" s="65"/>
      <c r="L99" s="65"/>
      <c r="M99" s="64" t="str">
        <f t="shared" ca="1" si="27"/>
        <v>-</v>
      </c>
      <c r="N99" s="64" t="str">
        <f t="shared" si="27"/>
        <v/>
      </c>
      <c r="O99" s="64" t="str">
        <f t="shared" si="27"/>
        <v/>
      </c>
      <c r="P99" s="64" t="str">
        <f t="shared" si="27"/>
        <v/>
      </c>
      <c r="Q99" s="64" t="str">
        <f t="shared" si="27"/>
        <v/>
      </c>
      <c r="R99" s="64" t="str">
        <f t="shared" si="27"/>
        <v/>
      </c>
      <c r="S99" s="64" t="str">
        <f t="shared" si="27"/>
        <v/>
      </c>
      <c r="T99" s="64" t="str">
        <f t="shared" si="26"/>
        <v/>
      </c>
      <c r="U99" s="64" t="str">
        <f t="shared" si="26"/>
        <v/>
      </c>
      <c r="V99" s="64" t="str">
        <f t="shared" si="26"/>
        <v/>
      </c>
    </row>
    <row r="100" spans="1:22">
      <c r="A100" s="1">
        <f t="shared" si="28"/>
        <v>66</v>
      </c>
      <c r="B100" s="65" t="s">
        <v>55</v>
      </c>
      <c r="C100" s="65"/>
      <c r="D100" s="65"/>
      <c r="E100" s="65"/>
      <c r="F100" s="65"/>
      <c r="G100" s="65"/>
      <c r="H100" s="65"/>
      <c r="I100" s="65"/>
      <c r="J100" s="65"/>
      <c r="K100" s="65"/>
      <c r="L100" s="65"/>
      <c r="M100" s="64" t="str">
        <f t="shared" ref="M100:S105" ca="1" si="29">IF(M$33="","","-")</f>
        <v>-</v>
      </c>
      <c r="N100" s="64" t="str">
        <f t="shared" si="29"/>
        <v/>
      </c>
      <c r="O100" s="64" t="str">
        <f t="shared" si="29"/>
        <v/>
      </c>
      <c r="P100" s="64" t="str">
        <f t="shared" si="29"/>
        <v/>
      </c>
      <c r="Q100" s="64" t="str">
        <f t="shared" si="29"/>
        <v/>
      </c>
      <c r="R100" s="64" t="str">
        <f t="shared" si="29"/>
        <v/>
      </c>
      <c r="S100" s="64" t="str">
        <f t="shared" si="29"/>
        <v/>
      </c>
      <c r="T100" s="64" t="str">
        <f t="shared" si="26"/>
        <v/>
      </c>
      <c r="U100" s="64" t="str">
        <f t="shared" si="26"/>
        <v/>
      </c>
      <c r="V100" s="64" t="str">
        <f t="shared" si="26"/>
        <v/>
      </c>
    </row>
    <row r="101" spans="1:22">
      <c r="A101" s="1">
        <f t="shared" si="28"/>
        <v>67</v>
      </c>
      <c r="B101" s="65" t="s">
        <v>54</v>
      </c>
      <c r="C101" s="65"/>
      <c r="D101" s="65"/>
      <c r="E101" s="65"/>
      <c r="F101" s="65"/>
      <c r="G101" s="65"/>
      <c r="H101" s="65"/>
      <c r="I101" s="65"/>
      <c r="J101" s="65"/>
      <c r="K101" s="65"/>
      <c r="L101" s="65"/>
      <c r="M101" s="64" t="str">
        <f t="shared" ca="1" si="29"/>
        <v>-</v>
      </c>
      <c r="N101" s="64" t="str">
        <f t="shared" si="29"/>
        <v/>
      </c>
      <c r="O101" s="64" t="str">
        <f t="shared" si="29"/>
        <v/>
      </c>
      <c r="P101" s="64" t="str">
        <f t="shared" si="29"/>
        <v/>
      </c>
      <c r="Q101" s="64" t="str">
        <f t="shared" si="29"/>
        <v/>
      </c>
      <c r="R101" s="64" t="str">
        <f t="shared" si="29"/>
        <v/>
      </c>
      <c r="S101" s="64" t="str">
        <f t="shared" si="29"/>
        <v/>
      </c>
      <c r="T101" s="64" t="str">
        <f t="shared" si="26"/>
        <v/>
      </c>
      <c r="U101" s="64" t="str">
        <f t="shared" si="26"/>
        <v/>
      </c>
      <c r="V101" s="64" t="str">
        <f t="shared" si="26"/>
        <v/>
      </c>
    </row>
    <row r="102" spans="1:22">
      <c r="A102" s="1">
        <f t="shared" si="28"/>
        <v>68</v>
      </c>
      <c r="M102" s="64" t="str">
        <f t="shared" ca="1" si="29"/>
        <v>-</v>
      </c>
      <c r="N102" s="64" t="str">
        <f t="shared" si="29"/>
        <v/>
      </c>
      <c r="O102" s="64" t="str">
        <f t="shared" si="29"/>
        <v/>
      </c>
      <c r="P102" s="64" t="str">
        <f t="shared" si="29"/>
        <v/>
      </c>
      <c r="Q102" s="64" t="str">
        <f t="shared" si="29"/>
        <v/>
      </c>
      <c r="R102" s="64" t="str">
        <f t="shared" si="29"/>
        <v/>
      </c>
      <c r="S102" s="64" t="str">
        <f t="shared" si="29"/>
        <v/>
      </c>
      <c r="T102" s="64" t="str">
        <f t="shared" si="26"/>
        <v/>
      </c>
      <c r="U102" s="64" t="str">
        <f t="shared" si="26"/>
        <v/>
      </c>
      <c r="V102" s="64" t="str">
        <f t="shared" si="26"/>
        <v/>
      </c>
    </row>
    <row r="103" spans="1:22">
      <c r="A103" s="1">
        <f t="shared" si="28"/>
        <v>69</v>
      </c>
      <c r="B103" s="1" t="s">
        <v>53</v>
      </c>
      <c r="M103" s="64" t="str">
        <f t="shared" ca="1" si="29"/>
        <v>-</v>
      </c>
      <c r="N103" s="64" t="str">
        <f t="shared" si="29"/>
        <v/>
      </c>
      <c r="O103" s="64" t="str">
        <f t="shared" si="29"/>
        <v/>
      </c>
      <c r="P103" s="64" t="str">
        <f t="shared" si="29"/>
        <v/>
      </c>
      <c r="Q103" s="64" t="str">
        <f t="shared" si="29"/>
        <v/>
      </c>
      <c r="R103" s="64" t="str">
        <f t="shared" si="29"/>
        <v/>
      </c>
      <c r="S103" s="64" t="str">
        <f t="shared" si="29"/>
        <v/>
      </c>
      <c r="T103" s="64" t="str">
        <f t="shared" si="26"/>
        <v/>
      </c>
      <c r="U103" s="64" t="str">
        <f t="shared" si="26"/>
        <v/>
      </c>
      <c r="V103" s="64" t="str">
        <f t="shared" si="26"/>
        <v/>
      </c>
    </row>
    <row r="104" spans="1:22">
      <c r="A104" s="1">
        <f t="shared" si="28"/>
        <v>70</v>
      </c>
      <c r="B104" s="65" t="s">
        <v>52</v>
      </c>
      <c r="C104" s="65"/>
      <c r="D104" s="65"/>
      <c r="E104" s="65"/>
      <c r="F104" s="65"/>
      <c r="G104" s="65"/>
      <c r="H104" s="65"/>
      <c r="I104" s="65"/>
      <c r="J104" s="65"/>
      <c r="K104" s="65"/>
      <c r="L104" s="65"/>
      <c r="M104" s="64" t="str">
        <f t="shared" ca="1" si="29"/>
        <v>-</v>
      </c>
      <c r="N104" s="64" t="str">
        <f t="shared" si="29"/>
        <v/>
      </c>
      <c r="O104" s="64" t="str">
        <f t="shared" si="29"/>
        <v/>
      </c>
      <c r="P104" s="64" t="str">
        <f t="shared" si="29"/>
        <v/>
      </c>
      <c r="Q104" s="64" t="str">
        <f t="shared" si="29"/>
        <v/>
      </c>
      <c r="R104" s="64" t="str">
        <f t="shared" si="29"/>
        <v/>
      </c>
      <c r="S104" s="64" t="str">
        <f t="shared" si="29"/>
        <v/>
      </c>
      <c r="T104" s="64" t="str">
        <f t="shared" si="26"/>
        <v/>
      </c>
      <c r="U104" s="64" t="str">
        <f t="shared" si="26"/>
        <v/>
      </c>
      <c r="V104" s="64" t="str">
        <f t="shared" si="26"/>
        <v/>
      </c>
    </row>
    <row r="105" spans="1:22">
      <c r="A105" s="1">
        <f t="shared" si="28"/>
        <v>71</v>
      </c>
      <c r="B105" s="65" t="s">
        <v>51</v>
      </c>
      <c r="C105" s="65"/>
      <c r="D105" s="65"/>
      <c r="E105" s="65"/>
      <c r="F105" s="65"/>
      <c r="G105" s="65"/>
      <c r="H105" s="65"/>
      <c r="I105" s="65"/>
      <c r="J105" s="65"/>
      <c r="K105" s="65"/>
      <c r="L105" s="65"/>
      <c r="M105" s="64" t="str">
        <f t="shared" ca="1" si="29"/>
        <v>-</v>
      </c>
      <c r="N105" s="64" t="str">
        <f t="shared" si="29"/>
        <v/>
      </c>
      <c r="O105" s="64" t="str">
        <f t="shared" si="29"/>
        <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c r="B108" s="63" t="s">
        <v>50</v>
      </c>
    </row>
    <row r="109" spans="1:22">
      <c r="B109" s="62"/>
      <c r="D109" s="62"/>
    </row>
    <row r="110" spans="1:22">
      <c r="B110" t="s">
        <v>49</v>
      </c>
      <c r="D110" s="62"/>
    </row>
    <row r="111" spans="1:22">
      <c r="B111" s="1" t="s">
        <v>48</v>
      </c>
      <c r="D111" s="62"/>
    </row>
    <row r="112" spans="1:22">
      <c r="A112" s="26"/>
      <c r="B112" s="26"/>
      <c r="C112" s="26"/>
      <c r="D112" s="26"/>
      <c r="E112" s="26"/>
      <c r="F112" s="61"/>
      <c r="G112" s="26"/>
      <c r="H112" s="26"/>
      <c r="I112" s="26"/>
      <c r="J112" s="26"/>
      <c r="K112" s="26"/>
    </row>
    <row r="113" spans="1:16" ht="18.75">
      <c r="A113" s="26"/>
      <c r="B113" s="60" t="s">
        <v>47</v>
      </c>
      <c r="C113" s="59"/>
      <c r="D113" s="59"/>
      <c r="E113" s="59"/>
      <c r="F113" s="59"/>
      <c r="G113" s="59"/>
      <c r="H113" s="59"/>
      <c r="I113" s="59"/>
      <c r="J113" s="59"/>
      <c r="K113" s="59"/>
      <c r="L113" s="59"/>
      <c r="M113" s="59"/>
      <c r="N113" s="59"/>
      <c r="O113"/>
      <c r="P113"/>
    </row>
    <row r="114" spans="1:16">
      <c r="A114" s="26"/>
      <c r="B114"/>
      <c r="C114"/>
      <c r="D114"/>
      <c r="E114"/>
      <c r="F114"/>
      <c r="G114"/>
      <c r="H114"/>
      <c r="I114"/>
      <c r="J114"/>
      <c r="K114"/>
      <c r="L114"/>
      <c r="M114"/>
      <c r="N114"/>
      <c r="O114"/>
      <c r="P114"/>
    </row>
    <row r="115" spans="1:16">
      <c r="A115" s="26"/>
      <c r="B115" s="58" t="s">
        <v>46</v>
      </c>
      <c r="C115" s="58" t="s">
        <v>45</v>
      </c>
      <c r="D115" s="58" t="s">
        <v>44</v>
      </c>
      <c r="E115" s="58" t="s">
        <v>43</v>
      </c>
      <c r="F115" s="26"/>
      <c r="G115" s="26"/>
      <c r="H115" s="26"/>
      <c r="I115" s="26"/>
      <c r="J115" s="26"/>
      <c r="K115" s="26"/>
      <c r="L115" s="26"/>
      <c r="M115" s="26"/>
      <c r="N115" s="27"/>
      <c r="O115" s="27"/>
      <c r="P115" s="27"/>
    </row>
    <row r="116" spans="1:16">
      <c r="B116" s="28" t="s">
        <v>15</v>
      </c>
      <c r="C116" s="28" t="s">
        <v>35</v>
      </c>
      <c r="D116" s="57" t="s">
        <v>42</v>
      </c>
      <c r="E116" s="28" t="s">
        <v>41</v>
      </c>
      <c r="F116" s="26"/>
      <c r="G116" s="26"/>
      <c r="H116" s="26"/>
      <c r="I116" s="26"/>
      <c r="J116" s="26"/>
      <c r="K116" s="26"/>
      <c r="L116" s="26"/>
      <c r="M116" s="26"/>
      <c r="N116" s="27"/>
      <c r="O116" s="27"/>
      <c r="P116" s="27"/>
    </row>
    <row r="117" spans="1:16">
      <c r="B117" s="28" t="s">
        <v>14</v>
      </c>
      <c r="C117" s="28" t="s">
        <v>35</v>
      </c>
      <c r="D117" s="57" t="s">
        <v>42</v>
      </c>
      <c r="E117" s="28" t="s">
        <v>40</v>
      </c>
      <c r="F117" s="26"/>
      <c r="G117" s="26"/>
      <c r="H117" s="26"/>
      <c r="I117" s="26"/>
      <c r="J117" s="26"/>
      <c r="K117" s="26"/>
      <c r="L117" s="26"/>
      <c r="M117" s="26"/>
      <c r="N117" s="27"/>
      <c r="O117" s="27"/>
      <c r="P117" s="27"/>
    </row>
    <row r="118" spans="1:16">
      <c r="B118" s="28" t="s">
        <v>13</v>
      </c>
      <c r="C118" s="28" t="s">
        <v>35</v>
      </c>
      <c r="D118" s="57" t="s">
        <v>42</v>
      </c>
      <c r="E118" s="28" t="s">
        <v>39</v>
      </c>
      <c r="F118" s="26"/>
      <c r="G118" s="26"/>
      <c r="H118" s="26"/>
      <c r="I118" s="26"/>
      <c r="J118" s="26"/>
      <c r="K118" s="26"/>
      <c r="L118" s="26"/>
      <c r="M118" s="26"/>
      <c r="N118" s="27"/>
      <c r="O118" s="27"/>
      <c r="P118" s="27"/>
    </row>
    <row r="119" spans="1:16">
      <c r="B119" s="28" t="s">
        <v>12</v>
      </c>
      <c r="C119" s="28">
        <v>283</v>
      </c>
      <c r="D119" s="57" t="s">
        <v>42</v>
      </c>
      <c r="E119" s="28" t="s">
        <v>38</v>
      </c>
      <c r="F119" s="26"/>
      <c r="G119" s="26"/>
      <c r="H119" s="26"/>
      <c r="I119" s="26"/>
      <c r="J119" s="26"/>
      <c r="K119" s="26"/>
      <c r="L119" s="26"/>
      <c r="M119" s="26"/>
      <c r="N119" s="27"/>
      <c r="O119" s="27"/>
      <c r="P119" s="27"/>
    </row>
    <row r="120" spans="1:16">
      <c r="B120" s="53" t="s">
        <v>37</v>
      </c>
      <c r="C120" s="56">
        <v>1</v>
      </c>
      <c r="D120" s="57" t="s">
        <v>42</v>
      </c>
      <c r="E120" s="53" t="s">
        <v>36</v>
      </c>
      <c r="F120" s="26"/>
      <c r="K120" s="26"/>
      <c r="L120" s="26"/>
      <c r="M120" s="26"/>
      <c r="N120" s="27"/>
      <c r="O120" s="27"/>
      <c r="P120" s="27"/>
    </row>
    <row r="121" spans="1:16">
      <c r="B121" s="28" t="s">
        <v>9</v>
      </c>
      <c r="C121" s="55" t="s">
        <v>35</v>
      </c>
      <c r="D121" s="57" t="s">
        <v>42</v>
      </c>
      <c r="E121" s="53"/>
      <c r="F121"/>
      <c r="G121"/>
      <c r="H121"/>
      <c r="I121"/>
      <c r="J121"/>
      <c r="K121"/>
      <c r="L121"/>
      <c r="M121"/>
      <c r="N121"/>
      <c r="O121"/>
      <c r="P121"/>
    </row>
    <row r="122" spans="1:16">
      <c r="B122" s="53" t="s">
        <v>34</v>
      </c>
      <c r="C122" s="54">
        <v>3.7999999999999999E-2</v>
      </c>
      <c r="D122" s="57" t="s">
        <v>42</v>
      </c>
      <c r="E122" s="53" t="s">
        <v>33</v>
      </c>
      <c r="F122"/>
      <c r="G122"/>
      <c r="H122"/>
      <c r="I122"/>
      <c r="J122"/>
      <c r="K122"/>
      <c r="L122"/>
      <c r="M122"/>
      <c r="N122"/>
      <c r="O122"/>
      <c r="P122"/>
    </row>
    <row r="123" spans="1:16" ht="13.9" customHeight="1">
      <c r="B123" s="28" t="s">
        <v>32</v>
      </c>
      <c r="C123" s="28">
        <v>16</v>
      </c>
      <c r="D123" s="57" t="s">
        <v>42</v>
      </c>
      <c r="E123" s="53" t="s">
        <v>31</v>
      </c>
      <c r="F123"/>
      <c r="G123"/>
      <c r="H123"/>
      <c r="I123"/>
      <c r="J123"/>
      <c r="K123"/>
      <c r="L123"/>
      <c r="M123"/>
      <c r="N123"/>
      <c r="O123"/>
      <c r="P123"/>
    </row>
    <row r="124" spans="1:16">
      <c r="D124" s="28"/>
      <c r="E124"/>
      <c r="F124"/>
      <c r="G124"/>
      <c r="H124"/>
      <c r="I124"/>
      <c r="J124"/>
      <c r="K124"/>
      <c r="L124"/>
      <c r="M124"/>
      <c r="N124"/>
      <c r="O124"/>
      <c r="P124"/>
    </row>
    <row r="125" spans="1:16">
      <c r="B125"/>
      <c r="C125"/>
      <c r="D125"/>
      <c r="E125"/>
      <c r="F125"/>
      <c r="G125"/>
      <c r="H125"/>
      <c r="I125"/>
      <c r="J125"/>
      <c r="K125"/>
      <c r="L125"/>
      <c r="M125"/>
      <c r="N125"/>
      <c r="O125"/>
      <c r="P125"/>
    </row>
    <row r="126" spans="1:16">
      <c r="B126" s="2" t="s">
        <v>30</v>
      </c>
      <c r="F126" s="26"/>
      <c r="G126" s="26"/>
      <c r="H126" s="26"/>
      <c r="I126" s="26"/>
      <c r="J126" s="26"/>
      <c r="K126" s="26"/>
      <c r="L126" s="26"/>
      <c r="M126" s="26"/>
      <c r="N126" s="27"/>
      <c r="O126" s="27"/>
      <c r="P126" s="27"/>
    </row>
    <row r="127" spans="1:16">
      <c r="B127" s="21" t="s">
        <v>29</v>
      </c>
      <c r="C127" s="52" t="s">
        <v>28</v>
      </c>
      <c r="D127" s="52"/>
      <c r="E127" s="51"/>
      <c r="F127" s="19"/>
      <c r="G127" s="19"/>
      <c r="H127" s="19"/>
      <c r="I127" s="19"/>
      <c r="J127" s="19"/>
      <c r="K127" s="19"/>
      <c r="L127" s="26"/>
      <c r="M127" s="26"/>
      <c r="N127" s="27"/>
      <c r="O127" s="27"/>
      <c r="P127" s="27"/>
    </row>
    <row r="128" spans="1:16">
      <c r="B128" s="19" t="s">
        <v>27</v>
      </c>
      <c r="C128" s="50">
        <v>8.4499999999999993</v>
      </c>
      <c r="D128" s="50"/>
      <c r="E128" s="51"/>
      <c r="F128" s="19"/>
      <c r="G128" s="19"/>
      <c r="H128" s="19"/>
      <c r="I128" s="19"/>
      <c r="J128" s="19"/>
      <c r="K128" s="19"/>
      <c r="L128" s="26"/>
      <c r="M128" s="26"/>
      <c r="N128" s="27"/>
      <c r="O128" s="27"/>
      <c r="P128" s="27"/>
    </row>
    <row r="129" spans="2:16">
      <c r="B129" s="19" t="s">
        <v>26</v>
      </c>
      <c r="C129" s="50">
        <v>3</v>
      </c>
      <c r="D129" s="50"/>
      <c r="E129" s="49"/>
      <c r="F129" s="19"/>
      <c r="G129" s="19"/>
      <c r="H129" s="19"/>
      <c r="I129" s="19"/>
      <c r="J129" s="19"/>
      <c r="K129" s="19"/>
      <c r="L129" s="26"/>
      <c r="M129" s="26"/>
      <c r="N129" s="27"/>
      <c r="O129" s="27"/>
      <c r="P129" s="27"/>
    </row>
    <row r="130" spans="2:16">
      <c r="B130" s="19"/>
      <c r="C130" s="48"/>
      <c r="D130" s="48"/>
      <c r="E130" s="47"/>
      <c r="F130" s="19"/>
      <c r="G130" s="19"/>
      <c r="H130" s="19"/>
      <c r="I130" s="19"/>
      <c r="J130" s="19"/>
      <c r="K130" s="19"/>
      <c r="L130" s="26"/>
      <c r="M130" s="26"/>
      <c r="N130" s="27"/>
      <c r="O130" s="27"/>
      <c r="P130" s="27"/>
    </row>
    <row r="131" spans="2:16">
      <c r="B131" s="21" t="s">
        <v>22</v>
      </c>
      <c r="C131" s="46" t="s">
        <v>25</v>
      </c>
      <c r="D131" s="48"/>
      <c r="E131" s="47"/>
      <c r="F131" s="19"/>
      <c r="G131" s="19"/>
      <c r="H131" s="19"/>
      <c r="I131" s="19"/>
      <c r="J131" s="19"/>
      <c r="K131" s="19"/>
      <c r="L131" s="26"/>
      <c r="M131" s="26"/>
      <c r="N131" s="27"/>
      <c r="O131" s="27"/>
      <c r="P131" s="27"/>
    </row>
    <row r="132" spans="2:16">
      <c r="B132" s="19" t="s">
        <v>24</v>
      </c>
      <c r="C132" s="48">
        <v>3.11</v>
      </c>
      <c r="D132" s="48"/>
      <c r="E132" s="47"/>
      <c r="F132" s="19"/>
      <c r="G132" s="19"/>
      <c r="H132" s="19"/>
      <c r="I132" s="19"/>
      <c r="J132" s="19"/>
      <c r="K132" s="19"/>
      <c r="L132" s="26"/>
      <c r="M132" s="26"/>
      <c r="N132" s="27"/>
      <c r="O132" s="27"/>
      <c r="P132" s="27"/>
    </row>
    <row r="133" spans="2:16">
      <c r="B133" s="16" t="s">
        <v>23</v>
      </c>
      <c r="C133" s="48">
        <v>3.01</v>
      </c>
      <c r="D133" s="48"/>
      <c r="E133" s="47"/>
      <c r="F133" s="19"/>
      <c r="G133" s="19"/>
      <c r="H133" s="19"/>
      <c r="I133" s="19"/>
      <c r="J133" s="19"/>
      <c r="K133" s="19"/>
      <c r="L133" s="26"/>
      <c r="M133" s="26"/>
      <c r="N133" s="27"/>
      <c r="O133" s="27"/>
      <c r="P133" s="27"/>
    </row>
    <row r="134" spans="2:16">
      <c r="B134" s="17" t="s">
        <v>4</v>
      </c>
      <c r="C134" s="48">
        <v>2.73</v>
      </c>
      <c r="D134" s="48"/>
      <c r="E134" s="47"/>
      <c r="F134" s="19"/>
      <c r="G134" s="19"/>
      <c r="H134" s="19"/>
      <c r="I134" s="19"/>
      <c r="J134" s="19"/>
      <c r="K134" s="19"/>
      <c r="L134" s="26"/>
      <c r="M134" s="26"/>
      <c r="N134" s="27"/>
      <c r="O134" s="27"/>
      <c r="P134" s="27"/>
    </row>
    <row r="135" spans="2:16">
      <c r="B135" s="17" t="s">
        <v>3</v>
      </c>
      <c r="C135" s="48">
        <v>2.13</v>
      </c>
      <c r="D135" s="48"/>
      <c r="E135" s="47"/>
      <c r="F135" s="19"/>
      <c r="G135" s="19"/>
      <c r="H135" s="19"/>
      <c r="I135" s="19"/>
      <c r="J135" s="19"/>
      <c r="K135" s="19"/>
      <c r="L135" s="26"/>
      <c r="M135" s="26"/>
      <c r="N135" s="27"/>
      <c r="O135" s="27"/>
      <c r="P135" s="27"/>
    </row>
    <row r="136" spans="2:16">
      <c r="B136" s="17" t="s">
        <v>19</v>
      </c>
      <c r="C136" s="48">
        <v>2.84</v>
      </c>
      <c r="D136" s="48"/>
      <c r="E136" s="47"/>
      <c r="F136" s="19"/>
      <c r="G136" s="19"/>
      <c r="H136" s="19"/>
      <c r="I136" s="19"/>
      <c r="J136" s="19"/>
      <c r="K136" s="19"/>
      <c r="L136" s="26"/>
      <c r="M136" s="26"/>
      <c r="N136" s="27"/>
      <c r="O136" s="27"/>
      <c r="P136" s="27"/>
    </row>
    <row r="137" spans="2:16">
      <c r="B137" s="17" t="s">
        <v>2</v>
      </c>
      <c r="C137" s="48">
        <v>3.11</v>
      </c>
      <c r="D137" s="48"/>
      <c r="E137" s="47"/>
      <c r="F137" s="19"/>
      <c r="G137" s="19"/>
      <c r="H137" s="19"/>
      <c r="I137" s="19"/>
      <c r="J137" s="19"/>
      <c r="K137" s="19"/>
      <c r="L137" s="26"/>
      <c r="M137" s="26"/>
      <c r="N137" s="27"/>
      <c r="O137" s="27"/>
      <c r="P137" s="27"/>
    </row>
    <row r="138" spans="2:16">
      <c r="B138" s="16" t="s">
        <v>1</v>
      </c>
      <c r="C138" s="48">
        <v>3.01</v>
      </c>
      <c r="D138" s="48"/>
      <c r="E138" s="47"/>
      <c r="F138" s="19"/>
      <c r="G138" s="19"/>
      <c r="H138" s="19"/>
      <c r="I138" s="19"/>
      <c r="J138" s="19"/>
      <c r="K138" s="19"/>
      <c r="L138" s="26"/>
      <c r="M138" s="26"/>
      <c r="N138" s="27"/>
      <c r="O138" s="27"/>
      <c r="P138" s="27"/>
    </row>
    <row r="139" spans="2:16">
      <c r="B139" s="16"/>
      <c r="C139" s="48"/>
      <c r="D139" s="48"/>
      <c r="E139" s="47"/>
      <c r="F139" s="19"/>
      <c r="G139" s="19"/>
      <c r="H139" s="19"/>
      <c r="I139" s="19"/>
      <c r="J139" s="19"/>
      <c r="K139" s="19"/>
      <c r="L139" s="26"/>
      <c r="M139" s="26"/>
      <c r="N139" s="27"/>
      <c r="O139" s="27"/>
      <c r="P139" s="27"/>
    </row>
    <row r="140" spans="2:16" ht="14.65" customHeight="1">
      <c r="B140" s="21" t="s">
        <v>22</v>
      </c>
      <c r="C140" s="46" t="s">
        <v>21</v>
      </c>
      <c r="D140" s="45" t="s">
        <v>20</v>
      </c>
      <c r="E140" s="17"/>
      <c r="F140" s="19"/>
      <c r="G140" s="19"/>
      <c r="H140" s="19"/>
      <c r="I140" s="19"/>
      <c r="J140" s="19"/>
      <c r="K140" s="19"/>
      <c r="L140" s="26"/>
      <c r="M140" s="26"/>
      <c r="N140" s="27"/>
      <c r="O140" s="27"/>
      <c r="P140" s="27"/>
    </row>
    <row r="141" spans="2:16" ht="16.149999999999999" customHeight="1">
      <c r="B141" s="19" t="s">
        <v>6</v>
      </c>
      <c r="C141" s="42">
        <v>3.93</v>
      </c>
      <c r="D141" s="42">
        <v>4.3</v>
      </c>
      <c r="E141" s="44"/>
      <c r="F141" s="43"/>
      <c r="G141" s="19"/>
      <c r="H141" s="19"/>
      <c r="I141" s="19"/>
      <c r="J141" s="19"/>
      <c r="K141" s="19"/>
      <c r="L141" s="26"/>
      <c r="M141" s="26"/>
      <c r="N141" s="27"/>
      <c r="O141" s="27"/>
      <c r="P141" s="27"/>
    </row>
    <row r="142" spans="2:16">
      <c r="B142" s="16" t="s">
        <v>5</v>
      </c>
      <c r="C142" s="42">
        <v>3.8</v>
      </c>
      <c r="D142" s="42">
        <v>4.3</v>
      </c>
      <c r="E142" s="41"/>
      <c r="F142" s="19"/>
      <c r="G142" s="19"/>
      <c r="H142" s="19"/>
      <c r="I142" s="19"/>
      <c r="J142" s="19"/>
      <c r="K142" s="19"/>
      <c r="L142" s="26"/>
      <c r="M142" s="26"/>
      <c r="N142" s="27"/>
      <c r="O142" s="27"/>
      <c r="P142" s="27"/>
    </row>
    <row r="143" spans="2:16">
      <c r="B143" s="17" t="s">
        <v>4</v>
      </c>
      <c r="C143" s="40">
        <v>3.45</v>
      </c>
      <c r="D143" s="40">
        <v>4.3</v>
      </c>
      <c r="E143" s="39"/>
      <c r="F143" s="12"/>
      <c r="G143" s="19"/>
      <c r="H143" s="19"/>
      <c r="I143" s="19"/>
      <c r="J143" s="19"/>
      <c r="K143" s="19"/>
      <c r="L143" s="26"/>
      <c r="M143" s="26"/>
      <c r="N143" s="27"/>
      <c r="O143" s="27"/>
      <c r="P143" s="27"/>
    </row>
    <row r="144" spans="2:16">
      <c r="B144" s="17" t="s">
        <v>3</v>
      </c>
      <c r="C144" s="33">
        <v>2.68</v>
      </c>
      <c r="D144" s="33">
        <v>3.7</v>
      </c>
      <c r="E144" s="38"/>
      <c r="F144" s="37"/>
      <c r="G144" s="696"/>
      <c r="H144" s="696"/>
      <c r="I144" s="34"/>
      <c r="J144" s="35"/>
      <c r="K144" s="34"/>
      <c r="L144" s="26"/>
      <c r="M144" s="26"/>
      <c r="N144" s="27"/>
      <c r="O144" s="27"/>
      <c r="P144" s="27"/>
    </row>
    <row r="145" spans="2:20">
      <c r="B145" s="17" t="s">
        <v>19</v>
      </c>
      <c r="C145" s="33">
        <v>3.48</v>
      </c>
      <c r="D145" s="33">
        <v>3.8</v>
      </c>
      <c r="E145" s="31"/>
      <c r="F145" s="32"/>
      <c r="G145" s="31"/>
      <c r="H145" s="32"/>
      <c r="I145" s="32"/>
      <c r="J145" s="31"/>
      <c r="K145" s="31"/>
      <c r="L145" s="26"/>
      <c r="M145" s="26"/>
      <c r="N145" s="27"/>
      <c r="O145" s="27"/>
      <c r="P145" s="27"/>
    </row>
    <row r="146" spans="2:20">
      <c r="B146" s="17" t="s">
        <v>2</v>
      </c>
      <c r="C146" s="33">
        <v>3.93</v>
      </c>
      <c r="D146" s="33">
        <v>6.5</v>
      </c>
      <c r="E146" s="31"/>
      <c r="F146" s="32"/>
      <c r="G146" s="31"/>
      <c r="H146" s="32"/>
      <c r="I146" s="32"/>
      <c r="J146" s="31"/>
      <c r="K146" s="31"/>
      <c r="L146" s="26"/>
      <c r="M146" s="26"/>
      <c r="N146" s="27"/>
      <c r="O146" s="27"/>
      <c r="P146" s="27"/>
    </row>
    <row r="147" spans="2:20">
      <c r="B147" s="16" t="s">
        <v>1</v>
      </c>
      <c r="C147" s="33">
        <v>3.36</v>
      </c>
      <c r="D147" s="33">
        <v>6.2</v>
      </c>
      <c r="E147" s="31"/>
      <c r="F147" s="32"/>
      <c r="G147" s="31"/>
      <c r="H147" s="32"/>
      <c r="I147" s="32"/>
      <c r="J147" s="31"/>
      <c r="K147" s="31"/>
      <c r="L147" s="26"/>
      <c r="M147" s="26"/>
      <c r="N147" s="27"/>
      <c r="O147" s="27"/>
      <c r="P147" s="27"/>
    </row>
    <row r="148" spans="2:20">
      <c r="B148" s="2" t="s">
        <v>9</v>
      </c>
      <c r="C148" s="30">
        <v>152</v>
      </c>
      <c r="D148" s="29">
        <v>405</v>
      </c>
      <c r="E148" s="28"/>
      <c r="F148" s="26"/>
      <c r="G148" s="26"/>
      <c r="H148" s="26"/>
      <c r="I148" s="26"/>
      <c r="J148" s="26"/>
      <c r="K148" s="26"/>
      <c r="L148" s="26"/>
      <c r="M148" s="26"/>
      <c r="N148" s="27"/>
      <c r="O148" s="27"/>
      <c r="P148" s="27"/>
    </row>
    <row r="149" spans="2:20">
      <c r="B149"/>
      <c r="C149"/>
      <c r="D149"/>
      <c r="E149"/>
      <c r="F149"/>
      <c r="G149"/>
      <c r="H149"/>
      <c r="I149"/>
      <c r="J149"/>
      <c r="K149"/>
      <c r="L149"/>
      <c r="M149"/>
      <c r="N149"/>
      <c r="O149"/>
      <c r="P149"/>
    </row>
    <row r="150" spans="2:20">
      <c r="B150"/>
      <c r="C150"/>
      <c r="D150"/>
      <c r="E150"/>
      <c r="F150"/>
      <c r="G150"/>
      <c r="H150"/>
      <c r="I150"/>
      <c r="J150"/>
      <c r="K150"/>
      <c r="L150"/>
      <c r="M150"/>
      <c r="N150"/>
      <c r="O150"/>
      <c r="P150"/>
    </row>
    <row r="151" spans="2:20">
      <c r="B151" s="21" t="s">
        <v>18</v>
      </c>
      <c r="C151" s="22"/>
      <c r="D151" s="22"/>
      <c r="E151" s="22"/>
      <c r="F151" s="22"/>
      <c r="G151" s="19"/>
      <c r="H151" s="19"/>
      <c r="I151" s="19"/>
      <c r="J151" s="19"/>
      <c r="K151" s="19"/>
      <c r="L151" s="19"/>
      <c r="M151" s="26"/>
      <c r="N151" s="26"/>
      <c r="T151" s="26"/>
    </row>
    <row r="152" spans="2:20" ht="26.25">
      <c r="B152" s="21" t="s">
        <v>2006</v>
      </c>
      <c r="C152" s="20" t="s">
        <v>15</v>
      </c>
      <c r="D152" s="20" t="s">
        <v>14</v>
      </c>
      <c r="E152" s="20" t="s">
        <v>13</v>
      </c>
      <c r="F152" s="20" t="s">
        <v>12</v>
      </c>
      <c r="G152" s="20" t="s">
        <v>11</v>
      </c>
      <c r="H152" s="20" t="s">
        <v>10</v>
      </c>
      <c r="I152" s="20" t="s">
        <v>2007</v>
      </c>
      <c r="J152" s="20" t="s">
        <v>9</v>
      </c>
      <c r="K152" s="20" t="s">
        <v>8</v>
      </c>
      <c r="L152" s="20" t="s">
        <v>7</v>
      </c>
      <c r="M152" s="25"/>
      <c r="N152" s="25"/>
    </row>
    <row r="153" spans="2:20">
      <c r="B153" s="19" t="s">
        <v>6</v>
      </c>
      <c r="C153" s="18">
        <v>8.4499999999999993</v>
      </c>
      <c r="D153" s="14">
        <f>C132</f>
        <v>3.11</v>
      </c>
      <c r="E153" s="13">
        <f>C141</f>
        <v>3.93</v>
      </c>
      <c r="F153" s="12">
        <f t="shared" ref="F153:F158" si="30">$C$119</f>
        <v>283</v>
      </c>
      <c r="G153" s="11">
        <f t="shared" ref="G153:G158" si="31">C153*((1/D153)-(1/E153))*F153</f>
        <v>160.43682449293505</v>
      </c>
      <c r="H153" s="11">
        <f t="shared" ref="H153:H158" si="32">G153*$C$122/F153</f>
        <v>2.1542753818839334E-2</v>
      </c>
      <c r="I153" s="11">
        <f t="shared" ref="I153:I158" si="33">G153/(C153*(1/D153)*F153)</f>
        <v>0.20865139949109418</v>
      </c>
      <c r="J153" s="10">
        <f t="shared" ref="J153:J158" si="34">$C$148</f>
        <v>152</v>
      </c>
      <c r="K153" s="9">
        <f t="shared" ref="K153:K158" si="35">J153/G153</f>
        <v>0.94741341634253939</v>
      </c>
      <c r="L153" s="8">
        <f t="shared" ref="L153:L158" si="36">1/COUNT($C$152:$C$158)</f>
        <v>0.16666666666666666</v>
      </c>
      <c r="M153" s="25"/>
      <c r="N153" s="25"/>
    </row>
    <row r="154" spans="2:20">
      <c r="B154" s="16" t="s">
        <v>5</v>
      </c>
      <c r="C154" s="15">
        <v>3</v>
      </c>
      <c r="D154" s="14">
        <f>C133</f>
        <v>3.01</v>
      </c>
      <c r="E154" s="13">
        <f>C142</f>
        <v>3.8</v>
      </c>
      <c r="F154" s="12">
        <f t="shared" si="30"/>
        <v>283</v>
      </c>
      <c r="G154" s="11">
        <f t="shared" si="31"/>
        <v>58.638748032872904</v>
      </c>
      <c r="H154" s="11">
        <f t="shared" si="32"/>
        <v>7.8737541528239221E-3</v>
      </c>
      <c r="I154" s="11">
        <f t="shared" si="33"/>
        <v>0.20789473684210533</v>
      </c>
      <c r="J154" s="10">
        <f t="shared" si="34"/>
        <v>152</v>
      </c>
      <c r="K154" s="9">
        <f t="shared" si="35"/>
        <v>2.592142654798645</v>
      </c>
      <c r="L154" s="8">
        <f t="shared" si="36"/>
        <v>0.16666666666666666</v>
      </c>
      <c r="M154" s="25"/>
      <c r="N154" s="25"/>
    </row>
    <row r="155" spans="2:20">
      <c r="B155" s="17" t="s">
        <v>4</v>
      </c>
      <c r="C155" s="15">
        <v>3</v>
      </c>
      <c r="D155" s="14">
        <f>C134</f>
        <v>2.73</v>
      </c>
      <c r="E155" s="13">
        <f>C143</f>
        <v>3.45</v>
      </c>
      <c r="F155" s="12">
        <f t="shared" si="30"/>
        <v>283</v>
      </c>
      <c r="G155" s="11">
        <f t="shared" si="31"/>
        <v>64.902054467271824</v>
      </c>
      <c r="H155" s="11">
        <f t="shared" si="32"/>
        <v>8.7147634973721872E-3</v>
      </c>
      <c r="I155" s="11">
        <f t="shared" si="33"/>
        <v>0.20869565217391295</v>
      </c>
      <c r="J155" s="10">
        <f t="shared" si="34"/>
        <v>152</v>
      </c>
      <c r="K155" s="9">
        <f t="shared" si="35"/>
        <v>2.341990577149589</v>
      </c>
      <c r="L155" s="8">
        <f t="shared" si="36"/>
        <v>0.16666666666666666</v>
      </c>
      <c r="M155" s="25"/>
      <c r="N155" s="25"/>
    </row>
    <row r="156" spans="2:20">
      <c r="B156" s="17" t="s">
        <v>3</v>
      </c>
      <c r="C156" s="15">
        <v>3</v>
      </c>
      <c r="D156" s="14">
        <f>C135</f>
        <v>2.13</v>
      </c>
      <c r="E156" s="13">
        <f>C144</f>
        <v>2.68</v>
      </c>
      <c r="F156" s="12">
        <f t="shared" si="30"/>
        <v>283</v>
      </c>
      <c r="G156" s="11">
        <f t="shared" si="31"/>
        <v>81.800504519655277</v>
      </c>
      <c r="H156" s="11">
        <f t="shared" si="32"/>
        <v>1.0983813327727562E-2</v>
      </c>
      <c r="I156" s="11">
        <f t="shared" si="33"/>
        <v>0.20522388059701502</v>
      </c>
      <c r="J156" s="10">
        <f t="shared" si="34"/>
        <v>152</v>
      </c>
      <c r="K156" s="9">
        <f t="shared" si="35"/>
        <v>1.8581792483135231</v>
      </c>
      <c r="L156" s="8">
        <f t="shared" si="36"/>
        <v>0.16666666666666666</v>
      </c>
      <c r="M156" s="25"/>
      <c r="N156" s="25"/>
    </row>
    <row r="157" spans="2:20">
      <c r="B157" s="17" t="s">
        <v>2</v>
      </c>
      <c r="C157" s="15">
        <v>8.4499999999999993</v>
      </c>
      <c r="D157" s="14">
        <f>C137</f>
        <v>3.11</v>
      </c>
      <c r="E157" s="13">
        <f>C146</f>
        <v>3.93</v>
      </c>
      <c r="F157" s="12">
        <f t="shared" si="30"/>
        <v>283</v>
      </c>
      <c r="G157" s="11">
        <f t="shared" si="31"/>
        <v>160.43682449293505</v>
      </c>
      <c r="H157" s="11">
        <f t="shared" si="32"/>
        <v>2.1542753818839334E-2</v>
      </c>
      <c r="I157" s="11">
        <f t="shared" si="33"/>
        <v>0.20865139949109418</v>
      </c>
      <c r="J157" s="10">
        <f t="shared" si="34"/>
        <v>152</v>
      </c>
      <c r="K157" s="9">
        <f t="shared" si="35"/>
        <v>0.94741341634253939</v>
      </c>
      <c r="L157" s="8">
        <f t="shared" si="36"/>
        <v>0.16666666666666666</v>
      </c>
      <c r="M157" s="24"/>
      <c r="N157" s="24"/>
    </row>
    <row r="158" spans="2:20">
      <c r="B158" s="16" t="s">
        <v>1</v>
      </c>
      <c r="C158" s="15">
        <v>3</v>
      </c>
      <c r="D158" s="14">
        <f>C138</f>
        <v>3.01</v>
      </c>
      <c r="E158" s="13">
        <f>C147</f>
        <v>3.36</v>
      </c>
      <c r="F158" s="12">
        <f t="shared" si="30"/>
        <v>283</v>
      </c>
      <c r="G158" s="11">
        <f t="shared" si="31"/>
        <v>29.381229235880411</v>
      </c>
      <c r="H158" s="11">
        <f t="shared" si="32"/>
        <v>3.9451827242524933E-3</v>
      </c>
      <c r="I158" s="11">
        <f t="shared" si="33"/>
        <v>0.1041666666666667</v>
      </c>
      <c r="J158" s="10">
        <f t="shared" si="34"/>
        <v>152</v>
      </c>
      <c r="K158" s="9">
        <f t="shared" si="35"/>
        <v>5.1733710247349798</v>
      </c>
      <c r="L158" s="8">
        <f t="shared" si="36"/>
        <v>0.16666666666666666</v>
      </c>
      <c r="M158" s="24"/>
      <c r="N158" s="24"/>
    </row>
    <row r="159" spans="2:20">
      <c r="B159" s="7" t="s">
        <v>0</v>
      </c>
      <c r="C159" s="7"/>
      <c r="D159" s="7"/>
      <c r="E159" s="7"/>
      <c r="F159" s="7"/>
      <c r="G159" s="6">
        <f>SUMPRODUCT(G152:G158,$L$152:$L$158)</f>
        <v>92.599364206925088</v>
      </c>
      <c r="H159" s="5">
        <f>SUMPRODUCT(H152:H158,$L$152:$L$158)</f>
        <v>1.2433836889975805E-2</v>
      </c>
      <c r="I159" s="5">
        <f>SUMPRODUCT(I152:I158,$L$152:$L$158)</f>
        <v>0.19054728921031469</v>
      </c>
      <c r="J159" s="4">
        <f>SUMPRODUCT(J152:J158,$L$152:$L$158)</f>
        <v>152</v>
      </c>
      <c r="K159" s="3">
        <f>SUMPRODUCT(K152:K158,$L$152:$L$158)</f>
        <v>2.3100850562803026</v>
      </c>
      <c r="L159" s="2"/>
      <c r="M159" s="23"/>
      <c r="N159" s="23"/>
    </row>
    <row r="160" spans="2:20">
      <c r="B160" s="2"/>
      <c r="C160" s="2"/>
      <c r="D160" s="2"/>
      <c r="E160" s="2"/>
      <c r="F160" s="2"/>
      <c r="G160" s="2"/>
      <c r="H160" s="23"/>
      <c r="I160" s="23"/>
      <c r="J160" s="23"/>
    </row>
    <row r="161" spans="2:12">
      <c r="B161" s="21" t="s">
        <v>17</v>
      </c>
      <c r="C161" s="22"/>
      <c r="D161" s="22"/>
      <c r="E161" s="22"/>
      <c r="F161" s="22"/>
      <c r="G161" s="19"/>
      <c r="H161" s="19"/>
      <c r="I161" s="19"/>
      <c r="J161" s="19"/>
      <c r="K161" s="19"/>
      <c r="L161" s="19"/>
    </row>
    <row r="162" spans="2:12" ht="26.25">
      <c r="B162" s="21" t="s">
        <v>2006</v>
      </c>
      <c r="C162" s="20" t="s">
        <v>15</v>
      </c>
      <c r="D162" s="20" t="s">
        <v>14</v>
      </c>
      <c r="E162" s="20" t="s">
        <v>13</v>
      </c>
      <c r="F162" s="20" t="s">
        <v>12</v>
      </c>
      <c r="G162" s="20" t="s">
        <v>11</v>
      </c>
      <c r="H162" s="20" t="s">
        <v>10</v>
      </c>
      <c r="I162" s="20" t="s">
        <v>2007</v>
      </c>
      <c r="J162" s="20" t="s">
        <v>9</v>
      </c>
      <c r="K162" s="20" t="s">
        <v>8</v>
      </c>
      <c r="L162" s="20" t="s">
        <v>7</v>
      </c>
    </row>
    <row r="163" spans="2:12">
      <c r="B163" s="19" t="s">
        <v>6</v>
      </c>
      <c r="C163" s="18">
        <v>8.4499999999999993</v>
      </c>
      <c r="D163" s="14">
        <f t="shared" ref="D163:D168" si="37">C132</f>
        <v>3.11</v>
      </c>
      <c r="E163" s="13">
        <f t="shared" ref="E163:E168" si="38">D141</f>
        <v>4.3</v>
      </c>
      <c r="F163" s="12">
        <f t="shared" ref="F163:F168" si="39">$C$119</f>
        <v>283</v>
      </c>
      <c r="G163" s="11">
        <f t="shared" ref="G163:G168" si="40">C163*((1/D163)-(1/E163))*F163</f>
        <v>212.79492260524938</v>
      </c>
      <c r="H163" s="11">
        <f t="shared" ref="H163:H168" si="41">G163*$C$122/F163</f>
        <v>2.8573169819786137E-2</v>
      </c>
      <c r="I163" s="11">
        <f t="shared" ref="I163:I168" si="42">G163/(C163*(1/D163)*F163)</f>
        <v>0.27674418604651163</v>
      </c>
      <c r="J163" s="10">
        <f t="shared" ref="J163:J168" si="43">$D$148</f>
        <v>405</v>
      </c>
      <c r="K163" s="9">
        <f t="shared" ref="K163:K168" si="44">J163/G163</f>
        <v>1.903240899931177</v>
      </c>
      <c r="L163" s="8">
        <f t="shared" ref="L163:L168" si="45">1/COUNT($C$152:$C$158)</f>
        <v>0.16666666666666666</v>
      </c>
    </row>
    <row r="164" spans="2:12">
      <c r="B164" s="16" t="s">
        <v>5</v>
      </c>
      <c r="C164" s="15">
        <v>3</v>
      </c>
      <c r="D164" s="14">
        <f t="shared" si="37"/>
        <v>3.01</v>
      </c>
      <c r="E164" s="13">
        <f t="shared" si="38"/>
        <v>4.3</v>
      </c>
      <c r="F164" s="12">
        <f t="shared" si="39"/>
        <v>283</v>
      </c>
      <c r="G164" s="11">
        <f t="shared" si="40"/>
        <v>84.617940199335564</v>
      </c>
      <c r="H164" s="11">
        <f t="shared" si="41"/>
        <v>1.1362126245847178E-2</v>
      </c>
      <c r="I164" s="11">
        <f t="shared" si="42"/>
        <v>0.3</v>
      </c>
      <c r="J164" s="10">
        <f t="shared" si="43"/>
        <v>405</v>
      </c>
      <c r="K164" s="9">
        <f t="shared" si="44"/>
        <v>4.7862190812720842</v>
      </c>
      <c r="L164" s="8">
        <f t="shared" si="45"/>
        <v>0.16666666666666666</v>
      </c>
    </row>
    <row r="165" spans="2:12">
      <c r="B165" s="17" t="s">
        <v>4</v>
      </c>
      <c r="C165" s="15">
        <v>3</v>
      </c>
      <c r="D165" s="14">
        <f t="shared" si="37"/>
        <v>2.73</v>
      </c>
      <c r="E165" s="13">
        <f t="shared" si="38"/>
        <v>4.3</v>
      </c>
      <c r="F165" s="12">
        <f t="shared" si="39"/>
        <v>283</v>
      </c>
      <c r="G165" s="11">
        <f t="shared" si="40"/>
        <v>113.5471505238947</v>
      </c>
      <c r="H165" s="11">
        <f t="shared" si="41"/>
        <v>1.5246613851265012E-2</v>
      </c>
      <c r="I165" s="11">
        <f t="shared" si="42"/>
        <v>0.3651162790697674</v>
      </c>
      <c r="J165" s="10">
        <f t="shared" si="43"/>
        <v>405</v>
      </c>
      <c r="K165" s="9">
        <f t="shared" si="44"/>
        <v>3.5668002070626366</v>
      </c>
      <c r="L165" s="8">
        <f t="shared" si="45"/>
        <v>0.16666666666666666</v>
      </c>
    </row>
    <row r="166" spans="2:12">
      <c r="B166" s="17" t="s">
        <v>3</v>
      </c>
      <c r="C166" s="15">
        <v>3</v>
      </c>
      <c r="D166" s="14">
        <f t="shared" si="37"/>
        <v>2.13</v>
      </c>
      <c r="E166" s="13">
        <f t="shared" si="38"/>
        <v>3.7</v>
      </c>
      <c r="F166" s="12">
        <f t="shared" si="39"/>
        <v>283</v>
      </c>
      <c r="G166" s="11">
        <f t="shared" si="40"/>
        <v>169.13208983631523</v>
      </c>
      <c r="H166" s="11">
        <f t="shared" si="41"/>
        <v>2.2710315949752573E-2</v>
      </c>
      <c r="I166" s="11">
        <f t="shared" si="42"/>
        <v>0.42432432432432449</v>
      </c>
      <c r="J166" s="10">
        <f t="shared" si="43"/>
        <v>405</v>
      </c>
      <c r="K166" s="9">
        <f t="shared" si="44"/>
        <v>2.3945781098782377</v>
      </c>
      <c r="L166" s="8">
        <f t="shared" si="45"/>
        <v>0.16666666666666666</v>
      </c>
    </row>
    <row r="167" spans="2:12">
      <c r="B167" s="17" t="s">
        <v>2</v>
      </c>
      <c r="C167" s="15">
        <v>8.4499999999999993</v>
      </c>
      <c r="D167" s="14">
        <f t="shared" si="37"/>
        <v>2.84</v>
      </c>
      <c r="E167" s="13">
        <f t="shared" si="38"/>
        <v>3.8</v>
      </c>
      <c r="F167" s="12">
        <f t="shared" si="39"/>
        <v>283</v>
      </c>
      <c r="G167" s="11">
        <f t="shared" si="40"/>
        <v>212.72201630837668</v>
      </c>
      <c r="H167" s="11">
        <f t="shared" si="41"/>
        <v>2.8563380281690153E-2</v>
      </c>
      <c r="I167" s="11">
        <f t="shared" si="42"/>
        <v>0.25263157894736854</v>
      </c>
      <c r="J167" s="10">
        <f t="shared" si="43"/>
        <v>405</v>
      </c>
      <c r="K167" s="9">
        <f t="shared" si="44"/>
        <v>1.9038931984025751</v>
      </c>
      <c r="L167" s="8">
        <f t="shared" si="45"/>
        <v>0.16666666666666666</v>
      </c>
    </row>
    <row r="168" spans="2:12">
      <c r="B168" s="16" t="s">
        <v>1</v>
      </c>
      <c r="C168" s="15">
        <v>3</v>
      </c>
      <c r="D168" s="14">
        <f t="shared" si="37"/>
        <v>3.11</v>
      </c>
      <c r="E168" s="13">
        <f t="shared" si="38"/>
        <v>6.5</v>
      </c>
      <c r="F168" s="12">
        <f t="shared" si="39"/>
        <v>283</v>
      </c>
      <c r="G168" s="11">
        <f t="shared" si="40"/>
        <v>142.37496908236457</v>
      </c>
      <c r="H168" s="11">
        <f t="shared" si="41"/>
        <v>1.9117487014593121E-2</v>
      </c>
      <c r="I168" s="11">
        <f t="shared" si="42"/>
        <v>0.52153846153846151</v>
      </c>
      <c r="J168" s="10">
        <f t="shared" si="43"/>
        <v>405</v>
      </c>
      <c r="K168" s="9">
        <f t="shared" si="44"/>
        <v>2.844601144501079</v>
      </c>
      <c r="L168" s="8">
        <f t="shared" si="45"/>
        <v>0.16666666666666666</v>
      </c>
    </row>
    <row r="169" spans="2:12">
      <c r="B169" s="7" t="s">
        <v>0</v>
      </c>
      <c r="C169" s="7"/>
      <c r="D169" s="7"/>
      <c r="E169" s="7"/>
      <c r="F169" s="7"/>
      <c r="G169" s="6">
        <f>SUMPRODUCT(G162:G168,$L$152:$L$158)</f>
        <v>155.86484809258934</v>
      </c>
      <c r="H169" s="5">
        <f>SUMPRODUCT(H162:H168,$L$152:$L$158)</f>
        <v>2.0928848860489027E-2</v>
      </c>
      <c r="I169" s="5">
        <f>SUMPRODUCT(I162:I168,$L$152:$L$158)</f>
        <v>0.35672580498773887</v>
      </c>
      <c r="J169" s="4">
        <f>SUMPRODUCT(J162:J168,$L$152:$L$158)</f>
        <v>405</v>
      </c>
      <c r="K169" s="3">
        <f>SUMPRODUCT(K162:K168,$L$152:$L$158)</f>
        <v>2.899888773507965</v>
      </c>
      <c r="L169" s="2"/>
    </row>
  </sheetData>
  <mergeCells count="1">
    <mergeCell ref="G144:H144"/>
  </mergeCells>
  <phoneticPr fontId="35" type="noConversion"/>
  <dataValidations count="5">
    <dataValidation type="list" allowBlank="1" showInputMessage="1" showErrorMessage="1" sqref="C59:L59" xr:uid="{F10FEE3A-E720-4F12-BF16-52679A7D1657}">
      <formula1>$N$19:$AQ$19</formula1>
    </dataValidation>
    <dataValidation type="list" allowBlank="1" showInputMessage="1" showErrorMessage="1" sqref="E11:E20" xr:uid="{492CDE95-3FF1-4E6B-8417-45E5D47AB141}">
      <formula1>$N$16:$O$16</formula1>
    </dataValidation>
    <dataValidation type="list" allowBlank="1" showInputMessage="1" showErrorMessage="1" sqref="D11:D20" xr:uid="{37DBF8D9-6768-400E-B779-58699209A094}">
      <formula1>$N$22:$AE$22</formula1>
    </dataValidation>
    <dataValidation type="list" allowBlank="1" showInputMessage="1" showErrorMessage="1" sqref="B11:C20" xr:uid="{62CCC34C-9C71-48F1-9592-C8E6487AAF42}">
      <formula1>$N$7:$Q$7</formula1>
    </dataValidation>
    <dataValidation type="list" allowBlank="1" showInputMessage="1" showErrorMessage="1" sqref="D7" xr:uid="{FF1B7ACA-BE21-4CD0-B943-E61E2E6B91F8}">
      <formula1>$N$11:$O$11</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C62AD-F1BE-4C42-BEC0-DF97FA50295E}">
  <sheetPr codeName="Sheet37">
    <tabColor indexed="27"/>
  </sheetPr>
  <dimension ref="A1:AQ144"/>
  <sheetViews>
    <sheetView zoomScale="80" zoomScaleNormal="80" workbookViewId="0">
      <selection activeCell="F8" sqref="F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Dehumidifier</v>
      </c>
      <c r="C7" s="98" t="s">
        <v>320</v>
      </c>
      <c r="D7" s="97" t="s">
        <v>212</v>
      </c>
      <c r="E7" s="97">
        <f>C118</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Dehumidifier_Res, E - Appl (MD)</v>
      </c>
      <c r="J11" s="83" t="str">
        <f t="shared" ref="J11:J20" si="3">IF(B11="","",CONCATENATE($C$7,IF(C11="","",CONCATENATE(" with ",C11," Secondary Fuel"))))</f>
        <v>ENERGY STAR Dehumidifier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Dehumidifier_Res,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Dehumidifier_Res,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ES Dehumidifier_Res,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318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317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(J136+J144)/2</f>
        <v>177.60380358556864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(F127+G127)/2</f>
        <v>42.5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(L136+L144)/2</f>
        <v>0.23839219382327723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Dehumidifier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315</v>
      </c>
    </row>
    <row r="110" spans="1:22">
      <c r="B110" s="1" t="s">
        <v>314</v>
      </c>
    </row>
    <row r="111" spans="1:22">
      <c r="B111" s="58" t="s">
        <v>46</v>
      </c>
      <c r="C111" s="58" t="s">
        <v>45</v>
      </c>
      <c r="D111" s="58" t="s">
        <v>44</v>
      </c>
      <c r="E111" s="58" t="s">
        <v>43</v>
      </c>
    </row>
    <row r="112" spans="1:22">
      <c r="B112" s="57" t="s">
        <v>313</v>
      </c>
      <c r="C112" s="57" t="s">
        <v>35</v>
      </c>
      <c r="D112" s="57" t="s">
        <v>303</v>
      </c>
      <c r="E112" s="57" t="s">
        <v>312</v>
      </c>
    </row>
    <row r="113" spans="2:9">
      <c r="B113" s="57" t="s">
        <v>311</v>
      </c>
      <c r="C113" s="57">
        <v>0.47299999999999998</v>
      </c>
      <c r="D113" s="57" t="s">
        <v>303</v>
      </c>
      <c r="E113" s="57" t="s">
        <v>310</v>
      </c>
    </row>
    <row r="114" spans="2:9">
      <c r="B114" s="57" t="s">
        <v>309</v>
      </c>
      <c r="C114" s="181">
        <v>2200</v>
      </c>
      <c r="D114" s="57" t="s">
        <v>303</v>
      </c>
      <c r="E114" s="57" t="s">
        <v>308</v>
      </c>
    </row>
    <row r="115" spans="2:9">
      <c r="B115" s="57" t="s">
        <v>291</v>
      </c>
      <c r="C115" s="57" t="s">
        <v>35</v>
      </c>
      <c r="D115" s="57" t="s">
        <v>303</v>
      </c>
      <c r="E115" s="57" t="s">
        <v>307</v>
      </c>
    </row>
    <row r="116" spans="2:9">
      <c r="B116" s="57" t="s">
        <v>290</v>
      </c>
      <c r="C116" s="57" t="s">
        <v>35</v>
      </c>
      <c r="D116" s="57" t="s">
        <v>303</v>
      </c>
      <c r="E116" s="57" t="s">
        <v>306</v>
      </c>
    </row>
    <row r="117" spans="2:9">
      <c r="B117" s="57" t="s">
        <v>34</v>
      </c>
      <c r="C117" s="181">
        <v>0.5</v>
      </c>
      <c r="D117" s="57" t="s">
        <v>303</v>
      </c>
      <c r="E117" s="57" t="s">
        <v>33</v>
      </c>
    </row>
    <row r="118" spans="2:9">
      <c r="B118" s="57" t="s">
        <v>305</v>
      </c>
      <c r="C118" s="57">
        <v>12</v>
      </c>
      <c r="D118" s="57" t="s">
        <v>303</v>
      </c>
      <c r="E118" s="57" t="s">
        <v>304</v>
      </c>
    </row>
    <row r="119" spans="2:9">
      <c r="B119" s="57" t="s">
        <v>9</v>
      </c>
      <c r="C119" s="180" t="s">
        <v>35</v>
      </c>
      <c r="D119" s="57" t="s">
        <v>303</v>
      </c>
      <c r="E119" s="57"/>
    </row>
    <row r="120" spans="2:9">
      <c r="B120" s="58"/>
      <c r="C120" s="58"/>
      <c r="D120" s="58"/>
      <c r="E120" s="58"/>
    </row>
    <row r="121" spans="2:9">
      <c r="B121" s="179" t="s">
        <v>30</v>
      </c>
      <c r="C121" s="178"/>
      <c r="D121" s="178"/>
      <c r="E121" s="178"/>
      <c r="F121" s="178"/>
      <c r="G121" s="177"/>
      <c r="H121" s="26"/>
      <c r="I121" s="26"/>
    </row>
    <row r="122" spans="2:9">
      <c r="B122" s="176" t="s">
        <v>302</v>
      </c>
      <c r="C122" s="175"/>
      <c r="D122" s="175"/>
      <c r="E122" s="174" t="s">
        <v>291</v>
      </c>
      <c r="F122" s="174" t="s">
        <v>290</v>
      </c>
      <c r="G122" s="173" t="s">
        <v>290</v>
      </c>
      <c r="H122" s="26"/>
      <c r="I122" s="26"/>
    </row>
    <row r="123" spans="2:9">
      <c r="B123" s="167" t="s">
        <v>301</v>
      </c>
      <c r="C123" s="172" t="s">
        <v>300</v>
      </c>
      <c r="D123" s="172" t="s">
        <v>299</v>
      </c>
      <c r="E123" s="172" t="s">
        <v>298</v>
      </c>
      <c r="F123" s="172" t="s">
        <v>297</v>
      </c>
      <c r="G123" s="171" t="s">
        <v>296</v>
      </c>
      <c r="H123" s="170"/>
      <c r="I123" s="26"/>
    </row>
    <row r="124" spans="2:9">
      <c r="B124" s="169">
        <v>1</v>
      </c>
      <c r="C124" s="166">
        <v>0</v>
      </c>
      <c r="D124" s="166">
        <v>25</v>
      </c>
      <c r="E124" s="166">
        <v>1.3</v>
      </c>
      <c r="F124" s="166">
        <v>1.57</v>
      </c>
      <c r="G124" s="168">
        <v>1.7</v>
      </c>
      <c r="H124" s="163"/>
      <c r="I124" s="26"/>
    </row>
    <row r="125" spans="2:9">
      <c r="B125" s="169">
        <v>2</v>
      </c>
      <c r="C125" s="166">
        <v>25.01</v>
      </c>
      <c r="D125" s="166">
        <v>50</v>
      </c>
      <c r="E125" s="166">
        <v>1.6</v>
      </c>
      <c r="F125" s="166">
        <v>1.8</v>
      </c>
      <c r="G125" s="168">
        <v>1.9</v>
      </c>
      <c r="H125" s="163"/>
      <c r="I125" s="26"/>
    </row>
    <row r="126" spans="2:9">
      <c r="B126" s="169">
        <v>3</v>
      </c>
      <c r="C126" s="166">
        <v>50.01</v>
      </c>
      <c r="D126" s="166">
        <v>155</v>
      </c>
      <c r="E126" s="166">
        <v>2.8</v>
      </c>
      <c r="F126" s="166">
        <v>3.3</v>
      </c>
      <c r="G126" s="168">
        <v>3.4</v>
      </c>
      <c r="H126" s="163"/>
      <c r="I126" s="26"/>
    </row>
    <row r="127" spans="2:9">
      <c r="B127" s="167" t="s">
        <v>295</v>
      </c>
      <c r="C127" s="166"/>
      <c r="D127" s="166"/>
      <c r="E127" s="166"/>
      <c r="F127" s="165">
        <v>10</v>
      </c>
      <c r="G127" s="164">
        <v>75</v>
      </c>
      <c r="H127" s="163"/>
      <c r="I127" s="26"/>
    </row>
    <row r="128" spans="2:9">
      <c r="B128" s="162"/>
      <c r="C128" s="161"/>
      <c r="D128" s="161"/>
      <c r="E128" s="160"/>
      <c r="F128" s="160"/>
      <c r="G128" s="159"/>
      <c r="H128" s="26"/>
      <c r="I128" s="26"/>
    </row>
    <row r="129" spans="2:17">
      <c r="B129" s="26"/>
      <c r="C129" s="2"/>
      <c r="D129" s="26"/>
      <c r="E129" s="26"/>
      <c r="F129" s="26"/>
      <c r="G129" s="26"/>
      <c r="H129" s="26"/>
      <c r="I129" s="26"/>
    </row>
    <row r="130" spans="2:17">
      <c r="B130" s="21" t="s">
        <v>294</v>
      </c>
      <c r="C130" s="21"/>
      <c r="D130" s="21"/>
      <c r="E130" s="21"/>
      <c r="F130" s="21"/>
      <c r="G130" s="21"/>
      <c r="H130" s="21"/>
      <c r="I130" s="21"/>
      <c r="J130" s="21"/>
      <c r="K130" s="21"/>
      <c r="L130" s="21"/>
      <c r="M130" s="697" t="s">
        <v>7</v>
      </c>
      <c r="Q130" s="27"/>
    </row>
    <row r="131" spans="2:17" ht="26.25">
      <c r="B131" s="21" t="s">
        <v>292</v>
      </c>
      <c r="C131" s="21" t="s">
        <v>291</v>
      </c>
      <c r="D131" s="21" t="s">
        <v>290</v>
      </c>
      <c r="E131" s="21" t="s">
        <v>289</v>
      </c>
      <c r="F131" s="114" t="s">
        <v>246</v>
      </c>
      <c r="G131" s="21" t="s">
        <v>245</v>
      </c>
      <c r="H131" s="21" t="s">
        <v>288</v>
      </c>
      <c r="I131" s="21" t="s">
        <v>287</v>
      </c>
      <c r="J131" s="21" t="s">
        <v>286</v>
      </c>
      <c r="K131" s="21" t="s">
        <v>244</v>
      </c>
      <c r="L131" s="114" t="s">
        <v>242</v>
      </c>
      <c r="M131" s="697"/>
      <c r="Q131" s="27"/>
    </row>
    <row r="132" spans="2:17">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c r="B136" s="153">
        <f t="shared" ref="B136:L136" si="28">SUMPRODUCT($M$132:$M$134,B132:B134)</f>
        <v>53.333333333333329</v>
      </c>
      <c r="C136" s="153">
        <f t="shared" si="28"/>
        <v>1.9</v>
      </c>
      <c r="D136" s="153">
        <f t="shared" si="28"/>
        <v>2.333333333333333</v>
      </c>
      <c r="E136" s="153">
        <f t="shared" si="28"/>
        <v>199.16869275966118</v>
      </c>
      <c r="F136" s="153">
        <f t="shared" si="28"/>
        <v>4.526561199083208E-2</v>
      </c>
      <c r="G136" s="153">
        <f t="shared" si="28"/>
        <v>9.0531223981664161E-2</v>
      </c>
      <c r="H136" s="153">
        <f t="shared" si="28"/>
        <v>1090.1623073107448</v>
      </c>
      <c r="I136" s="153">
        <f t="shared" si="28"/>
        <v>890.99361455108351</v>
      </c>
      <c r="J136" s="153">
        <f t="shared" si="28"/>
        <v>199.16869275966121</v>
      </c>
      <c r="K136" s="153">
        <f t="shared" si="28"/>
        <v>0.18988648090815272</v>
      </c>
      <c r="L136" s="153">
        <f t="shared" si="28"/>
        <v>0.4043449760847791</v>
      </c>
      <c r="M136" s="105"/>
      <c r="N136" s="26"/>
      <c r="O136" s="27"/>
      <c r="P136" s="27"/>
      <c r="Q136" s="27"/>
    </row>
    <row r="137" spans="2:17">
      <c r="B137" s="26"/>
      <c r="C137" s="26"/>
      <c r="D137" s="26"/>
      <c r="E137" s="26"/>
      <c r="F137" s="26"/>
      <c r="G137" s="26"/>
      <c r="H137" s="26"/>
      <c r="I137" s="26"/>
      <c r="J137" s="26"/>
      <c r="K137" s="26"/>
      <c r="L137" s="26"/>
      <c r="M137" s="26"/>
      <c r="N137" s="26"/>
      <c r="O137" s="27"/>
      <c r="P137" s="27"/>
      <c r="Q137" s="27"/>
    </row>
    <row r="138" spans="2:17">
      <c r="B138" s="21" t="s">
        <v>293</v>
      </c>
      <c r="C138" s="21"/>
      <c r="D138" s="21"/>
      <c r="E138" s="21"/>
      <c r="F138" s="21"/>
      <c r="G138" s="21"/>
      <c r="H138" s="21"/>
      <c r="I138" s="21"/>
      <c r="J138" s="21"/>
      <c r="K138" s="21"/>
      <c r="L138" s="21"/>
      <c r="M138" s="697" t="s">
        <v>7</v>
      </c>
      <c r="N138" s="26"/>
      <c r="O138" s="27"/>
      <c r="P138" s="27"/>
      <c r="Q138" s="27"/>
    </row>
    <row r="139" spans="2:17" ht="26.25">
      <c r="B139" s="21" t="s">
        <v>292</v>
      </c>
      <c r="C139" s="21" t="s">
        <v>291</v>
      </c>
      <c r="D139" s="21" t="s">
        <v>290</v>
      </c>
      <c r="E139" s="21" t="s">
        <v>289</v>
      </c>
      <c r="F139" s="114" t="s">
        <v>246</v>
      </c>
      <c r="G139" s="21" t="s">
        <v>245</v>
      </c>
      <c r="H139" s="21" t="s">
        <v>288</v>
      </c>
      <c r="I139" s="21" t="s">
        <v>287</v>
      </c>
      <c r="J139" s="21" t="s">
        <v>286</v>
      </c>
      <c r="K139" s="21" t="s">
        <v>244</v>
      </c>
      <c r="L139" s="114" t="s">
        <v>242</v>
      </c>
      <c r="M139" s="697"/>
      <c r="N139" s="26"/>
      <c r="O139" s="27"/>
      <c r="P139" s="27"/>
      <c r="Q139" s="27"/>
    </row>
    <row r="140" spans="2:17">
      <c r="B140" s="19">
        <v>20</v>
      </c>
      <c r="C140" s="19">
        <f t="shared" ref="C140:D142" si="29">E124</f>
        <v>1.3</v>
      </c>
      <c r="D140" s="158">
        <f t="shared" si="29"/>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c r="B141" s="19">
        <v>37.5</v>
      </c>
      <c r="C141" s="19">
        <f t="shared" si="29"/>
        <v>1.6</v>
      </c>
      <c r="D141" s="158">
        <f t="shared" si="29"/>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c r="B142" s="19">
        <v>102.5</v>
      </c>
      <c r="C142" s="19">
        <f t="shared" si="29"/>
        <v>2.8</v>
      </c>
      <c r="D142" s="158">
        <f t="shared" si="29"/>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c r="B144" s="153">
        <f t="shared" ref="B144:L144" si="30">SUMPRODUCT($M$140:$M$142,B140:B142)</f>
        <v>53.333333333333329</v>
      </c>
      <c r="C144" s="153">
        <f t="shared" si="30"/>
        <v>1.9</v>
      </c>
      <c r="D144" s="153">
        <f t="shared" si="30"/>
        <v>2.2233333333333332</v>
      </c>
      <c r="E144" s="153">
        <f t="shared" si="30"/>
        <v>156.03891441147607</v>
      </c>
      <c r="F144" s="153">
        <f t="shared" si="30"/>
        <v>3.5463389638971832E-2</v>
      </c>
      <c r="G144" s="153">
        <f t="shared" si="30"/>
        <v>7.0926779277943663E-2</v>
      </c>
      <c r="H144" s="153">
        <f t="shared" si="30"/>
        <v>1090.1623073107448</v>
      </c>
      <c r="I144" s="153">
        <f t="shared" si="30"/>
        <v>934.12339289926854</v>
      </c>
      <c r="J144" s="153">
        <f t="shared" si="30"/>
        <v>156.0389144114761</v>
      </c>
      <c r="K144" s="153">
        <f t="shared" si="30"/>
        <v>0.14486692830641873</v>
      </c>
      <c r="L144" s="153">
        <f t="shared" si="30"/>
        <v>7.2439411561775344E-2</v>
      </c>
      <c r="M144" s="105"/>
    </row>
  </sheetData>
  <mergeCells count="2">
    <mergeCell ref="M130:M131"/>
    <mergeCell ref="M138:M139"/>
  </mergeCells>
  <dataValidations count="5">
    <dataValidation type="list" allowBlank="1" showInputMessage="1" showErrorMessage="1" sqref="C59:L59" xr:uid="{00000000-0002-0000-1000-000004000000}">
      <formula1>$N$19:$AQ$19</formula1>
    </dataValidation>
    <dataValidation type="list" allowBlank="1" showInputMessage="1" showErrorMessage="1" sqref="E11:E20" xr:uid="{00000000-0002-0000-1000-000003000000}">
      <formula1>$N$16:$O$16</formula1>
    </dataValidation>
    <dataValidation type="list" allowBlank="1" showInputMessage="1" showErrorMessage="1" sqref="D11:D20" xr:uid="{00000000-0002-0000-1000-000002000000}">
      <formula1>$N$22:$AE$22</formula1>
    </dataValidation>
    <dataValidation type="list" allowBlank="1" showInputMessage="1" showErrorMessage="1" sqref="B11:C20" xr:uid="{00000000-0002-0000-1000-000001000000}">
      <formula1>$N$7:$Q$7</formula1>
    </dataValidation>
    <dataValidation type="list" allowBlank="1" showInputMessage="1" showErrorMessage="1" sqref="D7" xr:uid="{00000000-0002-0000-1000-000000000000}">
      <formula1>$N$11:$O$11</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B8EF6-6306-4CD1-965D-FC87B6186C82}">
  <sheetPr codeName="Sheet38">
    <tabColor indexed="27"/>
  </sheetPr>
  <dimension ref="A1:AQ167"/>
  <sheetViews>
    <sheetView tabSelected="1" zoomScale="85" zoomScaleNormal="85" workbookViewId="0">
      <selection activeCell="F8" sqref="F8"/>
    </sheetView>
  </sheetViews>
  <sheetFormatPr defaultColWidth="8.85546875" defaultRowHeight="15"/>
  <cols>
    <col min="1" max="1" width="3.5703125" style="1" customWidth="1"/>
    <col min="2" max="2" width="33" style="1" bestFit="1" customWidth="1"/>
    <col min="3" max="3" width="18.5703125" style="1" customWidth="1"/>
    <col min="4" max="4" width="18.140625" style="1" customWidth="1"/>
    <col min="5" max="5" width="21.140625" style="1" customWidth="1"/>
    <col min="6" max="6" width="21.42578125" style="1" customWidth="1"/>
    <col min="7" max="7" width="19.85546875" style="1" customWidth="1"/>
    <col min="8" max="8" width="16.42578125" style="1" customWidth="1"/>
    <col min="9" max="9" width="13.7109375" style="1" customWidth="1"/>
    <col min="10" max="10" width="29.85546875" style="1" customWidth="1"/>
    <col min="11" max="11" width="17.8554687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102"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Dishwasher</v>
      </c>
      <c r="C7" s="98" t="s">
        <v>355</v>
      </c>
      <c r="D7" s="97" t="s">
        <v>212</v>
      </c>
      <c r="E7" s="222">
        <f>C121</f>
        <v>11</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t="s">
        <v>360</v>
      </c>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Dishwasher_Res, E - Appl [Elec Water Heating] (MD)</v>
      </c>
      <c r="J11" s="83" t="str">
        <f t="shared" ref="J11:J20" si="3">IF(B11="","",CONCATENATE($C$7,IF(C11="","",CONCATENATE(" with ",C11," Secondary Fuel"))))</f>
        <v>ENERGY STAR Dishwasher</v>
      </c>
      <c r="K11" s="83"/>
      <c r="M11" s="94" t="s">
        <v>123</v>
      </c>
      <c r="N11" s="93" t="s">
        <v>212</v>
      </c>
      <c r="O11" s="93" t="s">
        <v>211</v>
      </c>
    </row>
    <row r="12" spans="1:17">
      <c r="A12" s="1">
        <v>2</v>
      </c>
      <c r="B12" s="98" t="s">
        <v>205</v>
      </c>
      <c r="C12" s="98"/>
      <c r="D12" s="98" t="s">
        <v>113</v>
      </c>
      <c r="E12" s="99" t="s">
        <v>202</v>
      </c>
      <c r="F12" s="99" t="s">
        <v>360</v>
      </c>
      <c r="G12" s="83" t="str">
        <f t="shared" si="0"/>
        <v>E</v>
      </c>
      <c r="H12" s="91" t="str">
        <f t="shared" si="1"/>
        <v xml:space="preserve">HWat </v>
      </c>
      <c r="I12" s="83" t="str">
        <f t="shared" ca="1" si="2"/>
        <v>ES Dishwasher_Res, E - HWat  [Elec Water Heating] (MD)</v>
      </c>
      <c r="J12" s="83" t="str">
        <f t="shared" si="3"/>
        <v>ENERGY STAR Dishwasher</v>
      </c>
      <c r="K12" s="83"/>
      <c r="M12" s="94" t="s">
        <v>154</v>
      </c>
      <c r="N12" s="93" t="s">
        <v>210</v>
      </c>
      <c r="O12" s="93" t="s">
        <v>209</v>
      </c>
    </row>
    <row r="13" spans="1:17">
      <c r="A13" s="1">
        <v>3</v>
      </c>
      <c r="B13" s="98"/>
      <c r="C13" s="98"/>
      <c r="D13" s="98"/>
      <c r="E13" s="99"/>
      <c r="F13" s="99"/>
      <c r="G13" s="83"/>
      <c r="H13" s="91"/>
      <c r="I13" s="83"/>
      <c r="J13" s="83"/>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c r="AN17" s="62"/>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Dishwasher_Res, E - Appl [Elec Water Heating] (MD)</v>
      </c>
      <c r="D33" s="83" t="str">
        <f t="shared" ca="1" si="5"/>
        <v>ES Dishwasher_Res, E - HWat  [Elec Water Heating]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Dishwasher_Res, E - Appl [Elec Water Heating] (MD)</v>
      </c>
      <c r="N33" s="84" t="str">
        <f t="shared" ca="1" si="6"/>
        <v>ES Dishwasher_Res, E - HWat  [Elec Water Heating]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Dishwasher</v>
      </c>
      <c r="D34" s="83" t="str">
        <f t="shared" si="8"/>
        <v>ENERGY STAR Dishwasher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
        <v>359</v>
      </c>
      <c r="D35" s="82" t="s">
        <v>359</v>
      </c>
      <c r="E35" s="82"/>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
        <v>358</v>
      </c>
      <c r="D36" s="82" t="s">
        <v>358</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357</v>
      </c>
      <c r="D38" s="65" t="s">
        <v>357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11</v>
      </c>
      <c r="D39" s="83">
        <f t="shared" si="11"/>
        <v>11</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Water Heating</v>
      </c>
      <c r="E43" s="83"/>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82"/>
      <c r="E44" s="82"/>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82"/>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82"/>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82" t="str">
        <f ca="1">C33</f>
        <v>ES Dishwasher_Res, E - Appl [Elec Water Heating] (MD)</v>
      </c>
      <c r="D49" s="82" t="str">
        <f ca="1">C33</f>
        <v>ES Dishwasher_Res, E - Appl [Elec Water Heating] (MD)</v>
      </c>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Dishwasher</v>
      </c>
      <c r="D52" s="66" t="str">
        <f t="shared" si="16"/>
        <v>ENERGY STAR Dishwasher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c r="D54" s="82"/>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356</v>
      </c>
      <c r="D55" s="65" t="s">
        <v>356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355</v>
      </c>
      <c r="D56" s="65" t="s">
        <v>355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E157*C116</f>
        <v>28.893333333333331</v>
      </c>
      <c r="D64" s="76">
        <f>E157*C117</f>
        <v>36.773333333333333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H157*C116</f>
        <v>0.10573771121351766</v>
      </c>
      <c r="D65" s="67">
        <f>H157*C117</f>
        <v>0.1345752688172043</v>
      </c>
      <c r="E65" s="67"/>
      <c r="F65" s="65"/>
      <c r="G65" s="65"/>
      <c r="H65" s="65"/>
      <c r="I65" s="65"/>
      <c r="J65" s="65"/>
      <c r="K65" s="65"/>
      <c r="L65" s="65"/>
      <c r="M65" s="69" t="s">
        <v>354</v>
      </c>
      <c r="N65" s="69" t="s">
        <v>354</v>
      </c>
      <c r="O65" s="69" t="s">
        <v>354</v>
      </c>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J157</f>
        <v>1.8142557768734684</v>
      </c>
      <c r="D69" s="70"/>
      <c r="E69" s="70"/>
      <c r="F69" s="70" t="str">
        <f t="shared" ref="F69:L69" si="21">IFERROR(F68/F64,"")</f>
        <v/>
      </c>
      <c r="G69" s="70" t="str">
        <f t="shared" si="21"/>
        <v/>
      </c>
      <c r="H69" s="70" t="str">
        <f t="shared" si="21"/>
        <v/>
      </c>
      <c r="I69" s="70" t="str">
        <f t="shared" si="21"/>
        <v/>
      </c>
      <c r="J69" s="70" t="str">
        <f t="shared" si="21"/>
        <v/>
      </c>
      <c r="K69" s="70" t="str">
        <f t="shared" si="21"/>
        <v/>
      </c>
      <c r="L69" s="70" t="str">
        <f t="shared" si="21"/>
        <v/>
      </c>
      <c r="M69" s="69">
        <v>9</v>
      </c>
      <c r="N69" s="69">
        <v>9</v>
      </c>
      <c r="O69" s="69">
        <v>9</v>
      </c>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Dishwasher</v>
      </c>
      <c r="D71" s="66" t="str">
        <f t="shared" si="23"/>
        <v>ENERGY STAR Dishwasher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7"/>
      <c r="E72" s="67"/>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7"/>
      <c r="E73" s="67"/>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353</v>
      </c>
    </row>
    <row r="110" spans="1:22">
      <c r="B110" s="62" t="s">
        <v>352</v>
      </c>
    </row>
    <row r="111" spans="1:22">
      <c r="B111" s="62"/>
    </row>
    <row r="113" spans="2:11">
      <c r="B113" s="58" t="s">
        <v>46</v>
      </c>
      <c r="C113" s="58" t="s">
        <v>45</v>
      </c>
      <c r="D113" s="58" t="s">
        <v>44</v>
      </c>
      <c r="E113" s="58" t="s">
        <v>43</v>
      </c>
    </row>
    <row r="114" spans="2:11">
      <c r="B114" s="57" t="s">
        <v>335</v>
      </c>
      <c r="C114" s="26" t="s">
        <v>35</v>
      </c>
      <c r="D114" s="57" t="s">
        <v>339</v>
      </c>
      <c r="E114" s="57" t="s">
        <v>351</v>
      </c>
    </row>
    <row r="115" spans="2:11">
      <c r="B115" s="57" t="s">
        <v>350</v>
      </c>
      <c r="C115" s="26" t="s">
        <v>35</v>
      </c>
      <c r="D115" s="57" t="s">
        <v>339</v>
      </c>
      <c r="E115" s="57" t="s">
        <v>349</v>
      </c>
    </row>
    <row r="116" spans="2:11">
      <c r="B116" s="57" t="s">
        <v>348</v>
      </c>
      <c r="C116" s="221">
        <v>0.44</v>
      </c>
      <c r="D116" s="57" t="s">
        <v>339</v>
      </c>
      <c r="E116" s="57" t="s">
        <v>347</v>
      </c>
    </row>
    <row r="117" spans="2:11">
      <c r="B117" s="57" t="s">
        <v>346</v>
      </c>
      <c r="C117" s="221">
        <v>0.56000000000000005</v>
      </c>
      <c r="D117" s="57" t="s">
        <v>339</v>
      </c>
      <c r="E117" s="57" t="s">
        <v>345</v>
      </c>
    </row>
    <row r="118" spans="2:11">
      <c r="B118" s="57" t="s">
        <v>344</v>
      </c>
      <c r="C118" s="221">
        <v>1</v>
      </c>
      <c r="D118" s="57" t="s">
        <v>339</v>
      </c>
      <c r="E118" s="57" t="s">
        <v>343</v>
      </c>
    </row>
    <row r="119" spans="2:11">
      <c r="B119" s="57" t="s">
        <v>309</v>
      </c>
      <c r="C119" s="26">
        <v>353</v>
      </c>
      <c r="D119" s="57" t="s">
        <v>339</v>
      </c>
      <c r="E119" s="57" t="s">
        <v>342</v>
      </c>
    </row>
    <row r="120" spans="2:11">
      <c r="B120" s="57" t="s">
        <v>34</v>
      </c>
      <c r="C120" s="220">
        <v>2.6</v>
      </c>
      <c r="D120" s="57" t="s">
        <v>339</v>
      </c>
      <c r="E120" s="57" t="s">
        <v>341</v>
      </c>
    </row>
    <row r="121" spans="2:11">
      <c r="B121" s="57" t="s">
        <v>305</v>
      </c>
      <c r="C121" s="26">
        <v>11</v>
      </c>
      <c r="D121" s="57" t="s">
        <v>339</v>
      </c>
      <c r="E121" s="57" t="s">
        <v>340</v>
      </c>
    </row>
    <row r="122" spans="2:11">
      <c r="B122" s="57" t="s">
        <v>249</v>
      </c>
      <c r="C122" s="217" t="s">
        <v>35</v>
      </c>
      <c r="D122" s="57" t="s">
        <v>339</v>
      </c>
      <c r="E122" s="57"/>
    </row>
    <row r="123" spans="2:11">
      <c r="B123" s="57" t="s">
        <v>248</v>
      </c>
      <c r="C123" s="219">
        <v>5010</v>
      </c>
      <c r="D123" s="57" t="s">
        <v>339</v>
      </c>
      <c r="E123" s="57" t="s">
        <v>338</v>
      </c>
      <c r="H123" s="26"/>
      <c r="I123" s="218"/>
      <c r="J123" s="57"/>
      <c r="K123" s="57"/>
    </row>
    <row r="124" spans="2:11">
      <c r="B124" s="57"/>
      <c r="C124" s="217"/>
      <c r="D124" s="57"/>
      <c r="E124" s="57"/>
    </row>
    <row r="125" spans="2:11">
      <c r="B125" s="57"/>
      <c r="C125" s="216"/>
      <c r="D125" s="57"/>
      <c r="E125" s="57"/>
    </row>
    <row r="126" spans="2:11">
      <c r="B126" s="179" t="s">
        <v>30</v>
      </c>
      <c r="C126" s="215"/>
      <c r="D126" s="215"/>
      <c r="E126" s="58"/>
    </row>
    <row r="127" spans="2:11">
      <c r="B127" s="214" t="s">
        <v>337</v>
      </c>
      <c r="C127" s="178"/>
      <c r="D127" s="178"/>
      <c r="E127" s="213"/>
      <c r="F127" s="213"/>
      <c r="G127" s="26"/>
      <c r="H127" s="26"/>
      <c r="I127" s="26"/>
    </row>
    <row r="128" spans="2:11">
      <c r="B128" s="698" t="s">
        <v>336</v>
      </c>
      <c r="C128" s="708" t="s">
        <v>335</v>
      </c>
      <c r="D128" s="700" t="s">
        <v>324</v>
      </c>
      <c r="E128" s="2"/>
      <c r="F128" s="213"/>
      <c r="G128" s="26"/>
      <c r="H128" s="26"/>
      <c r="I128" s="26"/>
    </row>
    <row r="129" spans="2:9">
      <c r="B129" s="707"/>
      <c r="C129" s="709"/>
      <c r="D129" s="702"/>
      <c r="E129" s="170"/>
      <c r="F129" s="213"/>
      <c r="G129" s="26"/>
      <c r="H129" s="26"/>
      <c r="I129" s="26"/>
    </row>
    <row r="130" spans="2:9">
      <c r="B130" s="193" t="s">
        <v>27</v>
      </c>
      <c r="C130" s="166">
        <v>240</v>
      </c>
      <c r="D130" s="192">
        <v>310</v>
      </c>
      <c r="E130" s="206"/>
      <c r="F130" s="212"/>
      <c r="G130" s="2"/>
      <c r="H130" s="170"/>
      <c r="I130" s="26"/>
    </row>
    <row r="131" spans="2:9">
      <c r="B131" s="193" t="s">
        <v>321</v>
      </c>
      <c r="C131" s="166">
        <v>252</v>
      </c>
      <c r="D131" s="192">
        <v>310</v>
      </c>
      <c r="E131" s="206"/>
      <c r="F131" s="212"/>
      <c r="G131" s="2"/>
      <c r="H131" s="170"/>
      <c r="I131" s="26"/>
    </row>
    <row r="132" spans="2:9">
      <c r="B132" s="191" t="s">
        <v>26</v>
      </c>
      <c r="C132" s="160">
        <v>155</v>
      </c>
      <c r="D132" s="190">
        <v>224</v>
      </c>
      <c r="E132" s="206"/>
      <c r="F132" s="206"/>
      <c r="G132" s="208"/>
      <c r="H132" s="207"/>
      <c r="I132" s="26"/>
    </row>
    <row r="133" spans="2:9">
      <c r="B133" s="211"/>
      <c r="C133" s="206"/>
      <c r="D133" s="206"/>
      <c r="E133" s="206"/>
      <c r="F133" s="206"/>
      <c r="G133" s="208"/>
      <c r="H133" s="207"/>
      <c r="I133" s="26"/>
    </row>
    <row r="134" spans="2:9">
      <c r="B134" s="210" t="s">
        <v>334</v>
      </c>
      <c r="C134" s="209" t="s">
        <v>333</v>
      </c>
      <c r="D134" s="195" t="s">
        <v>332</v>
      </c>
      <c r="E134" s="206"/>
      <c r="F134" s="206"/>
      <c r="G134" s="208"/>
      <c r="H134" s="207"/>
      <c r="I134" s="26"/>
    </row>
    <row r="135" spans="2:9">
      <c r="B135" s="193" t="s">
        <v>27</v>
      </c>
      <c r="C135" s="166">
        <v>3.2</v>
      </c>
      <c r="D135" s="192">
        <v>5</v>
      </c>
      <c r="E135" s="206"/>
      <c r="F135" s="206"/>
      <c r="G135" s="208"/>
      <c r="H135" s="207"/>
      <c r="I135" s="26"/>
    </row>
    <row r="136" spans="2:9">
      <c r="B136" s="193" t="s">
        <v>321</v>
      </c>
      <c r="C136" s="166">
        <v>3.2</v>
      </c>
      <c r="D136" s="192" t="s">
        <v>331</v>
      </c>
      <c r="E136" s="206"/>
      <c r="F136" s="206"/>
      <c r="G136" s="208"/>
      <c r="H136" s="207"/>
      <c r="I136" s="26"/>
    </row>
    <row r="137" spans="2:9">
      <c r="B137" s="191" t="s">
        <v>26</v>
      </c>
      <c r="C137" s="160">
        <v>2</v>
      </c>
      <c r="D137" s="190">
        <v>3.5</v>
      </c>
      <c r="E137" s="206"/>
      <c r="F137" s="206"/>
      <c r="G137" s="205"/>
      <c r="H137" s="26"/>
      <c r="I137" s="26"/>
    </row>
    <row r="138" spans="2:9">
      <c r="B138" s="26"/>
      <c r="C138" s="2"/>
      <c r="D138" s="26"/>
      <c r="E138" s="26"/>
      <c r="F138" s="26"/>
      <c r="G138" s="26"/>
      <c r="H138" s="26"/>
      <c r="I138" s="26"/>
    </row>
    <row r="139" spans="2:9">
      <c r="B139" s="705" t="s">
        <v>330</v>
      </c>
      <c r="C139" s="706" t="s">
        <v>329</v>
      </c>
      <c r="D139" s="703" t="s">
        <v>74</v>
      </c>
      <c r="E139" s="204"/>
      <c r="I139" s="26"/>
    </row>
    <row r="140" spans="2:9">
      <c r="B140" s="705"/>
      <c r="C140" s="706"/>
      <c r="D140" s="704"/>
      <c r="E140" s="203"/>
      <c r="I140" s="26"/>
    </row>
    <row r="141" spans="2:9">
      <c r="B141" s="202" t="s">
        <v>328</v>
      </c>
      <c r="C141" s="201">
        <v>331.3</v>
      </c>
      <c r="D141" s="200">
        <v>213.03</v>
      </c>
      <c r="E141" s="196"/>
    </row>
    <row r="142" spans="2:9">
      <c r="B142" s="199" t="s">
        <v>327</v>
      </c>
      <c r="C142" s="198">
        <v>308.62</v>
      </c>
      <c r="D142" s="197">
        <v>241.78</v>
      </c>
      <c r="E142" s="196"/>
    </row>
    <row r="143" spans="2:9">
      <c r="B143" s="28"/>
      <c r="C143" s="28"/>
      <c r="D143" s="28"/>
      <c r="E143" s="28"/>
    </row>
    <row r="144" spans="2:9">
      <c r="B144" s="698" t="s">
        <v>326</v>
      </c>
      <c r="C144" s="700" t="s">
        <v>249</v>
      </c>
    </row>
    <row r="145" spans="2:17">
      <c r="B145" s="699"/>
      <c r="C145" s="701"/>
      <c r="D145" s="194"/>
      <c r="E145" s="194"/>
      <c r="F145" s="194"/>
      <c r="G145" s="194"/>
      <c r="H145" s="194"/>
      <c r="I145" s="194"/>
      <c r="J145" s="194"/>
      <c r="K145" s="194"/>
      <c r="L145" s="194"/>
      <c r="M145" s="194"/>
      <c r="Q145" s="27"/>
    </row>
    <row r="146" spans="2:17">
      <c r="B146" s="193" t="s">
        <v>27</v>
      </c>
      <c r="C146" s="192">
        <v>240</v>
      </c>
      <c r="D146" s="28"/>
      <c r="E146" s="28"/>
      <c r="F146" s="28"/>
      <c r="G146" s="28"/>
      <c r="H146" s="28"/>
      <c r="I146" s="28"/>
      <c r="J146" s="28"/>
      <c r="K146" s="28"/>
      <c r="N146" s="26"/>
      <c r="O146" s="26"/>
      <c r="P146" s="27"/>
      <c r="Q146" s="27"/>
    </row>
    <row r="147" spans="2:17">
      <c r="B147" s="193" t="s">
        <v>321</v>
      </c>
      <c r="C147" s="192">
        <v>252</v>
      </c>
      <c r="D147" s="28"/>
      <c r="E147" s="189"/>
      <c r="F147" s="28"/>
      <c r="G147" s="189"/>
      <c r="H147" s="28"/>
      <c r="I147" s="28"/>
      <c r="J147" s="28"/>
      <c r="K147" s="189"/>
      <c r="L147" s="28"/>
      <c r="N147" s="26"/>
      <c r="O147" s="26"/>
      <c r="P147" s="27"/>
      <c r="Q147" s="27"/>
    </row>
    <row r="148" spans="2:17">
      <c r="B148" s="191" t="s">
        <v>26</v>
      </c>
      <c r="C148" s="190">
        <v>155</v>
      </c>
      <c r="D148" s="28"/>
      <c r="E148" s="189"/>
      <c r="F148" s="28"/>
      <c r="G148" s="189"/>
      <c r="H148" s="28"/>
      <c r="I148" s="28"/>
      <c r="J148" s="189"/>
      <c r="K148" s="189"/>
      <c r="L148" s="28"/>
      <c r="M148" s="188"/>
      <c r="N148" s="26"/>
      <c r="O148" s="26"/>
      <c r="P148" s="27"/>
      <c r="Q148" s="27"/>
    </row>
    <row r="149" spans="2:17">
      <c r="B149" s="28"/>
      <c r="C149" s="189"/>
      <c r="D149" s="28"/>
      <c r="E149" s="189"/>
      <c r="F149" s="28"/>
      <c r="G149" s="189"/>
      <c r="H149" s="28"/>
      <c r="I149" s="28"/>
      <c r="J149" s="189"/>
      <c r="K149" s="189"/>
      <c r="L149" s="28"/>
      <c r="M149" s="188"/>
      <c r="N149" s="26"/>
      <c r="O149" s="26"/>
      <c r="P149" s="27"/>
      <c r="Q149" s="27"/>
    </row>
    <row r="150" spans="2:17">
      <c r="N150" s="26"/>
      <c r="O150" s="26"/>
      <c r="P150" s="27"/>
      <c r="Q150" s="27"/>
    </row>
    <row r="151" spans="2:17">
      <c r="B151" s="95" t="s">
        <v>325</v>
      </c>
      <c r="N151" s="26"/>
      <c r="O151" s="26"/>
      <c r="P151" s="27"/>
      <c r="Q151" s="27"/>
    </row>
    <row r="152" spans="2:17">
      <c r="B152" s="21" t="s">
        <v>251</v>
      </c>
      <c r="C152" s="21"/>
      <c r="D152" s="21"/>
      <c r="E152" s="21"/>
      <c r="F152" s="21"/>
      <c r="G152" s="21"/>
      <c r="H152" s="21"/>
      <c r="I152" s="21"/>
      <c r="J152" s="21"/>
      <c r="K152" s="21"/>
      <c r="L152" s="2"/>
      <c r="N152" s="26"/>
      <c r="O152" s="26"/>
      <c r="P152" s="27"/>
      <c r="Q152" s="27"/>
    </row>
    <row r="153" spans="2:17">
      <c r="B153" s="21" t="s">
        <v>250</v>
      </c>
      <c r="C153" s="21" t="s">
        <v>324</v>
      </c>
      <c r="D153" s="21" t="s">
        <v>323</v>
      </c>
      <c r="E153" s="21" t="s">
        <v>322</v>
      </c>
      <c r="F153" s="21" t="s">
        <v>246</v>
      </c>
      <c r="G153" s="21" t="s">
        <v>245</v>
      </c>
      <c r="H153" s="21" t="s">
        <v>244</v>
      </c>
      <c r="I153" s="114" t="s">
        <v>243</v>
      </c>
      <c r="J153" s="114" t="s">
        <v>242</v>
      </c>
      <c r="K153" s="114" t="s">
        <v>7</v>
      </c>
      <c r="L153" s="26"/>
      <c r="M153" s="26"/>
      <c r="N153" s="26"/>
      <c r="O153" s="26"/>
      <c r="P153" s="27"/>
      <c r="Q153" s="27"/>
    </row>
    <row r="154" spans="2:17">
      <c r="B154" s="19" t="s">
        <v>27</v>
      </c>
      <c r="C154" s="187">
        <f>VLOOKUP(B154,$B$130:$E$132,3,FALSE)</f>
        <v>310</v>
      </c>
      <c r="D154" s="187">
        <f>VLOOKUP(B154,$B$130:$E$132,2,FALSE)</f>
        <v>240</v>
      </c>
      <c r="E154" s="19">
        <f>(C154-D154)</f>
        <v>70</v>
      </c>
      <c r="F154" s="157">
        <f>(E154/$C$119)*$C$120</f>
        <v>0.51558073654390935</v>
      </c>
      <c r="G154" s="157">
        <f>E154/$C$119</f>
        <v>0.19830028328611898</v>
      </c>
      <c r="H154" s="155">
        <f>E154/C154</f>
        <v>0.22580645161290322</v>
      </c>
      <c r="I154" s="186">
        <f>E154/G154</f>
        <v>353</v>
      </c>
      <c r="J154" s="109">
        <f>($C$141-$D$141)/E154</f>
        <v>1.6895714285714287</v>
      </c>
      <c r="K154" s="108">
        <f>1/COUNT($I$154:$I$156)</f>
        <v>0.33333333333333331</v>
      </c>
      <c r="L154" s="26"/>
      <c r="M154" s="26"/>
      <c r="N154" s="26"/>
      <c r="O154" s="27"/>
      <c r="P154" s="27"/>
      <c r="Q154" s="27"/>
    </row>
    <row r="155" spans="2:17">
      <c r="B155" s="19" t="s">
        <v>321</v>
      </c>
      <c r="C155" s="187">
        <f>VLOOKUP(B155,$B$130:$E$132,3,FALSE)</f>
        <v>310</v>
      </c>
      <c r="D155" s="187">
        <f>VLOOKUP(B155,$B$130:$E$132,2,FALSE)</f>
        <v>252</v>
      </c>
      <c r="E155" s="19">
        <f>(C155-D155)</f>
        <v>58</v>
      </c>
      <c r="F155" s="157">
        <f>(E155/$C$119)*$C$120</f>
        <v>0.42719546742209635</v>
      </c>
      <c r="G155" s="157">
        <f>E155/$C$119</f>
        <v>0.1643059490084986</v>
      </c>
      <c r="H155" s="155">
        <f>E155/C155</f>
        <v>0.18709677419354839</v>
      </c>
      <c r="I155" s="186">
        <f>E155/G155</f>
        <v>352.99999999999994</v>
      </c>
      <c r="J155" s="109">
        <f>($C$141-$D$141)/E155</f>
        <v>2.039137931034483</v>
      </c>
      <c r="K155" s="108">
        <f>1/COUNT($I$154:$I$156)</f>
        <v>0.33333333333333331</v>
      </c>
      <c r="L155" s="26"/>
      <c r="M155" s="26"/>
      <c r="N155" s="26"/>
      <c r="O155" s="27"/>
      <c r="P155" s="27"/>
      <c r="Q155" s="27"/>
    </row>
    <row r="156" spans="2:17">
      <c r="B156" s="19" t="s">
        <v>26</v>
      </c>
      <c r="C156" s="187">
        <f>VLOOKUP(B156,$B$130:$E$132,3,FALSE)</f>
        <v>224</v>
      </c>
      <c r="D156" s="187">
        <f>VLOOKUP(B156,$B$130:$E$132,2,FALSE)</f>
        <v>155</v>
      </c>
      <c r="E156" s="19">
        <f>(C156-D156)</f>
        <v>69</v>
      </c>
      <c r="F156" s="157">
        <f>(E156/$C$119)*$C$120</f>
        <v>0.50821529745042493</v>
      </c>
      <c r="G156" s="157">
        <f>E156/$C$119</f>
        <v>0.19546742209631729</v>
      </c>
      <c r="H156" s="155">
        <f>E156/C156</f>
        <v>0.3080357142857143</v>
      </c>
      <c r="I156" s="186">
        <f>E156/G156</f>
        <v>353</v>
      </c>
      <c r="J156" s="109">
        <f>($C$141-$D$141)/E156</f>
        <v>1.714057971014493</v>
      </c>
      <c r="K156" s="108">
        <f>1/COUNT($I$154:$I$156)</f>
        <v>0.33333333333333331</v>
      </c>
      <c r="L156" s="26"/>
      <c r="M156" s="26"/>
      <c r="N156" s="26"/>
      <c r="O156" s="27"/>
      <c r="P156" s="27"/>
      <c r="Q156" s="27"/>
    </row>
    <row r="157" spans="2:17">
      <c r="B157" s="7" t="s">
        <v>0</v>
      </c>
      <c r="C157" s="103">
        <f>SUMPRODUCT(K154:K156,C154:C156)</f>
        <v>281.33333333333331</v>
      </c>
      <c r="D157" s="103">
        <f>SUMPRODUCT(D154:D156,K154:K156)</f>
        <v>215.66666666666666</v>
      </c>
      <c r="E157" s="7">
        <f>C157-D157</f>
        <v>65.666666666666657</v>
      </c>
      <c r="F157" s="107">
        <f>SUMPRODUCT(F154:F156,K154:K156)</f>
        <v>0.48366383380547684</v>
      </c>
      <c r="G157" s="107">
        <f>SUMPRODUCT(G154:G156,K154:K156)</f>
        <v>0.18602455146364494</v>
      </c>
      <c r="H157" s="106">
        <f>SUMPRODUCT(H154:H156,K154:K156)</f>
        <v>0.24031298003072196</v>
      </c>
      <c r="I157" s="105">
        <f>SUMPRODUCT(I154:I156,K154:K156)</f>
        <v>353</v>
      </c>
      <c r="J157" s="104">
        <f>SUMPRODUCT(J154:J156,K154:K156)</f>
        <v>1.8142557768734684</v>
      </c>
      <c r="K157" s="105"/>
      <c r="L157" s="26"/>
      <c r="M157" s="26"/>
      <c r="N157" s="26"/>
      <c r="O157" s="27"/>
      <c r="P157" s="27"/>
      <c r="Q157" s="27"/>
    </row>
    <row r="158" spans="2:17">
      <c r="B158" s="26"/>
      <c r="C158" s="185"/>
      <c r="D158" s="26"/>
      <c r="E158" s="26"/>
      <c r="F158" s="26"/>
      <c r="G158" s="26"/>
      <c r="H158" s="26"/>
      <c r="I158" s="26"/>
      <c r="J158" s="26"/>
      <c r="K158" s="26"/>
      <c r="L158" s="26"/>
      <c r="M158" s="26"/>
      <c r="N158" s="26"/>
      <c r="O158" s="27"/>
      <c r="P158" s="27"/>
      <c r="Q158" s="27"/>
    </row>
    <row r="159" spans="2:17">
      <c r="B159" s="95" t="s">
        <v>252</v>
      </c>
      <c r="L159" s="26"/>
      <c r="M159" s="26"/>
      <c r="N159" s="26"/>
      <c r="O159" s="27"/>
      <c r="P159" s="27"/>
      <c r="Q159" s="27"/>
    </row>
    <row r="160" spans="2:17">
      <c r="B160" s="21" t="s">
        <v>251</v>
      </c>
      <c r="C160" s="21"/>
      <c r="D160" s="21"/>
      <c r="E160" s="21"/>
      <c r="F160" s="21"/>
      <c r="G160" s="21"/>
      <c r="H160" s="21"/>
      <c r="I160" s="21"/>
      <c r="J160" s="21"/>
      <c r="K160" s="21"/>
      <c r="N160" s="26"/>
      <c r="O160" s="27"/>
      <c r="P160" s="27"/>
      <c r="Q160" s="27"/>
    </row>
    <row r="161" spans="2:17">
      <c r="B161" s="21" t="s">
        <v>250</v>
      </c>
      <c r="C161" s="21" t="s">
        <v>249</v>
      </c>
      <c r="D161" s="21" t="s">
        <v>248</v>
      </c>
      <c r="E161" s="21" t="s">
        <v>247</v>
      </c>
      <c r="F161" s="21" t="s">
        <v>246</v>
      </c>
      <c r="G161" s="21" t="s">
        <v>245</v>
      </c>
      <c r="H161" s="114" t="s">
        <v>244</v>
      </c>
      <c r="I161" s="114" t="s">
        <v>243</v>
      </c>
      <c r="J161" s="114" t="s">
        <v>242</v>
      </c>
      <c r="K161" s="114" t="s">
        <v>7</v>
      </c>
      <c r="N161" s="26"/>
      <c r="O161" s="27"/>
      <c r="P161" s="27"/>
      <c r="Q161" s="27"/>
    </row>
    <row r="162" spans="2:17">
      <c r="B162" s="19" t="s">
        <v>27</v>
      </c>
      <c r="C162" s="112">
        <f>VLOOKUP(B162,$B$145:$C$148,2,FALSE)</f>
        <v>240</v>
      </c>
      <c r="D162" s="112">
        <f>$C$123</f>
        <v>5010</v>
      </c>
      <c r="E162" s="111">
        <f>C162*D162/1000000</f>
        <v>1.2023999999999999</v>
      </c>
      <c r="F162" s="111">
        <f>(E162/$C$119)*$C$120</f>
        <v>8.8562039660056643E-3</v>
      </c>
      <c r="G162" s="111">
        <f>E162/$C$119</f>
        <v>3.4062322946175633E-3</v>
      </c>
      <c r="H162" s="110"/>
      <c r="I162" s="19">
        <f>E162/F162</f>
        <v>135.76923076923077</v>
      </c>
      <c r="J162" s="109">
        <f>($C$141-$D$141)/E162</f>
        <v>98.361610113107133</v>
      </c>
      <c r="K162" s="108">
        <f>1/COUNT($I$154:$I$156)</f>
        <v>0.33333333333333331</v>
      </c>
      <c r="N162" s="26"/>
      <c r="O162" s="27"/>
      <c r="P162" s="27"/>
      <c r="Q162" s="27"/>
    </row>
    <row r="163" spans="2:17">
      <c r="B163" s="19" t="s">
        <v>321</v>
      </c>
      <c r="C163" s="112">
        <f>VLOOKUP(B163,$B$145:$C$148,2,FALSE)</f>
        <v>252</v>
      </c>
      <c r="D163" s="112">
        <f>$C$123</f>
        <v>5010</v>
      </c>
      <c r="E163" s="111">
        <f>C163*D163/1000000</f>
        <v>1.2625200000000001</v>
      </c>
      <c r="F163" s="111">
        <f>(E163/$C$119)*$C$120</f>
        <v>9.2990141643059503E-3</v>
      </c>
      <c r="G163" s="111">
        <f>E163/$C$119</f>
        <v>3.5765439093484422E-3</v>
      </c>
      <c r="H163" s="110"/>
      <c r="I163" s="19">
        <f>E163/F163</f>
        <v>135.76923076923075</v>
      </c>
      <c r="J163" s="109">
        <f>($C$141-$D$141)/E163</f>
        <v>93.677723917244876</v>
      </c>
      <c r="K163" s="108">
        <f>1/COUNT($I$154:$I$156)</f>
        <v>0.33333333333333331</v>
      </c>
      <c r="N163" s="26"/>
      <c r="O163" s="27"/>
      <c r="P163" s="27"/>
      <c r="Q163" s="27"/>
    </row>
    <row r="164" spans="2:17">
      <c r="B164" s="19" t="s">
        <v>26</v>
      </c>
      <c r="C164" s="112">
        <f>VLOOKUP(B164,$B$145:$C$148,2,FALSE)</f>
        <v>155</v>
      </c>
      <c r="D164" s="112">
        <f>$C$123</f>
        <v>5010</v>
      </c>
      <c r="E164" s="111">
        <f>C164*D164/1000000</f>
        <v>0.77654999999999996</v>
      </c>
      <c r="F164" s="111">
        <f>(E164/$C$119)*$C$120</f>
        <v>5.7196317280453265E-3</v>
      </c>
      <c r="G164" s="111">
        <f>E164/$C$119</f>
        <v>2.19985835694051E-3</v>
      </c>
      <c r="H164" s="110"/>
      <c r="I164" s="19">
        <f>E164/F164</f>
        <v>135.76923076923075</v>
      </c>
      <c r="J164" s="109">
        <f>($C$141-$D$141)/E164</f>
        <v>152.3018479170691</v>
      </c>
      <c r="K164" s="108">
        <f>1/COUNT($I$154:$I$156)</f>
        <v>0.33333333333333331</v>
      </c>
      <c r="N164" s="26"/>
      <c r="O164" s="27"/>
      <c r="P164" s="27"/>
      <c r="Q164" s="27"/>
    </row>
    <row r="165" spans="2:17">
      <c r="B165" s="7" t="s">
        <v>0</v>
      </c>
      <c r="C165" s="103">
        <f>SUMPRODUCT(K162:K164,C162:C164)</f>
        <v>215.66666666666666</v>
      </c>
      <c r="D165" s="103">
        <f>SUMPRODUCT(D162:D164,K162:K164)</f>
        <v>5010</v>
      </c>
      <c r="E165" s="7">
        <f>SUMPRODUCT(E162:E164,K162:K164)</f>
        <v>1.08049</v>
      </c>
      <c r="F165" s="107">
        <f>SUMPRODUCT(F162:F164,K162:K164)</f>
        <v>7.9582832861189792E-3</v>
      </c>
      <c r="G165" s="107">
        <f>SUMPRODUCT(G162:G164,K162:K164)</f>
        <v>3.0608781869688384E-3</v>
      </c>
      <c r="H165" s="106">
        <f>SUMPRODUCT(H162:H164,K162:K164)</f>
        <v>0</v>
      </c>
      <c r="I165" s="105">
        <f>SUMPRODUCT(I162:I164,K162:K164)</f>
        <v>135.76923076923075</v>
      </c>
      <c r="J165" s="104">
        <f>SUMPRODUCT(J162:J164,K162:K164)</f>
        <v>114.7803939824737</v>
      </c>
      <c r="K165" s="103"/>
      <c r="N165" s="26"/>
      <c r="O165" s="27"/>
      <c r="P165" s="27"/>
      <c r="Q165" s="27"/>
    </row>
    <row r="166" spans="2:17">
      <c r="B166" s="26"/>
      <c r="C166" s="185"/>
      <c r="D166" s="26"/>
      <c r="E166" s="26"/>
      <c r="F166" s="26"/>
      <c r="G166" s="26"/>
      <c r="H166" s="26"/>
      <c r="I166" s="26"/>
      <c r="J166" s="26"/>
      <c r="K166" s="26"/>
      <c r="L166" s="26"/>
      <c r="M166" s="26"/>
      <c r="N166" s="26"/>
      <c r="O166" s="27"/>
      <c r="P166" s="27"/>
      <c r="Q166" s="27"/>
    </row>
    <row r="167" spans="2:17">
      <c r="G167" s="26"/>
      <c r="H167" s="26"/>
      <c r="I167" s="26"/>
      <c r="J167" s="26"/>
      <c r="K167" s="26"/>
      <c r="L167" s="26"/>
      <c r="M167" s="26"/>
    </row>
  </sheetData>
  <mergeCells count="8">
    <mergeCell ref="B144:B145"/>
    <mergeCell ref="C144:C145"/>
    <mergeCell ref="D128:D129"/>
    <mergeCell ref="D139:D140"/>
    <mergeCell ref="B139:B140"/>
    <mergeCell ref="C139:C140"/>
    <mergeCell ref="B128:B129"/>
    <mergeCell ref="C128:C129"/>
  </mergeCells>
  <dataValidations count="5">
    <dataValidation type="list" allowBlank="1" showInputMessage="1" showErrorMessage="1" sqref="C59:L59" xr:uid="{00000000-0002-0000-0F00-000004000000}">
      <formula1>$N$19:$AQ$19</formula1>
    </dataValidation>
    <dataValidation type="list" allowBlank="1" showInputMessage="1" showErrorMessage="1" sqref="E11:E20" xr:uid="{00000000-0002-0000-0F00-000003000000}">
      <formula1>$N$16:$O$16</formula1>
    </dataValidation>
    <dataValidation type="list" allowBlank="1" showInputMessage="1" showErrorMessage="1" sqref="D11:D20" xr:uid="{00000000-0002-0000-0F00-000002000000}">
      <formula1>$N$22:$AE$22</formula1>
    </dataValidation>
    <dataValidation type="list" allowBlank="1" showInputMessage="1" showErrorMessage="1" sqref="B11:C20" xr:uid="{00000000-0002-0000-0F00-000001000000}">
      <formula1>$N$7:$Q$7</formula1>
    </dataValidation>
    <dataValidation type="list" allowBlank="1" showInputMessage="1" showErrorMessage="1" sqref="D7" xr:uid="{00000000-0002-0000-0F00-000000000000}">
      <formula1>$N$11:$O$11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C91B-3DF5-4F4D-8C74-E32395AF4132}">
  <sheetPr codeName="Sheet292">
    <tabColor indexed="27"/>
  </sheetPr>
  <dimension ref="A1:AQ125"/>
  <sheetViews>
    <sheetView zoomScale="80" zoomScaleNormal="80" workbookViewId="0">
      <selection activeCell="F8" sqref="F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Res Induction Cooking Appliance</v>
      </c>
      <c r="C7" s="98" t="s">
        <v>374</v>
      </c>
      <c r="D7" s="97" t="s">
        <v>212</v>
      </c>
      <c r="E7" s="97">
        <f>C117</f>
        <v>16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Res Induction Cooking Appliance_Res, E - Appl (MD)</v>
      </c>
      <c r="J11" s="83" t="str">
        <f t="shared" ref="J11:J20" si="3">IF(B11="","",CONCATENATE($C$7,IF(C11="","",CONCATENATE(" with ",C11," Secondary Fuel"))))</f>
        <v>Residential Induction Cooking Appliances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Res Induction Cooking Appliance_Res,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Res Induction Cooking Appliance_Res,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Res Induction Cooking Appliance_Res,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2298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2299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2300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E125</f>
        <v>11.5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G125</f>
        <v>0.1036036036036036</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949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H125</f>
        <v>82.521739130434781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Residential Induction Cooking Appliances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372</v>
      </c>
    </row>
    <row r="111" spans="1:22">
      <c r="B111" s="58" t="s">
        <v>46</v>
      </c>
      <c r="C111" s="58" t="s">
        <v>45</v>
      </c>
      <c r="D111" s="58" t="s">
        <v>44</v>
      </c>
      <c r="E111" s="58" t="s">
        <v>43</v>
      </c>
    </row>
    <row r="112" spans="1:22">
      <c r="B112" s="57" t="s">
        <v>362</v>
      </c>
      <c r="C112" s="57">
        <v>111</v>
      </c>
      <c r="D112" s="57" t="s">
        <v>364</v>
      </c>
      <c r="E112" t="s">
        <v>371</v>
      </c>
    </row>
    <row r="113" spans="2:17">
      <c r="B113" s="57" t="s">
        <v>361</v>
      </c>
      <c r="C113" s="57">
        <v>122.5</v>
      </c>
      <c r="D113" s="57" t="s">
        <v>364</v>
      </c>
      <c r="E113" t="s">
        <v>370</v>
      </c>
    </row>
    <row r="114" spans="2:17">
      <c r="B114" s="57" t="s">
        <v>309</v>
      </c>
      <c r="C114" s="181">
        <v>239</v>
      </c>
      <c r="D114" s="57" t="s">
        <v>364</v>
      </c>
      <c r="E114" s="57" t="s">
        <v>369</v>
      </c>
    </row>
    <row r="115" spans="2:17">
      <c r="B115" s="57" t="s">
        <v>34</v>
      </c>
      <c r="C115" s="181">
        <v>0.28999999999999998</v>
      </c>
      <c r="D115" s="57" t="s">
        <v>364</v>
      </c>
      <c r="E115" s="57" t="s">
        <v>368</v>
      </c>
    </row>
    <row r="116" spans="2:17">
      <c r="B116" s="57" t="s">
        <v>367</v>
      </c>
      <c r="C116" s="181">
        <v>1.1100000000000001</v>
      </c>
      <c r="D116" s="57" t="s">
        <v>364</v>
      </c>
      <c r="E116" t="s">
        <v>366</v>
      </c>
    </row>
    <row r="117" spans="2:17">
      <c r="B117" s="57" t="s">
        <v>305</v>
      </c>
      <c r="C117" s="57">
        <v>16</v>
      </c>
      <c r="D117" s="57" t="s">
        <v>364</v>
      </c>
      <c r="E117" s="57" t="s">
        <v>365</v>
      </c>
    </row>
    <row r="118" spans="2:17">
      <c r="B118" s="57" t="s">
        <v>9</v>
      </c>
      <c r="C118" s="180">
        <v>949</v>
      </c>
      <c r="D118" s="57" t="s">
        <v>364</v>
      </c>
      <c r="E118" s="57" t="s">
        <v>363</v>
      </c>
    </row>
    <row r="119" spans="2:17">
      <c r="B119" s="58"/>
      <c r="C119" s="58"/>
      <c r="D119" s="58"/>
      <c r="E119" s="58"/>
    </row>
    <row r="120" spans="2:17">
      <c r="B120" s="26"/>
      <c r="C120" s="26"/>
      <c r="D120" s="26"/>
      <c r="E120" s="26"/>
      <c r="F120" s="26"/>
      <c r="G120" s="26"/>
      <c r="H120" s="26"/>
      <c r="I120" s="26"/>
      <c r="J120" s="26"/>
      <c r="K120" s="26"/>
      <c r="L120" s="26"/>
      <c r="M120" s="26"/>
      <c r="N120" s="26"/>
      <c r="O120" s="27"/>
      <c r="P120" s="27"/>
      <c r="Q120" s="27"/>
    </row>
    <row r="121" spans="2:17">
      <c r="B121" s="26"/>
      <c r="C121" s="26"/>
      <c r="D121" s="26"/>
      <c r="E121" s="223"/>
      <c r="F121" s="26"/>
      <c r="G121" s="26"/>
      <c r="H121" s="26"/>
      <c r="I121" s="26"/>
      <c r="J121" s="26"/>
      <c r="K121" s="26"/>
      <c r="L121" s="26"/>
      <c r="M121" s="26"/>
      <c r="N121" s="26"/>
      <c r="O121" s="27"/>
      <c r="P121" s="27"/>
      <c r="Q121" s="27"/>
    </row>
    <row r="122" spans="2:17">
      <c r="B122" s="21" t="s">
        <v>251</v>
      </c>
      <c r="C122" s="21"/>
      <c r="D122" s="21"/>
      <c r="E122" s="21"/>
      <c r="F122" s="21"/>
      <c r="G122" s="21"/>
      <c r="H122" s="21"/>
      <c r="I122" s="21"/>
      <c r="J122" s="21"/>
      <c r="K122" s="21"/>
      <c r="L122" s="21"/>
    </row>
    <row r="123" spans="2:17" ht="26.25">
      <c r="B123" s="52"/>
      <c r="C123" s="52" t="s">
        <v>362</v>
      </c>
      <c r="D123" s="52" t="s">
        <v>361</v>
      </c>
      <c r="E123" s="21" t="s">
        <v>289</v>
      </c>
      <c r="F123" s="114" t="s">
        <v>246</v>
      </c>
      <c r="G123" s="52" t="s">
        <v>244</v>
      </c>
      <c r="H123" s="114" t="s">
        <v>242</v>
      </c>
      <c r="I123" s="52" t="s">
        <v>7</v>
      </c>
      <c r="J123" s="21"/>
      <c r="K123" s="21"/>
      <c r="L123" s="114"/>
    </row>
    <row r="124" spans="2:17">
      <c r="B124" s="50"/>
      <c r="C124" s="50">
        <v>111</v>
      </c>
      <c r="D124" s="117">
        <v>122.5</v>
      </c>
      <c r="E124" s="117">
        <f>D124-C124</f>
        <v>11.5</v>
      </c>
      <c r="F124" s="48">
        <f>(D124-C124)*C116*C115/C114</f>
        <v>1.5488912133891213E-2</v>
      </c>
      <c r="G124" s="119">
        <f>E124/C124</f>
        <v>0.1036036036036036</v>
      </c>
      <c r="H124" s="115">
        <f>$C$118/E124</f>
        <v>82.521739130434781</v>
      </c>
      <c r="I124" s="119">
        <f>1/COUNT($H$124:$H$124)</f>
        <v>1</v>
      </c>
      <c r="J124" s="156"/>
      <c r="K124" s="155"/>
      <c r="L124" s="154"/>
    </row>
    <row r="125" spans="2:17">
      <c r="B125" s="7" t="s">
        <v>0</v>
      </c>
      <c r="C125" s="6">
        <f t="shared" ref="C125:H125" si="28">SUMPRODUCT(C124:C124,$I$124:$I$124)</f>
        <v>111</v>
      </c>
      <c r="D125" s="6">
        <f t="shared" si="28"/>
        <v>122.5</v>
      </c>
      <c r="E125" s="6">
        <f t="shared" si="28"/>
        <v>11.5</v>
      </c>
      <c r="F125" s="124">
        <f t="shared" si="28"/>
        <v>1.5488912133891213E-2</v>
      </c>
      <c r="G125" s="123">
        <f t="shared" si="28"/>
        <v>0.1036036036036036</v>
      </c>
      <c r="H125" s="4">
        <f t="shared" si="28"/>
        <v>82.521739130434781</v>
      </c>
      <c r="I125" s="2"/>
      <c r="J125" s="26"/>
      <c r="K125" s="26"/>
      <c r="L125" s="26"/>
    </row>
  </sheetData>
  <dataValidations count="5">
    <dataValidation type="list" allowBlank="1" showInputMessage="1" showErrorMessage="1" sqref="C59:L59" xr:uid="{00000000-0002-0000-1100-000004000000}">
      <formula1>$N$19:$AQ$19</formula1>
    </dataValidation>
    <dataValidation type="list" allowBlank="1" showInputMessage="1" showErrorMessage="1" sqref="E11:E20" xr:uid="{00000000-0002-0000-1100-000003000000}">
      <formula1>$N$16:$O$16</formula1>
    </dataValidation>
    <dataValidation type="list" allowBlank="1" showInputMessage="1" showErrorMessage="1" sqref="D11:D20" xr:uid="{00000000-0002-0000-1100-000002000000}">
      <formula1>$N$22:$AE$22</formula1>
    </dataValidation>
    <dataValidation type="list" allowBlank="1" showInputMessage="1" showErrorMessage="1" sqref="B11:C20" xr:uid="{00000000-0002-0000-1100-000001000000}">
      <formula1>$N$7:$Q$7</formula1>
    </dataValidation>
    <dataValidation type="list" allowBlank="1" showInputMessage="1" showErrorMessage="1" sqref="D7" xr:uid="{00000000-0002-0000-1100-000000000000}">
      <formula1>$N$11:$O$11</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B337-4566-4CA6-B068-E690A1F10451}">
  <sheetPr codeName="Sheet130">
    <tabColor indexed="27"/>
  </sheetPr>
  <dimension ref="A1:AQ197"/>
  <sheetViews>
    <sheetView zoomScale="85" zoomScaleNormal="85"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140625" style="1" customWidth="1"/>
    <col min="5" max="5" width="18.140625" style="1" customWidth="1"/>
    <col min="6" max="6" width="28.5703125" style="1" customWidth="1"/>
    <col min="7" max="7" width="19.85546875" style="1" customWidth="1"/>
    <col min="8" max="8" width="16.42578125" style="1" customWidth="1"/>
    <col min="9" max="9" width="21.285156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MF Clothes Washer</v>
      </c>
      <c r="C7" s="98" t="s">
        <v>2424</v>
      </c>
      <c r="D7" s="97" t="s">
        <v>212</v>
      </c>
      <c r="E7" s="97">
        <f>C132</f>
        <v>14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MF Clothes Washer_Res, E - Appl (MD)</v>
      </c>
      <c r="J11" s="83" t="str">
        <f t="shared" ref="J11:J20" si="3">IF(B11="","",CONCATENATE($C$7,IF(C11="","",CONCATENATE(" with ",C11," Secondary Fuel"))))</f>
        <v>Multifamily Common Area Clothes Washer</v>
      </c>
      <c r="K11" s="83"/>
      <c r="M11" s="94" t="s">
        <v>123</v>
      </c>
      <c r="N11" s="93" t="s">
        <v>212</v>
      </c>
      <c r="O11" s="93" t="s">
        <v>211</v>
      </c>
    </row>
    <row r="12" spans="1:17">
      <c r="A12" s="1">
        <v>2</v>
      </c>
      <c r="B12" s="97" t="s">
        <v>205</v>
      </c>
      <c r="C12" s="97"/>
      <c r="D12" s="98" t="s">
        <v>113</v>
      </c>
      <c r="E12" s="99" t="s">
        <v>202</v>
      </c>
      <c r="F12" s="99"/>
      <c r="G12" s="83" t="str">
        <f t="shared" si="0"/>
        <v>E</v>
      </c>
      <c r="H12" s="83" t="str">
        <f t="shared" si="1"/>
        <v xml:space="preserve">HWat </v>
      </c>
      <c r="I12" s="83" t="str">
        <f t="shared" ca="1" si="2"/>
        <v>MF Clothes Washer_Res, E - HWat  (MD)</v>
      </c>
      <c r="J12" s="83" t="str">
        <f t="shared" si="3"/>
        <v>Multifamily Common Area Clothes Washer</v>
      </c>
      <c r="K12" s="83"/>
      <c r="M12" s="94" t="s">
        <v>154</v>
      </c>
      <c r="N12" s="93" t="s">
        <v>210</v>
      </c>
      <c r="O12" s="93" t="s">
        <v>209</v>
      </c>
    </row>
    <row r="13" spans="1:17">
      <c r="A13" s="1">
        <v>3</v>
      </c>
      <c r="B13" s="97" t="s">
        <v>205</v>
      </c>
      <c r="C13" s="97" t="s">
        <v>227</v>
      </c>
      <c r="D13" s="97" t="s">
        <v>112</v>
      </c>
      <c r="E13" s="99" t="s">
        <v>202</v>
      </c>
      <c r="F13" s="99"/>
      <c r="G13" s="83" t="str">
        <f t="shared" si="0"/>
        <v>E/P</v>
      </c>
      <c r="H13" s="83" t="str">
        <f t="shared" si="1"/>
        <v>Appl</v>
      </c>
      <c r="I13" s="83" t="str">
        <f t="shared" ca="1" si="2"/>
        <v>MF Clothes Washer_Res, E/P - Appl (MD)</v>
      </c>
      <c r="J13" s="83" t="str">
        <f t="shared" si="3"/>
        <v>Multifamily Common Area Clothes Washer with Propane Secondary Fuel</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MF Clothes Washer_Res, E - Appl (MD)</v>
      </c>
      <c r="D33" s="83" t="str">
        <f t="shared" ca="1" si="5"/>
        <v>MF Clothes Washer_Res, E - HWat  (MD)</v>
      </c>
      <c r="E33" s="83" t="str">
        <f t="shared" ca="1" si="5"/>
        <v>MF Clothes Washer_Res, E/P - Appl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MF Clothes Washer_Res, E - Appl (MD)</v>
      </c>
      <c r="N33" s="84" t="str">
        <f t="shared" ca="1" si="6"/>
        <v>MF Clothes Washer_Res, E - HWat  (MD)</v>
      </c>
      <c r="O33" s="84" t="str">
        <f t="shared" ca="1" si="6"/>
        <v>MF Clothes Washer_Res, E/P - Appl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Multifamily Common Area Clothes Washer</v>
      </c>
      <c r="D34" s="83" t="str">
        <f t="shared" si="8"/>
        <v>Multifamily Common Area Clothes Washer</v>
      </c>
      <c r="E34" s="83" t="str">
        <f t="shared" si="8"/>
        <v>Multifamily Common Area Clothes Washer with Propane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126</v>
      </c>
      <c r="D35" s="82" t="s">
        <v>126</v>
      </c>
      <c r="E35" s="82" t="s">
        <v>125</v>
      </c>
      <c r="F35" s="82"/>
      <c r="G35" s="82"/>
      <c r="H35" s="82"/>
      <c r="I35" s="82"/>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Multifamily Common Area Clothes Washer</v>
      </c>
      <c r="D36" s="65" t="str">
        <f>D34</f>
        <v>Multifamily Common Area Clothes Washer</v>
      </c>
      <c r="E36" s="65" t="str">
        <f>E34</f>
        <v>Multifamily Common Area Clothes Washer with Propane Secondary Fuel</v>
      </c>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t="str">
        <f t="shared" si="10"/>
        <v>Residential</v>
      </c>
      <c r="E37" s="83" t="str">
        <f t="shared" si="10"/>
        <v>Residential</v>
      </c>
      <c r="F37" s="83"/>
      <c r="G37" s="83"/>
      <c r="H37" s="83"/>
      <c r="I37" s="83"/>
      <c r="J37" s="83"/>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121</v>
      </c>
      <c r="D38" s="82" t="s">
        <v>121</v>
      </c>
      <c r="E38" s="82" t="s">
        <v>120</v>
      </c>
      <c r="F38" s="82"/>
      <c r="G38" s="82"/>
      <c r="H38" s="82"/>
      <c r="I38" s="82"/>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14</v>
      </c>
      <c r="D39" s="83">
        <f t="shared" si="11"/>
        <v>14</v>
      </c>
      <c r="E39" s="83">
        <f t="shared" si="11"/>
        <v>14</v>
      </c>
      <c r="F39" s="83"/>
      <c r="G39" s="83"/>
      <c r="H39" s="83"/>
      <c r="I39" s="83"/>
      <c r="J39" s="83"/>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c r="G41" s="83"/>
      <c r="H41" s="83"/>
      <c r="I41" s="83"/>
      <c r="J41" s="83"/>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Prp</v>
      </c>
      <c r="F42" s="83"/>
      <c r="G42" s="83"/>
      <c r="H42" s="83"/>
      <c r="I42" s="83"/>
      <c r="J42" s="83"/>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Water Heating</v>
      </c>
      <c r="E43" s="83" t="str">
        <f t="shared" si="14"/>
        <v>Appliances</v>
      </c>
      <c r="F43" s="83"/>
      <c r="G43" s="83"/>
      <c r="H43" s="83"/>
      <c r="I43" s="83"/>
      <c r="J43" s="83"/>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t="s">
        <v>113</v>
      </c>
      <c r="F44" s="82"/>
      <c r="G44" s="82"/>
      <c r="H44" s="82"/>
      <c r="I44" s="82"/>
      <c r="J44" s="82"/>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MF Clothes Washer_Res, E - Appl (MD)</v>
      </c>
      <c r="D49" s="65" t="str">
        <f ca="1">C33</f>
        <v>MF Clothes Washer_Res, E - Appl (MD)</v>
      </c>
      <c r="E49" s="65" t="str">
        <f ca="1">E33</f>
        <v>MF Clothes Washer_Res, E/P - Appl (MD)</v>
      </c>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Multifamily Common Area Clothes Washer</v>
      </c>
      <c r="D52" s="66" t="str">
        <f t="shared" si="16"/>
        <v>Multifamily Common Area Clothes Washer</v>
      </c>
      <c r="E52" s="66" t="str">
        <f t="shared" si="16"/>
        <v>Multifamily Common Area Clothes Washer with Propane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C54</f>
        <v>#REF!</v>
      </c>
      <c r="E54" s="65" t="e">
        <f>D54</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100</v>
      </c>
      <c r="D55" s="65" t="s">
        <v>100</v>
      </c>
      <c r="E55" s="65" t="s">
        <v>99</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97</v>
      </c>
      <c r="D56" s="82" t="s">
        <v>97</v>
      </c>
      <c r="E56" s="82" t="s">
        <v>96</v>
      </c>
      <c r="F56" s="82"/>
      <c r="G56" s="82"/>
      <c r="H56" s="82"/>
      <c r="I56" s="82"/>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v>2024</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v>2027</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200</v>
      </c>
      <c r="D59" s="82" t="s">
        <v>200</v>
      </c>
      <c r="E59" s="65" t="str">
        <f>C59</f>
        <v>Multifamily</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90</v>
      </c>
      <c r="D60" s="82" t="s">
        <v>90</v>
      </c>
      <c r="E60" s="65" t="str">
        <f>C60</f>
        <v>per washer</v>
      </c>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81"/>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81"/>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79"/>
      <c r="D63" s="80"/>
      <c r="E63" s="79"/>
      <c r="F63" s="79"/>
      <c r="G63" s="79"/>
      <c r="H63" s="79"/>
      <c r="I63" s="79"/>
      <c r="J63" s="79"/>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76">
        <f>K167+K179</f>
        <v>152.82069340496997</v>
      </c>
      <c r="D64" s="78">
        <f>K173</f>
        <v>55.614554043800453</v>
      </c>
      <c r="E64" s="76">
        <f>K167+K179</f>
        <v>152.82069340496997</v>
      </c>
      <c r="F64" s="77"/>
      <c r="G64" s="76"/>
      <c r="H64" s="67"/>
      <c r="I64" s="67"/>
      <c r="J64" s="67"/>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(K167*L167/(K167+K173))+(K173*L173/(K167+K173))</f>
        <v>0.53665856391605682</v>
      </c>
      <c r="D65" s="74">
        <f>L173</f>
        <v>0.58819191660286163</v>
      </c>
      <c r="E65" s="74">
        <f>(K167*L167/(K167+K179+K186))+(K186*L186/(K167+K179+K186))+(K179*L179/(K167+K179+K186))</f>
        <v>0.30861477935843917</v>
      </c>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c r="A66" s="1">
        <f t="shared" ref="A66:A87" si="20">A65+1</f>
        <v>34</v>
      </c>
      <c r="B66" s="65" t="s">
        <v>83</v>
      </c>
      <c r="C66" s="65"/>
      <c r="D66" s="72"/>
      <c r="E66" s="65"/>
      <c r="F66" s="65"/>
      <c r="G66" s="65"/>
      <c r="H66" s="65"/>
      <c r="I66" s="65"/>
      <c r="J66" s="65"/>
      <c r="K66" s="65"/>
      <c r="L66" s="65"/>
      <c r="M66" s="64" t="str">
        <f t="shared" ref="M66:S68" ca="1" si="21">IF(M$33="","","-")</f>
        <v>-</v>
      </c>
      <c r="N66" s="64" t="str">
        <f t="shared" ca="1" si="21"/>
        <v>-</v>
      </c>
      <c r="O66" s="64" t="str">
        <f t="shared" ca="1" si="21"/>
        <v>-</v>
      </c>
      <c r="P66" s="64" t="str">
        <f t="shared" si="21"/>
        <v/>
      </c>
      <c r="Q66" s="64" t="str">
        <f t="shared" si="21"/>
        <v/>
      </c>
      <c r="R66" s="64" t="str">
        <f t="shared" si="21"/>
        <v/>
      </c>
      <c r="S66" s="64" t="str">
        <f t="shared" si="21"/>
        <v/>
      </c>
      <c r="T66" s="64" t="str">
        <f t="shared" si="19"/>
        <v/>
      </c>
      <c r="U66" s="64" t="str">
        <f t="shared" si="19"/>
        <v/>
      </c>
      <c r="V66" s="64" t="str">
        <f t="shared" si="19"/>
        <v/>
      </c>
    </row>
    <row r="67" spans="1:22">
      <c r="A67" s="1">
        <f t="shared" si="20"/>
        <v>35</v>
      </c>
      <c r="B67" s="65" t="s">
        <v>82</v>
      </c>
      <c r="C67" s="65"/>
      <c r="D67" s="72"/>
      <c r="E67" s="65"/>
      <c r="F67" s="65"/>
      <c r="G67" s="65"/>
      <c r="H67" s="65"/>
      <c r="I67" s="65"/>
      <c r="J67" s="65"/>
      <c r="K67" s="65"/>
      <c r="L67" s="65"/>
      <c r="M67" s="64" t="str">
        <f t="shared" ca="1" si="21"/>
        <v>-</v>
      </c>
      <c r="N67" s="64" t="str">
        <f t="shared" ca="1" si="21"/>
        <v>-</v>
      </c>
      <c r="O67" s="64" t="str">
        <f t="shared" ca="1" si="21"/>
        <v>-</v>
      </c>
      <c r="P67" s="64" t="str">
        <f t="shared" si="21"/>
        <v/>
      </c>
      <c r="Q67" s="64" t="str">
        <f t="shared" si="21"/>
        <v/>
      </c>
      <c r="R67" s="64" t="str">
        <f t="shared" si="21"/>
        <v/>
      </c>
      <c r="S67" s="64" t="str">
        <f t="shared" si="21"/>
        <v/>
      </c>
      <c r="T67" s="64" t="str">
        <f t="shared" si="19"/>
        <v/>
      </c>
      <c r="U67" s="64" t="str">
        <f t="shared" si="19"/>
        <v/>
      </c>
      <c r="V67" s="64" t="str">
        <f t="shared" si="19"/>
        <v/>
      </c>
    </row>
    <row r="68" spans="1:22">
      <c r="A68" s="1">
        <f t="shared" si="20"/>
        <v>36</v>
      </c>
      <c r="B68" s="65" t="s">
        <v>9</v>
      </c>
      <c r="C68" s="71">
        <f>H160</f>
        <v>90.333333333333329</v>
      </c>
      <c r="D68" s="71"/>
      <c r="E68" s="71">
        <f>H160</f>
        <v>90.333333333333329</v>
      </c>
      <c r="F68" s="71"/>
      <c r="G68" s="71"/>
      <c r="H68" s="71"/>
      <c r="I68" s="71"/>
      <c r="J68" s="70"/>
      <c r="K68" s="65"/>
      <c r="L68" s="65"/>
      <c r="M68" s="64" t="str">
        <f t="shared" ca="1" si="21"/>
        <v>-</v>
      </c>
      <c r="N68" s="64" t="str">
        <f t="shared" ca="1" si="21"/>
        <v>-</v>
      </c>
      <c r="O68" s="64" t="str">
        <f t="shared" ca="1" si="21"/>
        <v>-</v>
      </c>
      <c r="P68" s="64" t="str">
        <f t="shared" si="21"/>
        <v/>
      </c>
      <c r="Q68" s="64" t="str">
        <f t="shared" si="21"/>
        <v/>
      </c>
      <c r="R68" s="64" t="str">
        <f t="shared" si="21"/>
        <v/>
      </c>
      <c r="S68" s="64" t="str">
        <f t="shared" si="21"/>
        <v/>
      </c>
      <c r="T68" s="64" t="str">
        <f t="shared" si="19"/>
        <v/>
      </c>
      <c r="U68" s="64" t="str">
        <f t="shared" si="19"/>
        <v/>
      </c>
      <c r="V68" s="64" t="str">
        <f t="shared" si="19"/>
        <v/>
      </c>
    </row>
    <row r="69" spans="1:22">
      <c r="A69" s="1">
        <f t="shared" si="20"/>
        <v>37</v>
      </c>
      <c r="B69" s="65" t="s">
        <v>81</v>
      </c>
      <c r="C69" s="70">
        <f>I160</f>
        <v>9.2303689607878407</v>
      </c>
      <c r="D69" s="70"/>
      <c r="E69" s="70">
        <f>I160</f>
        <v>9.2303689607878407</v>
      </c>
      <c r="F69" s="70"/>
      <c r="G69" s="70"/>
      <c r="H69" s="70"/>
      <c r="I69" s="70"/>
      <c r="J69" s="70"/>
      <c r="K69" s="70"/>
      <c r="L69" s="70" t="str">
        <f>IFERROR(L68/L64,"")</f>
        <v/>
      </c>
      <c r="M69" s="69">
        <v>4</v>
      </c>
      <c r="N69" s="69">
        <v>4</v>
      </c>
      <c r="O69" s="69">
        <v>4</v>
      </c>
      <c r="P69" s="69">
        <v>4</v>
      </c>
      <c r="Q69" s="69">
        <v>4</v>
      </c>
      <c r="R69" s="69">
        <v>4</v>
      </c>
      <c r="S69" s="69">
        <v>4</v>
      </c>
      <c r="T69" s="69" t="str">
        <f t="shared" si="19"/>
        <v/>
      </c>
      <c r="U69" s="69" t="str">
        <f t="shared" si="19"/>
        <v/>
      </c>
      <c r="V69" s="69" t="str">
        <f t="shared" si="19"/>
        <v/>
      </c>
    </row>
    <row r="70" spans="1:22">
      <c r="A70" s="1">
        <f t="shared" si="20"/>
        <v>38</v>
      </c>
      <c r="M70" s="64" t="str">
        <f t="shared" ref="M70:S79" ca="1" si="22">IF(M$33="","","-")</f>
        <v>-</v>
      </c>
      <c r="N70" s="64" t="str">
        <f t="shared" ca="1" si="22"/>
        <v>-</v>
      </c>
      <c r="O70" s="64" t="str">
        <f t="shared" ca="1" si="22"/>
        <v>-</v>
      </c>
      <c r="P70" s="64" t="str">
        <f t="shared" si="22"/>
        <v/>
      </c>
      <c r="Q70" s="64" t="str">
        <f t="shared" si="22"/>
        <v/>
      </c>
      <c r="R70" s="64" t="str">
        <f t="shared" si="22"/>
        <v/>
      </c>
      <c r="S70" s="64" t="str">
        <f t="shared" si="22"/>
        <v/>
      </c>
      <c r="T70" s="64" t="str">
        <f t="shared" si="19"/>
        <v/>
      </c>
      <c r="U70" s="64" t="str">
        <f t="shared" si="19"/>
        <v/>
      </c>
      <c r="V70" s="64" t="str">
        <f t="shared" si="19"/>
        <v/>
      </c>
    </row>
    <row r="71" spans="1:22">
      <c r="A71" s="1">
        <f t="shared" si="20"/>
        <v>39</v>
      </c>
      <c r="B71" s="1" t="s">
        <v>80</v>
      </c>
      <c r="C71" s="66" t="str">
        <f t="shared" ref="C71:L71" si="23">C52</f>
        <v>Multifamily Common Area Clothes Washer</v>
      </c>
      <c r="D71" s="66" t="str">
        <f t="shared" si="23"/>
        <v>Multifamily Common Area Clothes Washer</v>
      </c>
      <c r="E71" s="66" t="str">
        <f t="shared" si="23"/>
        <v>Multifamily Common Area Clothes Washer with Propane Secondary Fuel</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si="22"/>
        <v/>
      </c>
      <c r="Q71" s="64" t="str">
        <f t="shared" si="22"/>
        <v/>
      </c>
      <c r="R71" s="64" t="str">
        <f t="shared" si="22"/>
        <v/>
      </c>
      <c r="S71" s="64" t="str">
        <f t="shared" si="22"/>
        <v/>
      </c>
      <c r="T71" s="64" t="str">
        <f t="shared" si="19"/>
        <v/>
      </c>
      <c r="U71" s="64" t="str">
        <f t="shared" si="19"/>
        <v/>
      </c>
      <c r="V71" s="64" t="str">
        <f t="shared" si="19"/>
        <v/>
      </c>
    </row>
    <row r="72" spans="1:22">
      <c r="A72" s="1">
        <f t="shared" si="20"/>
        <v>40</v>
      </c>
      <c r="B72" s="65" t="s">
        <v>79</v>
      </c>
      <c r="C72" s="67"/>
      <c r="D72" s="65"/>
      <c r="E72" s="68">
        <f>K186</f>
        <v>2.3909364158078339</v>
      </c>
      <c r="F72" s="65"/>
      <c r="G72" s="67"/>
      <c r="H72" s="67"/>
      <c r="I72" s="67"/>
      <c r="J72" s="67"/>
      <c r="K72" s="65"/>
      <c r="L72" s="65"/>
      <c r="M72" s="64" t="str">
        <f t="shared" ca="1" si="22"/>
        <v>-</v>
      </c>
      <c r="N72" s="64" t="str">
        <f t="shared" ca="1" si="22"/>
        <v>-</v>
      </c>
      <c r="O72" s="64" t="str">
        <f t="shared" ca="1" si="22"/>
        <v>-</v>
      </c>
      <c r="P72" s="64" t="str">
        <f t="shared" si="22"/>
        <v/>
      </c>
      <c r="Q72" s="64" t="str">
        <f t="shared" si="22"/>
        <v/>
      </c>
      <c r="R72" s="64" t="str">
        <f t="shared" si="22"/>
        <v/>
      </c>
      <c r="S72" s="64" t="str">
        <f t="shared" si="22"/>
        <v/>
      </c>
      <c r="T72" s="64" t="str">
        <f t="shared" si="19"/>
        <v/>
      </c>
      <c r="U72" s="64" t="str">
        <f t="shared" si="19"/>
        <v/>
      </c>
      <c r="V72" s="64" t="str">
        <f t="shared" si="19"/>
        <v/>
      </c>
    </row>
    <row r="73" spans="1:22">
      <c r="A73" s="1">
        <f t="shared" si="20"/>
        <v>41</v>
      </c>
      <c r="B73" s="65" t="s">
        <v>78</v>
      </c>
      <c r="C73" s="67"/>
      <c r="D73" s="65"/>
      <c r="E73" s="68">
        <f>E72/C64</f>
        <v>1.5645370810299417E-2</v>
      </c>
      <c r="F73" s="65"/>
      <c r="G73" s="68"/>
      <c r="H73" s="67"/>
      <c r="I73" s="67"/>
      <c r="J73" s="67"/>
      <c r="K73" s="65"/>
      <c r="L73" s="65"/>
      <c r="M73" s="64" t="str">
        <f t="shared" ca="1" si="22"/>
        <v>-</v>
      </c>
      <c r="N73" s="64" t="str">
        <f t="shared" ca="1" si="22"/>
        <v>-</v>
      </c>
      <c r="O73" s="64" t="str">
        <f t="shared" ca="1" si="22"/>
        <v>-</v>
      </c>
      <c r="P73" s="64" t="str">
        <f t="shared" si="22"/>
        <v/>
      </c>
      <c r="Q73" s="64" t="str">
        <f t="shared" si="22"/>
        <v/>
      </c>
      <c r="R73" s="64" t="str">
        <f t="shared" si="22"/>
        <v/>
      </c>
      <c r="S73" s="64" t="str">
        <f t="shared" si="22"/>
        <v/>
      </c>
      <c r="T73" s="64" t="str">
        <f t="shared" si="19"/>
        <v/>
      </c>
      <c r="U73" s="64" t="str">
        <f t="shared" si="19"/>
        <v/>
      </c>
      <c r="V73" s="64" t="str">
        <f t="shared" si="19"/>
        <v/>
      </c>
    </row>
    <row r="74" spans="1:22">
      <c r="A74" s="1">
        <f t="shared" si="20"/>
        <v>42</v>
      </c>
      <c r="M74" s="64" t="str">
        <f t="shared" ca="1" si="22"/>
        <v>-</v>
      </c>
      <c r="N74" s="64" t="str">
        <f t="shared" ca="1" si="22"/>
        <v>-</v>
      </c>
      <c r="O74" s="64" t="str">
        <f t="shared" ca="1" si="22"/>
        <v>-</v>
      </c>
      <c r="P74" s="64" t="str">
        <f t="shared" si="22"/>
        <v/>
      </c>
      <c r="Q74" s="64" t="str">
        <f t="shared" si="22"/>
        <v/>
      </c>
      <c r="R74" s="64" t="str">
        <f t="shared" si="22"/>
        <v/>
      </c>
      <c r="S74" s="64" t="str">
        <f t="shared" si="22"/>
        <v/>
      </c>
      <c r="T74" s="64" t="str">
        <f t="shared" si="19"/>
        <v/>
      </c>
      <c r="U74" s="64" t="str">
        <f t="shared" si="19"/>
        <v/>
      </c>
      <c r="V74" s="64" t="str">
        <f t="shared" si="19"/>
        <v/>
      </c>
    </row>
    <row r="75" spans="1:22">
      <c r="A75" s="1">
        <f t="shared" si="20"/>
        <v>43</v>
      </c>
      <c r="B75" s="1" t="s">
        <v>77</v>
      </c>
      <c r="M75" s="64" t="str">
        <f t="shared" ca="1" si="22"/>
        <v>-</v>
      </c>
      <c r="N75" s="64" t="str">
        <f t="shared" ca="1" si="22"/>
        <v>-</v>
      </c>
      <c r="O75" s="64" t="str">
        <f t="shared" ca="1" si="22"/>
        <v>-</v>
      </c>
      <c r="P75" s="64" t="str">
        <f t="shared" si="22"/>
        <v/>
      </c>
      <c r="Q75" s="64" t="str">
        <f t="shared" si="22"/>
        <v/>
      </c>
      <c r="R75" s="64" t="str">
        <f t="shared" si="22"/>
        <v/>
      </c>
      <c r="S75" s="64" t="str">
        <f t="shared" si="22"/>
        <v/>
      </c>
      <c r="T75" s="64" t="str">
        <f t="shared" si="19"/>
        <v/>
      </c>
      <c r="U75" s="64" t="str">
        <f t="shared" si="19"/>
        <v/>
      </c>
      <c r="V75" s="64" t="str">
        <f t="shared" si="19"/>
        <v/>
      </c>
    </row>
    <row r="76" spans="1:22">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si="22"/>
        <v/>
      </c>
      <c r="Q76" s="64" t="str">
        <f t="shared" si="22"/>
        <v/>
      </c>
      <c r="R76" s="64" t="str">
        <f t="shared" si="22"/>
        <v/>
      </c>
      <c r="S76" s="64" t="str">
        <f t="shared" si="22"/>
        <v/>
      </c>
      <c r="T76" s="64" t="str">
        <f t="shared" si="19"/>
        <v/>
      </c>
      <c r="U76" s="64" t="str">
        <f t="shared" si="19"/>
        <v/>
      </c>
      <c r="V76" s="64" t="str">
        <f t="shared" si="19"/>
        <v/>
      </c>
    </row>
    <row r="77" spans="1:22">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si="22"/>
        <v/>
      </c>
      <c r="Q77" s="64" t="str">
        <f t="shared" si="22"/>
        <v/>
      </c>
      <c r="R77" s="64" t="str">
        <f t="shared" si="22"/>
        <v/>
      </c>
      <c r="S77" s="64" t="str">
        <f t="shared" si="22"/>
        <v/>
      </c>
      <c r="T77" s="64" t="str">
        <f t="shared" si="19"/>
        <v/>
      </c>
      <c r="U77" s="64" t="str">
        <f t="shared" si="19"/>
        <v/>
      </c>
      <c r="V77" s="64" t="str">
        <f t="shared" si="19"/>
        <v/>
      </c>
    </row>
    <row r="78" spans="1:22">
      <c r="A78" s="1">
        <f t="shared" si="20"/>
        <v>46</v>
      </c>
      <c r="B78" s="65" t="s">
        <v>74</v>
      </c>
      <c r="C78" s="65"/>
      <c r="D78" s="65"/>
      <c r="E78" s="65"/>
      <c r="F78" s="65"/>
      <c r="G78" s="65"/>
      <c r="H78" s="65"/>
      <c r="I78" s="65"/>
      <c r="J78" s="65"/>
      <c r="K78" s="65"/>
      <c r="L78" s="65"/>
      <c r="M78" s="64" t="str">
        <f t="shared" ca="1" si="22"/>
        <v>-</v>
      </c>
      <c r="N78" s="64" t="str">
        <f t="shared" ca="1" si="22"/>
        <v>-</v>
      </c>
      <c r="O78" s="64" t="str">
        <f t="shared" ca="1" si="22"/>
        <v>-</v>
      </c>
      <c r="P78" s="64" t="str">
        <f t="shared" si="22"/>
        <v/>
      </c>
      <c r="Q78" s="64" t="str">
        <f t="shared" si="22"/>
        <v/>
      </c>
      <c r="R78" s="64" t="str">
        <f t="shared" si="22"/>
        <v/>
      </c>
      <c r="S78" s="64" t="str">
        <f t="shared" si="22"/>
        <v/>
      </c>
      <c r="T78" s="64" t="str">
        <f t="shared" si="19"/>
        <v/>
      </c>
      <c r="U78" s="64" t="str">
        <f t="shared" si="19"/>
        <v/>
      </c>
      <c r="V78" s="64" t="str">
        <f t="shared" si="19"/>
        <v/>
      </c>
    </row>
    <row r="79" spans="1:22">
      <c r="A79" s="1">
        <f t="shared" si="20"/>
        <v>47</v>
      </c>
      <c r="B79" s="65" t="s">
        <v>73</v>
      </c>
      <c r="C79" s="65"/>
      <c r="D79" s="65"/>
      <c r="E79" s="65"/>
      <c r="F79" s="65"/>
      <c r="G79" s="65"/>
      <c r="H79" s="65"/>
      <c r="I79" s="65"/>
      <c r="J79" s="65"/>
      <c r="K79" s="65"/>
      <c r="L79" s="65"/>
      <c r="M79" s="64" t="str">
        <f t="shared" ca="1" si="22"/>
        <v>-</v>
      </c>
      <c r="N79" s="64" t="str">
        <f t="shared" ca="1" si="22"/>
        <v>-</v>
      </c>
      <c r="O79" s="64" t="str">
        <f t="shared" ca="1" si="22"/>
        <v>-</v>
      </c>
      <c r="P79" s="64" t="str">
        <f t="shared" si="22"/>
        <v/>
      </c>
      <c r="Q79" s="64" t="str">
        <f t="shared" si="22"/>
        <v/>
      </c>
      <c r="R79" s="64" t="str">
        <f t="shared" si="22"/>
        <v/>
      </c>
      <c r="S79" s="64" t="str">
        <f t="shared" si="22"/>
        <v/>
      </c>
      <c r="T79" s="64" t="str">
        <f t="shared" si="19"/>
        <v/>
      </c>
      <c r="U79" s="64" t="str">
        <f t="shared" si="19"/>
        <v/>
      </c>
      <c r="V79" s="64" t="str">
        <f t="shared" si="19"/>
        <v/>
      </c>
    </row>
    <row r="80" spans="1:22">
      <c r="A80" s="1">
        <f t="shared" si="20"/>
        <v>48</v>
      </c>
      <c r="B80" s="65" t="s">
        <v>72</v>
      </c>
      <c r="C80" s="65"/>
      <c r="D80" s="65"/>
      <c r="E80" s="65"/>
      <c r="F80" s="65"/>
      <c r="G80" s="65"/>
      <c r="H80" s="65"/>
      <c r="I80" s="65"/>
      <c r="J80" s="65"/>
      <c r="K80" s="65"/>
      <c r="L80" s="65"/>
      <c r="M80" s="64" t="str">
        <f t="shared" ref="M80:S89" ca="1" si="24">IF(M$33="","","-")</f>
        <v>-</v>
      </c>
      <c r="N80" s="64" t="str">
        <f t="shared" ca="1" si="24"/>
        <v>-</v>
      </c>
      <c r="O80" s="64" t="str">
        <f t="shared" ca="1" si="24"/>
        <v>-</v>
      </c>
      <c r="P80" s="64" t="str">
        <f t="shared" si="24"/>
        <v/>
      </c>
      <c r="Q80" s="64" t="str">
        <f t="shared" si="24"/>
        <v/>
      </c>
      <c r="R80" s="64" t="str">
        <f t="shared" si="24"/>
        <v/>
      </c>
      <c r="S80" s="64" t="str">
        <f t="shared" si="24"/>
        <v/>
      </c>
      <c r="T80" s="64" t="str">
        <f t="shared" si="19"/>
        <v/>
      </c>
      <c r="U80" s="64" t="str">
        <f t="shared" si="19"/>
        <v/>
      </c>
      <c r="V80" s="64" t="str">
        <f t="shared" si="19"/>
        <v/>
      </c>
    </row>
    <row r="81" spans="1:22">
      <c r="A81" s="1">
        <f t="shared" si="20"/>
        <v>49</v>
      </c>
      <c r="M81" s="64" t="str">
        <f t="shared" ca="1" si="24"/>
        <v>-</v>
      </c>
      <c r="N81" s="64" t="str">
        <f t="shared" ca="1" si="24"/>
        <v>-</v>
      </c>
      <c r="O81" s="64" t="str">
        <f t="shared" ca="1" si="24"/>
        <v>-</v>
      </c>
      <c r="P81" s="64" t="str">
        <f t="shared" si="24"/>
        <v/>
      </c>
      <c r="Q81" s="64" t="str">
        <f t="shared" si="24"/>
        <v/>
      </c>
      <c r="R81" s="64" t="str">
        <f t="shared" si="24"/>
        <v/>
      </c>
      <c r="S81" s="64" t="str">
        <f t="shared" si="24"/>
        <v/>
      </c>
      <c r="T81" s="64" t="str">
        <f t="shared" si="19"/>
        <v/>
      </c>
      <c r="U81" s="64" t="str">
        <f t="shared" si="19"/>
        <v/>
      </c>
      <c r="V81" s="64" t="str">
        <f t="shared" si="19"/>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si="24"/>
        <v/>
      </c>
      <c r="Q82" s="64" t="str">
        <f t="shared" si="24"/>
        <v/>
      </c>
      <c r="R82" s="64" t="str">
        <f t="shared" si="24"/>
        <v/>
      </c>
      <c r="S82" s="64" t="str">
        <f t="shared" si="24"/>
        <v/>
      </c>
      <c r="T82" s="64" t="str">
        <f t="shared" si="19"/>
        <v/>
      </c>
      <c r="U82" s="64" t="str">
        <f t="shared" si="19"/>
        <v/>
      </c>
      <c r="V82" s="64" t="str">
        <f t="shared" si="19"/>
        <v/>
      </c>
    </row>
    <row r="83" spans="1:22">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si="24"/>
        <v/>
      </c>
      <c r="Q83" s="64" t="str">
        <f t="shared" si="24"/>
        <v/>
      </c>
      <c r="R83" s="64" t="str">
        <f t="shared" si="24"/>
        <v/>
      </c>
      <c r="S83" s="64" t="str">
        <f t="shared" si="24"/>
        <v/>
      </c>
      <c r="T83" s="64" t="str">
        <f t="shared" si="19"/>
        <v/>
      </c>
      <c r="U83" s="64" t="str">
        <f t="shared" si="19"/>
        <v/>
      </c>
      <c r="V83" s="64" t="str">
        <f t="shared" si="19"/>
        <v/>
      </c>
    </row>
    <row r="84" spans="1:22">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si="24"/>
        <v/>
      </c>
      <c r="Q84" s="64" t="str">
        <f t="shared" si="24"/>
        <v/>
      </c>
      <c r="R84" s="64" t="str">
        <f t="shared" si="24"/>
        <v/>
      </c>
      <c r="S84" s="64" t="str">
        <f t="shared" si="24"/>
        <v/>
      </c>
      <c r="T84" s="64" t="str">
        <f t="shared" si="19"/>
        <v/>
      </c>
      <c r="U84" s="64" t="str">
        <f t="shared" si="19"/>
        <v/>
      </c>
      <c r="V84" s="64" t="str">
        <f t="shared" si="19"/>
        <v/>
      </c>
    </row>
    <row r="85" spans="1:22">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si="24"/>
        <v/>
      </c>
      <c r="Q86" s="64" t="str">
        <f t="shared" si="24"/>
        <v/>
      </c>
      <c r="R86" s="64" t="str">
        <f t="shared" si="24"/>
        <v/>
      </c>
      <c r="S86" s="64" t="str">
        <f t="shared" si="24"/>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c r="M88" s="64" t="str">
        <f t="shared" ca="1" si="24"/>
        <v>-</v>
      </c>
      <c r="N88" s="64" t="str">
        <f t="shared" ca="1" si="24"/>
        <v>-</v>
      </c>
      <c r="O88" s="64" t="str">
        <f t="shared" ca="1" si="24"/>
        <v>-</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c r="M89" s="64" t="str">
        <f t="shared" ca="1" si="24"/>
        <v>-</v>
      </c>
      <c r="N89" s="64" t="str">
        <f t="shared" ca="1" si="24"/>
        <v>-</v>
      </c>
      <c r="O89" s="64" t="str">
        <f t="shared" ca="1" si="24"/>
        <v>-</v>
      </c>
      <c r="P89" s="64" t="str">
        <f t="shared" si="24"/>
        <v/>
      </c>
      <c r="Q89" s="64" t="str">
        <f t="shared" si="24"/>
        <v/>
      </c>
      <c r="R89" s="64" t="str">
        <f t="shared" si="24"/>
        <v/>
      </c>
      <c r="S89" s="64" t="str">
        <f t="shared" si="24"/>
        <v/>
      </c>
      <c r="T89" s="64" t="str">
        <f t="shared" si="26"/>
        <v/>
      </c>
      <c r="U89" s="64" t="str">
        <f t="shared" si="26"/>
        <v/>
      </c>
      <c r="V89" s="64" t="str">
        <f t="shared" si="26"/>
        <v/>
      </c>
    </row>
    <row r="90" spans="1:22">
      <c r="A90" s="1">
        <f>A87+1</f>
        <v>56</v>
      </c>
      <c r="B90" s="65" t="s">
        <v>65</v>
      </c>
      <c r="C90" s="65"/>
      <c r="D90" s="65"/>
      <c r="E90" s="65"/>
      <c r="F90" s="65"/>
      <c r="G90" s="65"/>
      <c r="H90" s="65"/>
      <c r="I90" s="65"/>
      <c r="J90" s="65"/>
      <c r="K90" s="65"/>
      <c r="L90" s="65"/>
      <c r="M90" s="64" t="str">
        <f t="shared" ref="M90:S99" ca="1" si="27">IF(M$33="","","-")</f>
        <v>-</v>
      </c>
      <c r="N90" s="64" t="str">
        <f t="shared" ca="1" si="27"/>
        <v>-</v>
      </c>
      <c r="O90" s="64" t="str">
        <f t="shared" ca="1" si="27"/>
        <v>-</v>
      </c>
      <c r="P90" s="64" t="str">
        <f t="shared" si="27"/>
        <v/>
      </c>
      <c r="Q90" s="64" t="str">
        <f t="shared" si="27"/>
        <v/>
      </c>
      <c r="R90" s="64" t="str">
        <f t="shared" si="27"/>
        <v/>
      </c>
      <c r="S90" s="64" t="str">
        <f t="shared" si="27"/>
        <v/>
      </c>
      <c r="T90" s="64" t="str">
        <f t="shared" si="26"/>
        <v/>
      </c>
      <c r="U90" s="64" t="str">
        <f t="shared" si="26"/>
        <v/>
      </c>
      <c r="V90" s="64" t="str">
        <f t="shared" si="26"/>
        <v/>
      </c>
    </row>
    <row r="91" spans="1:22">
      <c r="A91" s="1">
        <f t="shared" ref="A91:A105" si="28">A90+1</f>
        <v>57</v>
      </c>
      <c r="B91" s="65" t="s">
        <v>64</v>
      </c>
      <c r="C91" s="65"/>
      <c r="D91" s="65"/>
      <c r="E91" s="65"/>
      <c r="F91" s="65"/>
      <c r="G91" s="65"/>
      <c r="H91" s="65"/>
      <c r="I91" s="65"/>
      <c r="J91" s="65"/>
      <c r="K91" s="65"/>
      <c r="L91" s="65"/>
      <c r="M91" s="64" t="str">
        <f t="shared" ca="1" si="27"/>
        <v>-</v>
      </c>
      <c r="N91" s="64" t="str">
        <f t="shared" ca="1" si="27"/>
        <v>-</v>
      </c>
      <c r="O91" s="64" t="str">
        <f t="shared" ca="1" si="27"/>
        <v>-</v>
      </c>
      <c r="P91" s="64" t="str">
        <f t="shared" si="27"/>
        <v/>
      </c>
      <c r="Q91" s="64" t="str">
        <f t="shared" si="27"/>
        <v/>
      </c>
      <c r="R91" s="64" t="str">
        <f t="shared" si="27"/>
        <v/>
      </c>
      <c r="S91" s="64" t="str">
        <f t="shared" si="27"/>
        <v/>
      </c>
      <c r="T91" s="64" t="str">
        <f t="shared" si="26"/>
        <v/>
      </c>
      <c r="U91" s="64" t="str">
        <f t="shared" si="26"/>
        <v/>
      </c>
      <c r="V91" s="64" t="str">
        <f t="shared" si="26"/>
        <v/>
      </c>
    </row>
    <row r="92" spans="1:22">
      <c r="A92" s="1">
        <f t="shared" si="28"/>
        <v>58</v>
      </c>
      <c r="B92" s="65" t="s">
        <v>63</v>
      </c>
      <c r="C92" s="65"/>
      <c r="D92" s="65"/>
      <c r="E92" s="65"/>
      <c r="F92" s="65"/>
      <c r="G92" s="65"/>
      <c r="H92" s="65"/>
      <c r="I92" s="65"/>
      <c r="J92" s="65"/>
      <c r="K92" s="65"/>
      <c r="L92" s="65"/>
      <c r="M92" s="64" t="str">
        <f t="shared" ca="1" si="27"/>
        <v>-</v>
      </c>
      <c r="N92" s="64" t="str">
        <f t="shared" ca="1" si="27"/>
        <v>-</v>
      </c>
      <c r="O92" s="64" t="str">
        <f t="shared" ca="1" si="27"/>
        <v>-</v>
      </c>
      <c r="P92" s="64" t="str">
        <f t="shared" si="27"/>
        <v/>
      </c>
      <c r="Q92" s="64" t="str">
        <f t="shared" si="27"/>
        <v/>
      </c>
      <c r="R92" s="64" t="str">
        <f t="shared" si="27"/>
        <v/>
      </c>
      <c r="S92" s="64" t="str">
        <f t="shared" si="27"/>
        <v/>
      </c>
      <c r="T92" s="64" t="str">
        <f t="shared" si="26"/>
        <v/>
      </c>
      <c r="U92" s="64" t="str">
        <f t="shared" si="26"/>
        <v/>
      </c>
      <c r="V92" s="64" t="str">
        <f t="shared" si="26"/>
        <v/>
      </c>
    </row>
    <row r="93" spans="1:22">
      <c r="A93" s="1">
        <f t="shared" si="28"/>
        <v>59</v>
      </c>
      <c r="B93" s="65" t="s">
        <v>62</v>
      </c>
      <c r="C93" s="65"/>
      <c r="D93" s="65"/>
      <c r="E93" s="65"/>
      <c r="F93" s="65"/>
      <c r="G93" s="65"/>
      <c r="H93" s="65"/>
      <c r="I93" s="65"/>
      <c r="J93" s="65"/>
      <c r="K93" s="65"/>
      <c r="L93" s="65"/>
      <c r="M93" s="64" t="str">
        <f t="shared" ca="1" si="27"/>
        <v>-</v>
      </c>
      <c r="N93" s="64" t="str">
        <f t="shared" ca="1" si="27"/>
        <v>-</v>
      </c>
      <c r="O93" s="64" t="str">
        <f t="shared" ca="1" si="27"/>
        <v>-</v>
      </c>
      <c r="P93" s="64" t="str">
        <f t="shared" si="27"/>
        <v/>
      </c>
      <c r="Q93" s="64" t="str">
        <f t="shared" si="27"/>
        <v/>
      </c>
      <c r="R93" s="64" t="str">
        <f t="shared" si="27"/>
        <v/>
      </c>
      <c r="S93" s="64" t="str">
        <f t="shared" si="27"/>
        <v/>
      </c>
      <c r="T93" s="64" t="str">
        <f t="shared" si="26"/>
        <v/>
      </c>
      <c r="U93" s="64" t="str">
        <f t="shared" si="26"/>
        <v/>
      </c>
      <c r="V93" s="64" t="str">
        <f t="shared" si="26"/>
        <v/>
      </c>
    </row>
    <row r="94" spans="1:22">
      <c r="A94" s="1">
        <f t="shared" si="28"/>
        <v>60</v>
      </c>
      <c r="B94" s="65" t="s">
        <v>61</v>
      </c>
      <c r="C94" s="65"/>
      <c r="D94" s="65"/>
      <c r="E94" s="65"/>
      <c r="F94" s="65"/>
      <c r="G94" s="65"/>
      <c r="H94" s="65"/>
      <c r="I94" s="65"/>
      <c r="J94" s="65"/>
      <c r="K94" s="65"/>
      <c r="L94" s="65"/>
      <c r="M94" s="64" t="str">
        <f t="shared" ca="1" si="27"/>
        <v>-</v>
      </c>
      <c r="N94" s="64" t="str">
        <f t="shared" ca="1" si="27"/>
        <v>-</v>
      </c>
      <c r="O94" s="64" t="str">
        <f t="shared" ca="1" si="27"/>
        <v>-</v>
      </c>
      <c r="P94" s="64" t="str">
        <f t="shared" si="27"/>
        <v/>
      </c>
      <c r="Q94" s="64" t="str">
        <f t="shared" si="27"/>
        <v/>
      </c>
      <c r="R94" s="64" t="str">
        <f t="shared" si="27"/>
        <v/>
      </c>
      <c r="S94" s="64" t="str">
        <f t="shared" si="27"/>
        <v/>
      </c>
      <c r="T94" s="64" t="str">
        <f t="shared" si="26"/>
        <v/>
      </c>
      <c r="U94" s="64" t="str">
        <f t="shared" si="26"/>
        <v/>
      </c>
      <c r="V94" s="64" t="str">
        <f t="shared" si="26"/>
        <v/>
      </c>
    </row>
    <row r="95" spans="1:22">
      <c r="A95" s="1">
        <f t="shared" si="28"/>
        <v>61</v>
      </c>
      <c r="B95" s="65" t="s">
        <v>60</v>
      </c>
      <c r="C95" s="65"/>
      <c r="D95" s="65"/>
      <c r="E95" s="65"/>
      <c r="F95" s="65"/>
      <c r="G95" s="65"/>
      <c r="H95" s="65"/>
      <c r="I95" s="65"/>
      <c r="J95" s="65"/>
      <c r="K95" s="65"/>
      <c r="L95" s="65"/>
      <c r="M95" s="64" t="str">
        <f t="shared" ca="1" si="27"/>
        <v>-</v>
      </c>
      <c r="N95" s="64" t="str">
        <f t="shared" ca="1" si="27"/>
        <v>-</v>
      </c>
      <c r="O95" s="64" t="str">
        <f t="shared" ca="1" si="27"/>
        <v>-</v>
      </c>
      <c r="P95" s="64" t="str">
        <f t="shared" si="27"/>
        <v/>
      </c>
      <c r="Q95" s="64" t="str">
        <f t="shared" si="27"/>
        <v/>
      </c>
      <c r="R95" s="64" t="str">
        <f t="shared" si="27"/>
        <v/>
      </c>
      <c r="S95" s="64" t="str">
        <f t="shared" si="27"/>
        <v/>
      </c>
      <c r="T95" s="64" t="str">
        <f t="shared" si="26"/>
        <v/>
      </c>
      <c r="U95" s="64" t="str">
        <f t="shared" si="26"/>
        <v/>
      </c>
      <c r="V95" s="64" t="str">
        <f t="shared" si="26"/>
        <v/>
      </c>
    </row>
    <row r="96" spans="1:22">
      <c r="A96" s="1">
        <f t="shared" si="28"/>
        <v>62</v>
      </c>
      <c r="B96" s="65" t="s">
        <v>59</v>
      </c>
      <c r="C96" s="65"/>
      <c r="D96" s="65"/>
      <c r="E96" s="65"/>
      <c r="F96" s="65"/>
      <c r="G96" s="65"/>
      <c r="H96" s="65"/>
      <c r="I96" s="65"/>
      <c r="J96" s="65"/>
      <c r="K96" s="65"/>
      <c r="L96" s="65"/>
      <c r="M96" s="64" t="str">
        <f t="shared" ca="1" si="27"/>
        <v>-</v>
      </c>
      <c r="N96" s="64" t="str">
        <f t="shared" ca="1" si="27"/>
        <v>-</v>
      </c>
      <c r="O96" s="64" t="str">
        <f t="shared" ca="1" si="27"/>
        <v>-</v>
      </c>
      <c r="P96" s="64" t="str">
        <f t="shared" si="27"/>
        <v/>
      </c>
      <c r="Q96" s="64" t="str">
        <f t="shared" si="27"/>
        <v/>
      </c>
      <c r="R96" s="64" t="str">
        <f t="shared" si="27"/>
        <v/>
      </c>
      <c r="S96" s="64" t="str">
        <f t="shared" si="27"/>
        <v/>
      </c>
      <c r="T96" s="64" t="str">
        <f t="shared" si="26"/>
        <v/>
      </c>
      <c r="U96" s="64" t="str">
        <f t="shared" si="26"/>
        <v/>
      </c>
      <c r="V96" s="64" t="str">
        <f t="shared" si="26"/>
        <v/>
      </c>
    </row>
    <row r="97" spans="1:22">
      <c r="A97" s="1">
        <f t="shared" si="28"/>
        <v>63</v>
      </c>
      <c r="B97" s="65" t="s">
        <v>58</v>
      </c>
      <c r="C97" s="65"/>
      <c r="D97" s="65"/>
      <c r="E97" s="65"/>
      <c r="F97" s="65"/>
      <c r="G97" s="65"/>
      <c r="H97" s="65"/>
      <c r="I97" s="65"/>
      <c r="J97" s="65"/>
      <c r="K97" s="65"/>
      <c r="L97" s="65"/>
      <c r="M97" s="64" t="str">
        <f t="shared" ca="1" si="27"/>
        <v>-</v>
      </c>
      <c r="N97" s="64" t="str">
        <f t="shared" ca="1" si="27"/>
        <v>-</v>
      </c>
      <c r="O97" s="64" t="str">
        <f t="shared" ca="1" si="27"/>
        <v>-</v>
      </c>
      <c r="P97" s="64" t="str">
        <f t="shared" si="27"/>
        <v/>
      </c>
      <c r="Q97" s="64" t="str">
        <f t="shared" si="27"/>
        <v/>
      </c>
      <c r="R97" s="64" t="str">
        <f t="shared" si="27"/>
        <v/>
      </c>
      <c r="S97" s="64" t="str">
        <f t="shared" si="27"/>
        <v/>
      </c>
      <c r="T97" s="64" t="str">
        <f t="shared" si="26"/>
        <v/>
      </c>
      <c r="U97" s="64" t="str">
        <f t="shared" si="26"/>
        <v/>
      </c>
      <c r="V97" s="64" t="str">
        <f t="shared" si="26"/>
        <v/>
      </c>
    </row>
    <row r="98" spans="1:22">
      <c r="A98" s="1">
        <f t="shared" si="28"/>
        <v>64</v>
      </c>
      <c r="B98" s="65" t="s">
        <v>57</v>
      </c>
      <c r="C98" s="65"/>
      <c r="D98" s="65"/>
      <c r="E98" s="65"/>
      <c r="F98" s="65"/>
      <c r="G98" s="65"/>
      <c r="H98" s="65"/>
      <c r="I98" s="65"/>
      <c r="J98" s="65"/>
      <c r="K98" s="65"/>
      <c r="L98" s="65"/>
      <c r="M98" s="64" t="str">
        <f t="shared" ca="1" si="27"/>
        <v>-</v>
      </c>
      <c r="N98" s="64" t="str">
        <f t="shared" ca="1" si="27"/>
        <v>-</v>
      </c>
      <c r="O98" s="64" t="str">
        <f t="shared" ca="1" si="27"/>
        <v>-</v>
      </c>
      <c r="P98" s="64" t="str">
        <f t="shared" si="27"/>
        <v/>
      </c>
      <c r="Q98" s="64" t="str">
        <f t="shared" si="27"/>
        <v/>
      </c>
      <c r="R98" s="64" t="str">
        <f t="shared" si="27"/>
        <v/>
      </c>
      <c r="S98" s="64" t="str">
        <f t="shared" si="27"/>
        <v/>
      </c>
      <c r="T98" s="64" t="str">
        <f t="shared" si="26"/>
        <v/>
      </c>
      <c r="U98" s="64" t="str">
        <f t="shared" si="26"/>
        <v/>
      </c>
      <c r="V98" s="64" t="str">
        <f t="shared" si="26"/>
        <v/>
      </c>
    </row>
    <row r="99" spans="1:22">
      <c r="A99" s="1">
        <f t="shared" si="28"/>
        <v>65</v>
      </c>
      <c r="B99" s="65" t="s">
        <v>56</v>
      </c>
      <c r="C99" s="65"/>
      <c r="D99" s="65"/>
      <c r="E99" s="65"/>
      <c r="F99" s="65"/>
      <c r="G99" s="65"/>
      <c r="H99" s="65"/>
      <c r="I99" s="65"/>
      <c r="J99" s="65"/>
      <c r="K99" s="65"/>
      <c r="L99" s="65"/>
      <c r="M99" s="64" t="str">
        <f t="shared" ca="1" si="27"/>
        <v>-</v>
      </c>
      <c r="N99" s="64" t="str">
        <f t="shared" ca="1" si="27"/>
        <v>-</v>
      </c>
      <c r="O99" s="64" t="str">
        <f t="shared" ca="1" si="27"/>
        <v>-</v>
      </c>
      <c r="P99" s="64" t="str">
        <f t="shared" si="27"/>
        <v/>
      </c>
      <c r="Q99" s="64" t="str">
        <f t="shared" si="27"/>
        <v/>
      </c>
      <c r="R99" s="64" t="str">
        <f t="shared" si="27"/>
        <v/>
      </c>
      <c r="S99" s="64" t="str">
        <f t="shared" si="27"/>
        <v/>
      </c>
      <c r="T99" s="64" t="str">
        <f t="shared" si="26"/>
        <v/>
      </c>
      <c r="U99" s="64" t="str">
        <f t="shared" si="26"/>
        <v/>
      </c>
      <c r="V99" s="64" t="str">
        <f t="shared" si="26"/>
        <v/>
      </c>
    </row>
    <row r="100" spans="1:22">
      <c r="A100" s="1">
        <f t="shared" si="28"/>
        <v>66</v>
      </c>
      <c r="B100" s="65" t="s">
        <v>55</v>
      </c>
      <c r="C100" s="65"/>
      <c r="D100" s="65"/>
      <c r="E100" s="65"/>
      <c r="F100" s="65"/>
      <c r="G100" s="65"/>
      <c r="H100" s="65"/>
      <c r="I100" s="65"/>
      <c r="J100" s="65"/>
      <c r="K100" s="65"/>
      <c r="L100" s="65"/>
      <c r="M100" s="64" t="str">
        <f t="shared" ref="M100:S105" ca="1" si="29">IF(M$33="","","-")</f>
        <v>-</v>
      </c>
      <c r="N100" s="64" t="str">
        <f t="shared" ca="1" si="29"/>
        <v>-</v>
      </c>
      <c r="O100" s="64" t="str">
        <f t="shared" ca="1" si="29"/>
        <v>-</v>
      </c>
      <c r="P100" s="64" t="str">
        <f t="shared" si="29"/>
        <v/>
      </c>
      <c r="Q100" s="64" t="str">
        <f t="shared" si="29"/>
        <v/>
      </c>
      <c r="R100" s="64" t="str">
        <f t="shared" si="29"/>
        <v/>
      </c>
      <c r="S100" s="64" t="str">
        <f t="shared" si="29"/>
        <v/>
      </c>
      <c r="T100" s="64" t="str">
        <f t="shared" si="26"/>
        <v/>
      </c>
      <c r="U100" s="64" t="str">
        <f t="shared" si="26"/>
        <v/>
      </c>
      <c r="V100" s="64" t="str">
        <f t="shared" si="26"/>
        <v/>
      </c>
    </row>
    <row r="101" spans="1:22">
      <c r="A101" s="1">
        <f t="shared" si="28"/>
        <v>67</v>
      </c>
      <c r="B101" s="65" t="s">
        <v>54</v>
      </c>
      <c r="C101" s="65"/>
      <c r="D101" s="65"/>
      <c r="E101" s="65"/>
      <c r="F101" s="65"/>
      <c r="G101" s="65"/>
      <c r="H101" s="65"/>
      <c r="I101" s="65"/>
      <c r="J101" s="65"/>
      <c r="K101" s="65"/>
      <c r="L101" s="65"/>
      <c r="M101" s="64" t="str">
        <f t="shared" ca="1" si="29"/>
        <v>-</v>
      </c>
      <c r="N101" s="64" t="str">
        <f t="shared" ca="1" si="29"/>
        <v>-</v>
      </c>
      <c r="O101" s="64" t="str">
        <f t="shared" ca="1" si="29"/>
        <v>-</v>
      </c>
      <c r="P101" s="64" t="str">
        <f t="shared" si="29"/>
        <v/>
      </c>
      <c r="Q101" s="64" t="str">
        <f t="shared" si="29"/>
        <v/>
      </c>
      <c r="R101" s="64" t="str">
        <f t="shared" si="29"/>
        <v/>
      </c>
      <c r="S101" s="64" t="str">
        <f t="shared" si="29"/>
        <v/>
      </c>
      <c r="T101" s="64" t="str">
        <f t="shared" si="26"/>
        <v/>
      </c>
      <c r="U101" s="64" t="str">
        <f t="shared" si="26"/>
        <v/>
      </c>
      <c r="V101" s="64" t="str">
        <f t="shared" si="26"/>
        <v/>
      </c>
    </row>
    <row r="102" spans="1:22">
      <c r="A102" s="1">
        <f t="shared" si="28"/>
        <v>68</v>
      </c>
      <c r="M102" s="64" t="str">
        <f t="shared" ca="1" si="29"/>
        <v>-</v>
      </c>
      <c r="N102" s="64" t="str">
        <f t="shared" ca="1" si="29"/>
        <v>-</v>
      </c>
      <c r="O102" s="64" t="str">
        <f t="shared" ca="1" si="29"/>
        <v>-</v>
      </c>
      <c r="P102" s="64" t="str">
        <f t="shared" si="29"/>
        <v/>
      </c>
      <c r="Q102" s="64" t="str">
        <f t="shared" si="29"/>
        <v/>
      </c>
      <c r="R102" s="64" t="str">
        <f t="shared" si="29"/>
        <v/>
      </c>
      <c r="S102" s="64" t="str">
        <f t="shared" si="29"/>
        <v/>
      </c>
      <c r="T102" s="64" t="str">
        <f t="shared" si="26"/>
        <v/>
      </c>
      <c r="U102" s="64" t="str">
        <f t="shared" si="26"/>
        <v/>
      </c>
      <c r="V102" s="64" t="str">
        <f t="shared" si="26"/>
        <v/>
      </c>
    </row>
    <row r="103" spans="1:22">
      <c r="A103" s="1">
        <f t="shared" si="28"/>
        <v>69</v>
      </c>
      <c r="B103" s="1" t="s">
        <v>53</v>
      </c>
      <c r="M103" s="64" t="str">
        <f t="shared" ca="1" si="29"/>
        <v>-</v>
      </c>
      <c r="N103" s="64" t="str">
        <f t="shared" ca="1" si="29"/>
        <v>-</v>
      </c>
      <c r="O103" s="64" t="str">
        <f t="shared" ca="1" si="29"/>
        <v>-</v>
      </c>
      <c r="P103" s="64" t="str">
        <f t="shared" si="29"/>
        <v/>
      </c>
      <c r="Q103" s="64" t="str">
        <f t="shared" si="29"/>
        <v/>
      </c>
      <c r="R103" s="64" t="str">
        <f t="shared" si="29"/>
        <v/>
      </c>
      <c r="S103" s="64" t="str">
        <f t="shared" si="29"/>
        <v/>
      </c>
      <c r="T103" s="64" t="str">
        <f t="shared" si="26"/>
        <v/>
      </c>
      <c r="U103" s="64" t="str">
        <f t="shared" si="26"/>
        <v/>
      </c>
      <c r="V103" s="64" t="str">
        <f t="shared" si="26"/>
        <v/>
      </c>
    </row>
    <row r="104" spans="1:22">
      <c r="A104" s="1">
        <f t="shared" si="28"/>
        <v>70</v>
      </c>
      <c r="B104" s="65" t="s">
        <v>52</v>
      </c>
      <c r="C104" s="65"/>
      <c r="D104" s="65"/>
      <c r="E104" s="65"/>
      <c r="F104" s="65"/>
      <c r="G104" s="65"/>
      <c r="H104" s="65"/>
      <c r="I104" s="65"/>
      <c r="J104" s="65"/>
      <c r="K104" s="65"/>
      <c r="L104" s="65"/>
      <c r="M104" s="64" t="str">
        <f t="shared" ca="1" si="29"/>
        <v>-</v>
      </c>
      <c r="N104" s="64" t="str">
        <f t="shared" ca="1" si="29"/>
        <v>-</v>
      </c>
      <c r="O104" s="64" t="str">
        <f t="shared" ca="1" si="29"/>
        <v>-</v>
      </c>
      <c r="P104" s="64" t="str">
        <f t="shared" si="29"/>
        <v/>
      </c>
      <c r="Q104" s="64" t="str">
        <f t="shared" si="29"/>
        <v/>
      </c>
      <c r="R104" s="64" t="str">
        <f t="shared" si="29"/>
        <v/>
      </c>
      <c r="S104" s="64" t="str">
        <f t="shared" si="29"/>
        <v/>
      </c>
      <c r="T104" s="64" t="str">
        <f t="shared" si="26"/>
        <v/>
      </c>
      <c r="U104" s="64" t="str">
        <f t="shared" si="26"/>
        <v/>
      </c>
      <c r="V104" s="64" t="str">
        <f t="shared" si="26"/>
        <v/>
      </c>
    </row>
    <row r="105" spans="1:22">
      <c r="A105" s="1">
        <f t="shared" si="28"/>
        <v>71</v>
      </c>
      <c r="B105" s="65" t="s">
        <v>51</v>
      </c>
      <c r="C105" s="65"/>
      <c r="D105" s="65"/>
      <c r="E105" s="65"/>
      <c r="F105" s="65"/>
      <c r="G105" s="65"/>
      <c r="H105" s="65"/>
      <c r="I105" s="65"/>
      <c r="J105" s="65"/>
      <c r="K105" s="65"/>
      <c r="L105" s="65"/>
      <c r="M105" s="64" t="str">
        <f t="shared" ca="1" si="29"/>
        <v>-</v>
      </c>
      <c r="N105" s="64" t="str">
        <f t="shared" ca="1" si="29"/>
        <v>-</v>
      </c>
      <c r="O105" s="64" t="str">
        <f t="shared" ca="1" si="29"/>
        <v>-</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c r="B108" s="63" t="s">
        <v>50</v>
      </c>
    </row>
    <row r="109" spans="1:22">
      <c r="B109" s="62"/>
      <c r="D109" s="62"/>
    </row>
    <row r="110" spans="1:22">
      <c r="B110" s="1" t="s">
        <v>285</v>
      </c>
      <c r="D110" s="62"/>
    </row>
    <row r="111" spans="1:22">
      <c r="B111" t="s">
        <v>284</v>
      </c>
      <c r="D111" s="62"/>
    </row>
    <row r="112" spans="1:22">
      <c r="B112" s="1" t="s">
        <v>48</v>
      </c>
      <c r="D112" s="62"/>
    </row>
    <row r="113" spans="1:16">
      <c r="A113" s="26"/>
      <c r="B113" s="26"/>
      <c r="C113" s="26"/>
      <c r="D113" s="26"/>
      <c r="E113" s="26"/>
      <c r="F113" s="61"/>
      <c r="G113" s="26"/>
      <c r="H113" s="26"/>
      <c r="I113" s="26"/>
      <c r="J113" s="26"/>
      <c r="K113" s="26"/>
    </row>
    <row r="114" spans="1:16" ht="18.75">
      <c r="A114" s="26"/>
      <c r="B114" s="60" t="s">
        <v>47</v>
      </c>
      <c r="C114" s="59"/>
      <c r="D114" s="59"/>
      <c r="E114" s="59"/>
      <c r="F114" s="59"/>
      <c r="G114" s="59"/>
      <c r="H114" s="59"/>
      <c r="I114" s="59"/>
      <c r="J114" s="59"/>
      <c r="K114" s="59"/>
      <c r="L114" s="59"/>
      <c r="M114" s="59"/>
      <c r="N114" s="59"/>
      <c r="O114"/>
      <c r="P114"/>
    </row>
    <row r="115" spans="1:16">
      <c r="A115" s="26"/>
      <c r="B115"/>
      <c r="C115"/>
      <c r="D115"/>
      <c r="E115"/>
      <c r="F115"/>
      <c r="G115"/>
      <c r="H115"/>
      <c r="I115"/>
      <c r="J115"/>
      <c r="K115"/>
      <c r="L115"/>
      <c r="M115"/>
      <c r="N115"/>
      <c r="O115"/>
      <c r="P115"/>
    </row>
    <row r="116" spans="1:16">
      <c r="A116" s="26"/>
      <c r="B116" s="58" t="s">
        <v>46</v>
      </c>
      <c r="C116" s="58" t="s">
        <v>45</v>
      </c>
      <c r="D116" s="58" t="s">
        <v>44</v>
      </c>
      <c r="E116" s="58" t="s">
        <v>43</v>
      </c>
      <c r="F116" s="26"/>
      <c r="G116" s="26"/>
      <c r="H116" s="26"/>
      <c r="I116" s="26"/>
      <c r="J116" s="26"/>
      <c r="K116" s="26"/>
      <c r="L116" s="26"/>
      <c r="M116" s="26"/>
      <c r="N116" s="27"/>
      <c r="O116" s="27"/>
      <c r="P116" s="27"/>
    </row>
    <row r="117" spans="1:16">
      <c r="B117" s="28" t="s">
        <v>263</v>
      </c>
      <c r="C117" s="28">
        <v>3.55</v>
      </c>
      <c r="D117" s="28" t="s">
        <v>2296</v>
      </c>
      <c r="E117" s="28" t="s">
        <v>41</v>
      </c>
      <c r="F117" s="26"/>
      <c r="G117" s="26"/>
      <c r="H117" s="26"/>
      <c r="I117" s="26"/>
      <c r="J117" s="26"/>
      <c r="K117" s="26"/>
      <c r="L117" s="26"/>
      <c r="M117" s="26"/>
      <c r="N117" s="27"/>
      <c r="O117" s="27"/>
      <c r="P117" s="27"/>
    </row>
    <row r="118" spans="1:16">
      <c r="B118" s="28" t="s">
        <v>262</v>
      </c>
      <c r="C118" s="28">
        <v>1.71</v>
      </c>
      <c r="D118" s="28" t="s">
        <v>2296</v>
      </c>
      <c r="E118" s="28" t="s">
        <v>283</v>
      </c>
      <c r="F118" s="26"/>
      <c r="G118" s="26"/>
      <c r="H118" s="26"/>
      <c r="I118" s="26"/>
      <c r="J118" s="26"/>
      <c r="K118" s="26"/>
      <c r="L118" s="26"/>
      <c r="M118" s="26"/>
      <c r="N118" s="27"/>
      <c r="O118" s="27"/>
      <c r="P118" s="27"/>
    </row>
    <row r="119" spans="1:16">
      <c r="B119" s="28" t="s">
        <v>256</v>
      </c>
      <c r="C119" s="28" t="s">
        <v>35</v>
      </c>
      <c r="D119" s="28" t="s">
        <v>2296</v>
      </c>
      <c r="E119" s="28" t="s">
        <v>282</v>
      </c>
      <c r="F119" s="26"/>
      <c r="G119" s="26"/>
      <c r="H119" s="26"/>
      <c r="I119" s="26"/>
      <c r="J119" s="26"/>
      <c r="K119" s="26"/>
      <c r="L119" s="26"/>
      <c r="M119" s="26"/>
      <c r="N119" s="27"/>
      <c r="O119" s="27"/>
      <c r="P119" s="27"/>
    </row>
    <row r="120" spans="1:16">
      <c r="B120" s="28" t="s">
        <v>12</v>
      </c>
      <c r="C120" s="28">
        <v>295</v>
      </c>
      <c r="D120" s="28" t="s">
        <v>2296</v>
      </c>
      <c r="E120" s="28" t="s">
        <v>38</v>
      </c>
      <c r="F120" s="26"/>
      <c r="G120" s="26"/>
      <c r="H120" s="26"/>
      <c r="I120" s="26"/>
      <c r="J120" s="26"/>
      <c r="K120" s="26"/>
      <c r="L120" s="26"/>
      <c r="M120" s="26"/>
      <c r="N120" s="27"/>
      <c r="O120" s="27"/>
      <c r="P120" s="27"/>
    </row>
    <row r="121" spans="1:16">
      <c r="B121" s="28" t="s">
        <v>261</v>
      </c>
      <c r="C121" s="28" t="s">
        <v>35</v>
      </c>
      <c r="D121" s="28" t="s">
        <v>2296</v>
      </c>
      <c r="E121" s="28" t="s">
        <v>281</v>
      </c>
      <c r="F121" s="26"/>
      <c r="G121" s="26"/>
      <c r="H121" s="26"/>
      <c r="I121" s="26"/>
      <c r="J121" s="26"/>
      <c r="K121" s="26"/>
      <c r="L121" s="26"/>
      <c r="M121" s="26"/>
      <c r="N121" s="27"/>
      <c r="O121" s="27"/>
      <c r="P121" s="27"/>
    </row>
    <row r="122" spans="1:16">
      <c r="B122" s="53" t="s">
        <v>260</v>
      </c>
      <c r="C122" s="28" t="s">
        <v>35</v>
      </c>
      <c r="D122" s="28" t="s">
        <v>2296</v>
      </c>
      <c r="E122" s="28" t="s">
        <v>280</v>
      </c>
      <c r="F122" s="26"/>
      <c r="K122" s="26"/>
      <c r="L122" s="26"/>
      <c r="M122" s="26"/>
      <c r="N122" s="27"/>
      <c r="O122" s="27"/>
      <c r="P122" s="27"/>
    </row>
    <row r="123" spans="1:16">
      <c r="B123" s="28" t="s">
        <v>259</v>
      </c>
      <c r="C123" s="56">
        <v>1</v>
      </c>
      <c r="D123" s="28" t="s">
        <v>2296</v>
      </c>
      <c r="E123" s="28" t="s">
        <v>279</v>
      </c>
      <c r="F123" s="26"/>
      <c r="K123" s="26"/>
      <c r="L123" s="26"/>
      <c r="M123" s="26"/>
      <c r="N123" s="27"/>
      <c r="O123" s="27"/>
      <c r="P123" s="27"/>
    </row>
    <row r="124" spans="1:16">
      <c r="B124" s="53" t="s">
        <v>258</v>
      </c>
      <c r="C124" s="28" t="s">
        <v>35</v>
      </c>
      <c r="D124" s="28" t="s">
        <v>2296</v>
      </c>
      <c r="E124" s="53" t="s">
        <v>278</v>
      </c>
      <c r="F124" s="26"/>
      <c r="L124" s="26"/>
      <c r="M124" s="26"/>
      <c r="N124" s="27"/>
      <c r="O124" s="27"/>
      <c r="P124" s="27"/>
    </row>
    <row r="125" spans="1:16">
      <c r="B125" s="53" t="s">
        <v>257</v>
      </c>
      <c r="C125" s="56">
        <v>1</v>
      </c>
      <c r="D125" s="28" t="s">
        <v>2296</v>
      </c>
      <c r="E125" s="53" t="s">
        <v>36</v>
      </c>
      <c r="F125" s="26"/>
      <c r="K125" s="26"/>
      <c r="L125" s="26"/>
      <c r="M125" s="26"/>
      <c r="N125" s="27"/>
      <c r="O125" s="27"/>
      <c r="P125" s="27"/>
    </row>
    <row r="126" spans="1:16">
      <c r="B126" s="28" t="s">
        <v>255</v>
      </c>
      <c r="C126" s="28" t="s">
        <v>35</v>
      </c>
      <c r="D126" s="28" t="s">
        <v>2296</v>
      </c>
      <c r="E126" s="28" t="s">
        <v>277</v>
      </c>
      <c r="F126"/>
      <c r="K126"/>
      <c r="L126"/>
      <c r="M126"/>
      <c r="N126"/>
      <c r="O126"/>
      <c r="P126"/>
    </row>
    <row r="127" spans="1:16">
      <c r="B127" s="53" t="s">
        <v>254</v>
      </c>
      <c r="C127" s="28" t="s">
        <v>35</v>
      </c>
      <c r="D127" s="28" t="s">
        <v>2296</v>
      </c>
      <c r="E127" s="28" t="s">
        <v>276</v>
      </c>
      <c r="F127"/>
      <c r="K127"/>
      <c r="L127"/>
      <c r="M127"/>
      <c r="N127"/>
      <c r="O127"/>
      <c r="P127"/>
    </row>
    <row r="128" spans="1:16">
      <c r="B128" s="53" t="s">
        <v>253</v>
      </c>
      <c r="C128" s="28" t="s">
        <v>35</v>
      </c>
      <c r="D128" s="28" t="s">
        <v>2296</v>
      </c>
      <c r="E128" s="53" t="s">
        <v>275</v>
      </c>
      <c r="F128"/>
      <c r="G128"/>
      <c r="H128"/>
      <c r="I128"/>
      <c r="J128"/>
      <c r="K128"/>
      <c r="L128"/>
      <c r="M128"/>
      <c r="N128"/>
      <c r="O128"/>
      <c r="P128"/>
    </row>
    <row r="129" spans="2:16">
      <c r="B129" s="53" t="s">
        <v>274</v>
      </c>
      <c r="C129" s="53"/>
      <c r="D129" s="28" t="s">
        <v>2296</v>
      </c>
      <c r="E129" s="53" t="s">
        <v>273</v>
      </c>
      <c r="F129"/>
      <c r="G129"/>
      <c r="H129"/>
      <c r="I129"/>
      <c r="J129"/>
      <c r="K129"/>
      <c r="L129"/>
      <c r="M129"/>
      <c r="N129"/>
      <c r="O129"/>
      <c r="P129"/>
    </row>
    <row r="130" spans="2:16">
      <c r="B130" s="28" t="s">
        <v>9</v>
      </c>
      <c r="C130" s="55" t="s">
        <v>35</v>
      </c>
      <c r="D130" s="28" t="s">
        <v>2296</v>
      </c>
      <c r="E130" s="53"/>
      <c r="F130"/>
      <c r="G130"/>
      <c r="H130"/>
      <c r="I130"/>
      <c r="J130"/>
      <c r="K130"/>
      <c r="L130"/>
      <c r="M130"/>
      <c r="N130"/>
      <c r="O130"/>
      <c r="P130"/>
    </row>
    <row r="131" spans="2:16">
      <c r="B131" s="53" t="s">
        <v>34</v>
      </c>
      <c r="C131" s="54">
        <v>3.7999999999999999E-2</v>
      </c>
      <c r="D131" s="28" t="s">
        <v>2296</v>
      </c>
      <c r="E131" s="53" t="s">
        <v>33</v>
      </c>
      <c r="F131"/>
      <c r="G131"/>
      <c r="H131"/>
      <c r="I131"/>
      <c r="J131"/>
      <c r="K131"/>
      <c r="L131"/>
      <c r="M131"/>
      <c r="N131"/>
      <c r="O131"/>
      <c r="P131"/>
    </row>
    <row r="132" spans="2:16">
      <c r="B132" s="28" t="s">
        <v>32</v>
      </c>
      <c r="C132" s="28">
        <v>14</v>
      </c>
      <c r="D132" s="28" t="s">
        <v>2296</v>
      </c>
      <c r="E132" s="53" t="s">
        <v>31</v>
      </c>
      <c r="F132"/>
      <c r="G132"/>
      <c r="H132"/>
      <c r="I132"/>
      <c r="J132"/>
      <c r="K132"/>
      <c r="L132"/>
      <c r="M132"/>
      <c r="N132"/>
      <c r="O132"/>
      <c r="P132"/>
    </row>
    <row r="133" spans="2:16">
      <c r="B133" s="28" t="s">
        <v>248</v>
      </c>
      <c r="C133" s="152">
        <v>5010</v>
      </c>
      <c r="D133" s="28" t="s">
        <v>2296</v>
      </c>
      <c r="E133" s="53"/>
      <c r="F133"/>
      <c r="G133"/>
      <c r="H133"/>
      <c r="I133"/>
      <c r="J133"/>
      <c r="K133"/>
      <c r="L133"/>
      <c r="M133"/>
      <c r="N133"/>
      <c r="O133"/>
      <c r="P133"/>
    </row>
    <row r="134" spans="2:16">
      <c r="B134" s="28" t="s">
        <v>249</v>
      </c>
      <c r="C134" s="28" t="s">
        <v>35</v>
      </c>
      <c r="D134" s="28" t="s">
        <v>2296</v>
      </c>
      <c r="E134"/>
      <c r="F134"/>
      <c r="G134"/>
      <c r="H134"/>
      <c r="I134"/>
      <c r="J134"/>
      <c r="K134"/>
      <c r="L134"/>
      <c r="M134"/>
      <c r="N134"/>
      <c r="O134"/>
      <c r="P134"/>
    </row>
    <row r="135" spans="2:16">
      <c r="B135" s="28" t="s">
        <v>2091</v>
      </c>
      <c r="C135" s="28">
        <v>1.26</v>
      </c>
      <c r="D135" s="28" t="s">
        <v>2296</v>
      </c>
      <c r="E135"/>
      <c r="F135"/>
      <c r="G135"/>
      <c r="H135"/>
      <c r="I135"/>
      <c r="J135"/>
      <c r="K135"/>
      <c r="L135"/>
      <c r="M135"/>
      <c r="N135"/>
      <c r="O135"/>
      <c r="P135"/>
    </row>
    <row r="136" spans="2:16">
      <c r="B136" s="28" t="s">
        <v>2092</v>
      </c>
      <c r="C136" s="53">
        <v>3.4119999999999998E-2</v>
      </c>
      <c r="D136" s="28" t="s">
        <v>2296</v>
      </c>
      <c r="E136"/>
      <c r="F136"/>
      <c r="G136"/>
      <c r="H136"/>
      <c r="I136"/>
      <c r="J136"/>
      <c r="K136"/>
      <c r="L136"/>
      <c r="M136"/>
      <c r="N136"/>
      <c r="O136"/>
      <c r="P136"/>
    </row>
    <row r="137" spans="2:16">
      <c r="B137" s="28"/>
      <c r="C137" s="53"/>
      <c r="D137"/>
      <c r="E137"/>
      <c r="F137"/>
      <c r="G137"/>
      <c r="H137"/>
      <c r="I137"/>
      <c r="J137"/>
      <c r="K137"/>
      <c r="L137"/>
      <c r="M137"/>
      <c r="N137"/>
      <c r="O137"/>
      <c r="P137"/>
    </row>
    <row r="138" spans="2:16">
      <c r="B138" s="2" t="s">
        <v>30</v>
      </c>
      <c r="F138" s="26"/>
      <c r="G138" s="26"/>
      <c r="H138" s="26"/>
      <c r="I138" s="26"/>
      <c r="J138" s="26"/>
      <c r="K138" s="26"/>
      <c r="L138" s="26"/>
      <c r="M138" s="26"/>
      <c r="N138" s="27"/>
      <c r="O138" s="27"/>
      <c r="P138" s="27"/>
    </row>
    <row r="139" spans="2:16">
      <c r="B139" s="151" t="s">
        <v>16</v>
      </c>
      <c r="C139" s="150" t="s">
        <v>262</v>
      </c>
      <c r="D139" s="150" t="s">
        <v>272</v>
      </c>
      <c r="E139" s="149" t="s">
        <v>9</v>
      </c>
      <c r="F139" s="19"/>
      <c r="G139" s="19"/>
      <c r="H139" s="19"/>
      <c r="I139" s="19"/>
      <c r="J139" s="19"/>
      <c r="K139" s="19"/>
      <c r="L139" s="26"/>
      <c r="M139" s="26"/>
      <c r="N139" s="27"/>
      <c r="O139" s="27"/>
      <c r="P139" s="27"/>
    </row>
    <row r="140" spans="2:16">
      <c r="B140" s="136" t="s">
        <v>271</v>
      </c>
      <c r="C140" s="50">
        <v>1.75</v>
      </c>
      <c r="D140" s="50">
        <v>0</v>
      </c>
      <c r="E140" s="148"/>
      <c r="F140" s="19"/>
      <c r="G140" s="19"/>
      <c r="H140" s="19"/>
      <c r="I140" s="19"/>
      <c r="J140" s="19"/>
      <c r="K140" s="19"/>
      <c r="L140" s="26"/>
      <c r="M140" s="26"/>
      <c r="N140" s="27"/>
      <c r="O140" s="27"/>
      <c r="P140" s="27"/>
    </row>
    <row r="141" spans="2:16">
      <c r="B141" s="136" t="s">
        <v>21</v>
      </c>
      <c r="C141" s="50">
        <v>2.21</v>
      </c>
      <c r="D141" s="50">
        <v>139.6</v>
      </c>
      <c r="E141" s="147">
        <v>87</v>
      </c>
      <c r="F141" s="19"/>
      <c r="G141" s="19"/>
      <c r="H141" s="19"/>
      <c r="I141" s="19"/>
      <c r="J141" s="19"/>
      <c r="K141" s="19"/>
      <c r="L141" s="26"/>
      <c r="M141" s="26"/>
      <c r="N141" s="27"/>
      <c r="O141" s="27"/>
      <c r="P141" s="27"/>
    </row>
    <row r="142" spans="2:16">
      <c r="B142" s="136" t="s">
        <v>241</v>
      </c>
      <c r="C142" s="48">
        <v>2.92</v>
      </c>
      <c r="D142" s="48">
        <v>254.8</v>
      </c>
      <c r="E142" s="146">
        <v>85</v>
      </c>
      <c r="F142" s="19"/>
      <c r="G142" s="19"/>
      <c r="H142" s="19"/>
      <c r="I142" s="19"/>
      <c r="J142" s="19"/>
      <c r="K142" s="19"/>
      <c r="L142" s="26"/>
      <c r="M142" s="26"/>
      <c r="N142" s="27"/>
      <c r="O142" s="27"/>
      <c r="P142" s="27"/>
    </row>
    <row r="143" spans="2:16">
      <c r="B143" s="145" t="s">
        <v>240</v>
      </c>
      <c r="C143" s="144">
        <v>3.1</v>
      </c>
      <c r="D143" s="144">
        <v>275.60000000000002</v>
      </c>
      <c r="E143" s="143">
        <v>99</v>
      </c>
      <c r="F143" s="19"/>
      <c r="G143" s="19"/>
      <c r="H143" s="19"/>
      <c r="I143" s="19"/>
      <c r="J143" s="19"/>
      <c r="K143" s="19"/>
      <c r="L143" s="26"/>
      <c r="M143" s="26"/>
      <c r="N143" s="27"/>
      <c r="O143" s="27"/>
      <c r="P143" s="27"/>
    </row>
    <row r="144" spans="2:16" ht="14.65" customHeight="1">
      <c r="B144" s="17"/>
      <c r="C144" s="142"/>
      <c r="D144" s="142"/>
      <c r="E144" s="142"/>
      <c r="F144" s="19"/>
      <c r="G144" s="19"/>
      <c r="H144" s="19"/>
      <c r="I144" s="19"/>
      <c r="J144" s="19"/>
      <c r="K144" s="19"/>
      <c r="L144" s="26"/>
      <c r="M144" s="26"/>
      <c r="N144" s="27"/>
      <c r="O144" s="27"/>
      <c r="P144" s="27"/>
    </row>
    <row r="145" spans="2:16" ht="18" customHeight="1">
      <c r="B145" s="141" t="s">
        <v>270</v>
      </c>
      <c r="C145" s="140" t="s">
        <v>269</v>
      </c>
      <c r="D145" s="140" t="s">
        <v>268</v>
      </c>
      <c r="E145" s="140" t="s">
        <v>267</v>
      </c>
      <c r="F145" s="139" t="s">
        <v>249</v>
      </c>
      <c r="G145" s="19"/>
      <c r="H145" s="19"/>
      <c r="I145" s="19"/>
      <c r="J145" s="19"/>
      <c r="K145" s="19"/>
      <c r="L145" s="26"/>
      <c r="M145" s="26"/>
      <c r="N145" s="27"/>
      <c r="O145" s="27"/>
      <c r="P145" s="27"/>
    </row>
    <row r="146" spans="2:16">
      <c r="B146" s="138" t="s">
        <v>266</v>
      </c>
      <c r="C146" s="41">
        <v>6.7000000000000004E-2</v>
      </c>
      <c r="D146" s="41">
        <v>0.158</v>
      </c>
      <c r="E146" s="41">
        <v>0.77500000000000002</v>
      </c>
      <c r="F146" s="137"/>
      <c r="G146" s="19"/>
      <c r="H146" s="19"/>
      <c r="I146" s="19"/>
      <c r="J146" s="19"/>
      <c r="K146" s="19"/>
      <c r="L146" s="26"/>
      <c r="M146" s="26"/>
      <c r="N146" s="27"/>
      <c r="O146" s="27"/>
      <c r="P146" s="27"/>
    </row>
    <row r="147" spans="2:16">
      <c r="B147" s="136" t="s">
        <v>21</v>
      </c>
      <c r="C147" s="135">
        <v>6.6000000000000003E-2</v>
      </c>
      <c r="D147" s="135">
        <v>0.13</v>
      </c>
      <c r="E147" s="39">
        <v>0.80400000000000005</v>
      </c>
      <c r="F147" s="134">
        <v>1595</v>
      </c>
      <c r="G147" s="19"/>
      <c r="H147" s="19"/>
      <c r="I147" s="19"/>
      <c r="J147" s="19"/>
      <c r="K147" s="19"/>
      <c r="L147" s="26"/>
      <c r="M147" s="26"/>
      <c r="N147" s="27"/>
      <c r="O147" s="27"/>
      <c r="P147" s="27"/>
    </row>
    <row r="148" spans="2:16">
      <c r="B148" s="133" t="s">
        <v>241</v>
      </c>
      <c r="C148" s="38">
        <v>8.2000000000000003E-2</v>
      </c>
      <c r="D148" s="38">
        <v>8.7999999999999995E-2</v>
      </c>
      <c r="E148" s="38">
        <v>0.82899999999999996</v>
      </c>
      <c r="F148" s="132">
        <v>2500</v>
      </c>
      <c r="G148" s="696"/>
      <c r="H148" s="696"/>
      <c r="I148" s="34"/>
      <c r="J148" s="35"/>
      <c r="K148" s="34"/>
      <c r="L148" s="26"/>
      <c r="M148" s="26"/>
      <c r="N148" s="27"/>
      <c r="O148" s="27"/>
      <c r="P148" s="27"/>
    </row>
    <row r="149" spans="2:16">
      <c r="B149" s="131" t="s">
        <v>240</v>
      </c>
      <c r="C149" s="130">
        <v>8.8999999999999996E-2</v>
      </c>
      <c r="D149" s="130">
        <v>7.0000000000000007E-2</v>
      </c>
      <c r="E149" s="130">
        <v>0.84099999999999997</v>
      </c>
      <c r="F149" s="129">
        <v>2709</v>
      </c>
      <c r="G149" s="36"/>
      <c r="H149" s="36"/>
      <c r="I149" s="36"/>
      <c r="J149" s="36"/>
      <c r="K149" s="36"/>
      <c r="L149" s="26"/>
      <c r="M149" s="26"/>
      <c r="N149" s="27"/>
      <c r="O149" s="27"/>
      <c r="P149" s="27"/>
    </row>
    <row r="150" spans="2:16">
      <c r="B150" s="16"/>
      <c r="C150" s="31"/>
      <c r="D150" s="32"/>
      <c r="E150" s="31"/>
      <c r="F150" s="32"/>
      <c r="G150" s="31"/>
      <c r="H150" s="32"/>
      <c r="I150" s="32"/>
      <c r="J150" s="31"/>
      <c r="K150" s="31"/>
      <c r="L150" s="26"/>
      <c r="M150" s="26"/>
      <c r="N150" s="27"/>
      <c r="O150" s="27"/>
      <c r="P150" s="27"/>
    </row>
    <row r="151" spans="2:16">
      <c r="B151" s="128"/>
      <c r="C151" s="31"/>
      <c r="D151" s="32"/>
      <c r="E151" s="31"/>
      <c r="F151" s="32"/>
      <c r="G151" s="31"/>
      <c r="H151" s="32"/>
      <c r="I151" s="32"/>
      <c r="J151" s="31"/>
      <c r="K151" s="31"/>
      <c r="L151" s="26"/>
      <c r="M151" s="26"/>
      <c r="N151" s="27"/>
      <c r="O151" s="27"/>
      <c r="P151" s="27"/>
    </row>
    <row r="152" spans="2:16">
      <c r="B152" s="128"/>
      <c r="C152" s="31"/>
      <c r="D152" s="32"/>
      <c r="E152" s="31"/>
      <c r="F152" s="32"/>
      <c r="G152" s="31"/>
      <c r="H152" s="32"/>
      <c r="I152" s="32"/>
      <c r="J152" s="31"/>
      <c r="K152" s="31"/>
      <c r="L152" s="26"/>
      <c r="M152" s="26"/>
      <c r="N152" s="27"/>
      <c r="O152" s="27"/>
      <c r="P152" s="27"/>
    </row>
    <row r="153" spans="2:16">
      <c r="B153" s="26"/>
      <c r="C153" s="127"/>
      <c r="D153" s="126"/>
      <c r="E153" s="28"/>
      <c r="F153" s="26"/>
      <c r="G153" s="26"/>
      <c r="H153" s="26"/>
      <c r="I153" s="26"/>
      <c r="J153" s="26"/>
      <c r="K153" s="26"/>
      <c r="L153" s="26"/>
      <c r="M153" s="26"/>
      <c r="N153" s="27"/>
      <c r="O153" s="27"/>
      <c r="P153" s="27"/>
    </row>
    <row r="154" spans="2:16">
      <c r="B154"/>
      <c r="C154"/>
      <c r="D154"/>
      <c r="E154"/>
      <c r="F154"/>
      <c r="G154"/>
      <c r="H154"/>
      <c r="I154"/>
      <c r="J154"/>
      <c r="K154"/>
      <c r="L154"/>
      <c r="M154"/>
      <c r="N154"/>
      <c r="O154"/>
      <c r="P154"/>
    </row>
    <row r="155" spans="2:16">
      <c r="B155" s="21" t="s">
        <v>2085</v>
      </c>
      <c r="C155" s="22"/>
      <c r="D155" s="22"/>
      <c r="E155" s="22"/>
      <c r="F155" s="22"/>
      <c r="G155" s="22"/>
      <c r="H155" s="19"/>
      <c r="I155" s="19"/>
      <c r="J155" s="19"/>
      <c r="K155" s="19"/>
      <c r="L155" s="19"/>
      <c r="M155" s="19"/>
      <c r="N155" s="19"/>
      <c r="O155" s="19"/>
      <c r="P155" s="19"/>
    </row>
    <row r="156" spans="2:16">
      <c r="B156" s="21" t="s">
        <v>16</v>
      </c>
      <c r="C156" s="20" t="s">
        <v>263</v>
      </c>
      <c r="D156" s="20" t="s">
        <v>12</v>
      </c>
      <c r="E156" s="20" t="s">
        <v>262</v>
      </c>
      <c r="F156" s="20" t="s">
        <v>265</v>
      </c>
      <c r="G156" s="20" t="s">
        <v>264</v>
      </c>
      <c r="H156" s="20" t="s">
        <v>9</v>
      </c>
      <c r="I156" s="20" t="s">
        <v>8</v>
      </c>
      <c r="J156" s="20"/>
      <c r="K156" s="20"/>
      <c r="L156" s="20"/>
      <c r="M156" s="20"/>
      <c r="N156" s="20"/>
      <c r="O156" s="20"/>
      <c r="P156" s="20"/>
    </row>
    <row r="157" spans="2:16">
      <c r="B157" s="113" t="s">
        <v>21</v>
      </c>
      <c r="C157" s="14">
        <f>$C$117</f>
        <v>3.55</v>
      </c>
      <c r="D157" s="14">
        <f>$C$120</f>
        <v>295</v>
      </c>
      <c r="E157" s="14">
        <f>$C$140</f>
        <v>1.75</v>
      </c>
      <c r="F157" s="48">
        <f>VLOOKUP(B157,$B$139:$D$143,2,FALSE)</f>
        <v>2.21</v>
      </c>
      <c r="G157" s="125">
        <f>C157*((1/E157)-(1/F157))*D157</f>
        <v>124.55979314802839</v>
      </c>
      <c r="H157" s="115">
        <f>VLOOKUP(B164,$B$139:$E$143,4,FALSE)</f>
        <v>87</v>
      </c>
      <c r="I157" s="9">
        <f>H157/K164</f>
        <v>9.8646446938789456</v>
      </c>
      <c r="J157" s="117"/>
      <c r="K157" s="116"/>
      <c r="L157" s="48"/>
      <c r="M157" s="119"/>
      <c r="N157" s="115"/>
      <c r="O157" s="9"/>
      <c r="P157" s="119"/>
    </row>
    <row r="158" spans="2:16">
      <c r="B158" s="113" t="s">
        <v>241</v>
      </c>
      <c r="C158" s="14">
        <f>$C$117</f>
        <v>3.55</v>
      </c>
      <c r="D158" s="14">
        <f>$C$120</f>
        <v>295</v>
      </c>
      <c r="E158" s="14">
        <f>$C$140</f>
        <v>1.75</v>
      </c>
      <c r="F158" s="48">
        <f>VLOOKUP(B158,$B$139:$D$143,2,FALSE)</f>
        <v>2.92</v>
      </c>
      <c r="G158" s="125">
        <f>C158*((1/E158)-(1/F158))*D158</f>
        <v>239.7813111545988</v>
      </c>
      <c r="H158" s="115">
        <f>VLOOKUP(B165,$B$139:$E$143,4,FALSE)</f>
        <v>85</v>
      </c>
      <c r="I158" s="9">
        <f>H158/K165</f>
        <v>7.9546015405756574</v>
      </c>
      <c r="J158" s="117"/>
      <c r="K158" s="116"/>
      <c r="L158" s="48"/>
      <c r="M158" s="119"/>
      <c r="N158" s="115"/>
      <c r="O158" s="9"/>
      <c r="P158" s="119"/>
    </row>
    <row r="159" spans="2:16">
      <c r="B159" s="113" t="s">
        <v>240</v>
      </c>
      <c r="C159" s="14">
        <f>$C$117</f>
        <v>3.55</v>
      </c>
      <c r="D159" s="14">
        <f>$C$120</f>
        <v>295</v>
      </c>
      <c r="E159" s="14">
        <f>$C$140</f>
        <v>1.75</v>
      </c>
      <c r="F159" s="48">
        <f>VLOOKUP(B159,$B$139:$D$143,2,FALSE)</f>
        <v>3.1</v>
      </c>
      <c r="G159" s="125">
        <f>C159*((1/E159)-(1/F159))*D159</f>
        <v>260.60599078341011</v>
      </c>
      <c r="H159" s="115">
        <f>VLOOKUP(B166,$B$139:$E$143,4,FALSE)</f>
        <v>99</v>
      </c>
      <c r="I159" s="9">
        <f>H159/K166</f>
        <v>9.8718606479089193</v>
      </c>
      <c r="J159" s="117"/>
      <c r="K159" s="116"/>
      <c r="L159" s="48"/>
      <c r="M159" s="119"/>
      <c r="N159" s="115"/>
      <c r="O159" s="9"/>
      <c r="P159" s="119"/>
    </row>
    <row r="160" spans="2:16">
      <c r="B160" s="7" t="s">
        <v>0</v>
      </c>
      <c r="C160" s="7"/>
      <c r="D160" s="7"/>
      <c r="E160" s="7"/>
      <c r="F160" s="7"/>
      <c r="G160" s="124">
        <f>SUMPRODUCT(G156:G159,$N$163:$N$166)</f>
        <v>208.31569836201243</v>
      </c>
      <c r="H160" s="4">
        <f>SUMPRODUCT(H156:H159,$N$163:$N$166)</f>
        <v>90.333333333333329</v>
      </c>
      <c r="I160" s="3">
        <f>SUMPRODUCT(I156:I159,$N$163:$N$166)</f>
        <v>9.2303689607878407</v>
      </c>
      <c r="J160" s="6"/>
      <c r="K160" s="5"/>
      <c r="L160" s="124"/>
      <c r="M160" s="123"/>
      <c r="N160" s="4"/>
      <c r="O160" s="3"/>
      <c r="P160" s="2"/>
    </row>
    <row r="161" spans="2:20">
      <c r="B161"/>
      <c r="C161"/>
      <c r="D161"/>
      <c r="E161"/>
      <c r="F161"/>
      <c r="G161"/>
      <c r="H161"/>
      <c r="I161"/>
      <c r="J161"/>
      <c r="K161"/>
      <c r="L161"/>
      <c r="M161"/>
      <c r="N161"/>
      <c r="O161"/>
      <c r="P161"/>
    </row>
    <row r="162" spans="2:20">
      <c r="B162" s="21" t="s">
        <v>2086</v>
      </c>
      <c r="C162" s="22"/>
      <c r="D162" s="22"/>
      <c r="E162" s="22"/>
      <c r="F162" s="22"/>
      <c r="G162" s="22"/>
      <c r="H162" s="19"/>
      <c r="I162" s="19"/>
      <c r="J162" s="19"/>
      <c r="K162" s="19"/>
      <c r="L162" s="19"/>
      <c r="M162" s="19"/>
      <c r="N162" s="19"/>
      <c r="O162" s="19"/>
      <c r="P162" s="19"/>
      <c r="Q162" s="19"/>
      <c r="R162" s="19"/>
      <c r="S162" s="19"/>
      <c r="T162" s="19"/>
    </row>
    <row r="163" spans="2:20">
      <c r="B163" s="21" t="s">
        <v>2011</v>
      </c>
      <c r="C163" s="20" t="s">
        <v>263</v>
      </c>
      <c r="D163" s="20" t="s">
        <v>12</v>
      </c>
      <c r="E163" s="20" t="s">
        <v>262</v>
      </c>
      <c r="F163" s="20" t="s">
        <v>261</v>
      </c>
      <c r="G163" s="20" t="s">
        <v>259</v>
      </c>
      <c r="H163" s="20" t="s">
        <v>257</v>
      </c>
      <c r="I163" s="20" t="s">
        <v>256</v>
      </c>
      <c r="J163" s="21" t="s">
        <v>255</v>
      </c>
      <c r="K163" s="20" t="s">
        <v>2008</v>
      </c>
      <c r="L163" s="20" t="s">
        <v>2007</v>
      </c>
      <c r="M163" s="20" t="s">
        <v>10</v>
      </c>
      <c r="N163" s="20" t="s">
        <v>7</v>
      </c>
    </row>
    <row r="164" spans="2:20">
      <c r="B164" s="113" t="s">
        <v>21</v>
      </c>
      <c r="C164" s="14">
        <f>$C$117</f>
        <v>3.55</v>
      </c>
      <c r="D164" s="14">
        <f>$C$120</f>
        <v>295</v>
      </c>
      <c r="E164" s="14">
        <f>$C$140</f>
        <v>1.75</v>
      </c>
      <c r="F164" s="122">
        <f>$C$146</f>
        <v>6.7000000000000004E-2</v>
      </c>
      <c r="G164" s="119">
        <f>$C$123</f>
        <v>1</v>
      </c>
      <c r="H164" s="119">
        <f>$C$125</f>
        <v>1</v>
      </c>
      <c r="I164" s="48">
        <f>VLOOKUP(B164,$B$139:$D$143,2,FALSE)</f>
        <v>2.21</v>
      </c>
      <c r="J164" s="118">
        <f>VLOOKUP(B164,$B$145:$E$149,2,FALSE)</f>
        <v>6.6000000000000003E-2</v>
      </c>
      <c r="K164" s="117">
        <f>C164*D164*((1/E164)*(F164)-((1/I164)*(J164)))</f>
        <v>8.8193749191984452</v>
      </c>
      <c r="L164" s="605">
        <f>K164/(C164*D164*((1/E164)*(F164)))</f>
        <v>0.21996353076247713</v>
      </c>
      <c r="M164" s="116">
        <f>K164*$C$131/D164</f>
        <v>1.1360550743374268E-3</v>
      </c>
      <c r="N164" s="108">
        <f>1/COUNT($C$164:$C$166)</f>
        <v>0.33333333333333331</v>
      </c>
    </row>
    <row r="165" spans="2:20">
      <c r="B165" s="113" t="s">
        <v>241</v>
      </c>
      <c r="C165" s="14">
        <f>$C$117</f>
        <v>3.55</v>
      </c>
      <c r="D165" s="14">
        <f>$C$120</f>
        <v>295</v>
      </c>
      <c r="E165" s="14">
        <f>$C$140</f>
        <v>1.75</v>
      </c>
      <c r="F165" s="122">
        <f>$C$146</f>
        <v>6.7000000000000004E-2</v>
      </c>
      <c r="G165" s="119">
        <f>$C$123</f>
        <v>1</v>
      </c>
      <c r="H165" s="119">
        <f>$C$125</f>
        <v>1</v>
      </c>
      <c r="I165" s="48">
        <f>VLOOKUP(B165,$B$139:$D$143,2,FALSE)</f>
        <v>2.92</v>
      </c>
      <c r="J165" s="118">
        <f>VLOOKUP(B165,$B$145:$E$149,2,FALSE)</f>
        <v>8.2000000000000003E-2</v>
      </c>
      <c r="K165" s="117">
        <f>C165*D165*((1/E165)*(F165)-((1/I165)*(J165)))</f>
        <v>10.685638943248531</v>
      </c>
      <c r="L165" s="605">
        <f>K165/(C165*D165*((1/E165)*(F165)))</f>
        <v>0.26650991617256181</v>
      </c>
      <c r="M165" s="116">
        <f>K165*$C$131/D165</f>
        <v>1.3764551859099803E-3</v>
      </c>
      <c r="N165" s="108">
        <f>1/COUNT($C$164:$C$166)</f>
        <v>0.33333333333333331</v>
      </c>
    </row>
    <row r="166" spans="2:20">
      <c r="B166" s="113" t="s">
        <v>240</v>
      </c>
      <c r="C166" s="14">
        <f>$C$117</f>
        <v>3.55</v>
      </c>
      <c r="D166" s="14">
        <f>$C$120</f>
        <v>295</v>
      </c>
      <c r="E166" s="14">
        <f>$C$140</f>
        <v>1.75</v>
      </c>
      <c r="F166" s="122">
        <f>$C$146</f>
        <v>6.7000000000000004E-2</v>
      </c>
      <c r="G166" s="119">
        <f>$C$123</f>
        <v>1</v>
      </c>
      <c r="H166" s="119">
        <f>$C$125</f>
        <v>1</v>
      </c>
      <c r="I166" s="48">
        <f>VLOOKUP(B166,$B$139:$D$143,2,FALSE)</f>
        <v>3.1</v>
      </c>
      <c r="J166" s="118">
        <f>VLOOKUP(B166,$B$145:$E$149,2,FALSE)</f>
        <v>8.8999999999999996E-2</v>
      </c>
      <c r="K166" s="117">
        <f>C166*D166*((1/E166)*(F166)-((1/I166)*(J166)))</f>
        <v>10.028504608294933</v>
      </c>
      <c r="L166" s="605">
        <f>K166/(C166*D166*((1/E166)*(F166)))</f>
        <v>0.25012036591237369</v>
      </c>
      <c r="M166" s="116">
        <f>K166*$C$131/D166</f>
        <v>1.2918073732718896E-3</v>
      </c>
      <c r="N166" s="108">
        <f>1/COUNT($C$164:$C$166)</f>
        <v>0.33333333333333331</v>
      </c>
    </row>
    <row r="167" spans="2:20">
      <c r="B167" s="7" t="s">
        <v>0</v>
      </c>
      <c r="C167" s="7"/>
      <c r="D167" s="7"/>
      <c r="E167" s="7"/>
      <c r="F167" s="7"/>
      <c r="G167" s="6"/>
      <c r="H167" s="6"/>
      <c r="I167" s="6"/>
      <c r="J167" s="6"/>
      <c r="K167" s="124">
        <f>SUMPRODUCT(K163:K166,$N$163:$N$166)</f>
        <v>9.8445061569139689</v>
      </c>
      <c r="L167" s="123">
        <f>SUMPRODUCT(L164:L166,$N$164:$N$166)</f>
        <v>0.24553127094913751</v>
      </c>
      <c r="M167" s="5">
        <f>SUMPRODUCT(M163:M166,$N$163:$N$166)</f>
        <v>1.2681058778397656E-3</v>
      </c>
      <c r="T167" s="2"/>
    </row>
    <row r="168" spans="2:20">
      <c r="B168" s="2"/>
      <c r="C168" s="2"/>
      <c r="D168" s="2"/>
      <c r="E168" s="2"/>
      <c r="F168" s="2"/>
      <c r="G168" s="2"/>
      <c r="H168" s="23"/>
      <c r="I168" s="23"/>
    </row>
    <row r="169" spans="2:20">
      <c r="B169" s="21" t="s">
        <v>2012</v>
      </c>
      <c r="C169" s="20" t="s">
        <v>263</v>
      </c>
      <c r="D169" s="20" t="s">
        <v>12</v>
      </c>
      <c r="E169" s="20" t="s">
        <v>262</v>
      </c>
      <c r="F169" s="20" t="s">
        <v>260</v>
      </c>
      <c r="G169" s="20" t="s">
        <v>259</v>
      </c>
      <c r="H169" s="20" t="s">
        <v>257</v>
      </c>
      <c r="I169" s="20" t="s">
        <v>256</v>
      </c>
      <c r="J169" s="20" t="s">
        <v>254</v>
      </c>
      <c r="K169" s="20" t="s">
        <v>2009</v>
      </c>
      <c r="L169" s="20" t="s">
        <v>2007</v>
      </c>
      <c r="M169" s="20" t="s">
        <v>10</v>
      </c>
    </row>
    <row r="170" spans="2:20">
      <c r="B170" s="113" t="s">
        <v>21</v>
      </c>
      <c r="C170" s="14">
        <f>$C$117</f>
        <v>3.55</v>
      </c>
      <c r="D170" s="14">
        <f>$C$120</f>
        <v>295</v>
      </c>
      <c r="E170" s="14">
        <f>$C$140</f>
        <v>1.75</v>
      </c>
      <c r="F170" s="121">
        <f>$D$146</f>
        <v>0.158</v>
      </c>
      <c r="G170" s="119">
        <f>$C$123</f>
        <v>1</v>
      </c>
      <c r="H170" s="119">
        <f>$C$125</f>
        <v>1</v>
      </c>
      <c r="I170" s="48">
        <f>VLOOKUP(B170,$B$139:$D$143,2,FALSE)</f>
        <v>2.21</v>
      </c>
      <c r="J170" s="118">
        <f>VLOOKUP(B164,$B$145:$E$149,3,FALSE)</f>
        <v>0.13</v>
      </c>
      <c r="K170" s="117">
        <f>C170*D170*((1/E170)*(F170*G170)-((1/I170)*(J170*G170)))</f>
        <v>32.948773109243689</v>
      </c>
      <c r="L170" s="605">
        <f>K170/(C170*D170*((1/E170)*(F170*G170)))</f>
        <v>0.34847356664184659</v>
      </c>
      <c r="M170" s="116">
        <f>K170*$C$131/D170</f>
        <v>4.244248739495797E-3</v>
      </c>
    </row>
    <row r="171" spans="2:20">
      <c r="B171" s="113" t="s">
        <v>241</v>
      </c>
      <c r="C171" s="14">
        <f>$C$117</f>
        <v>3.55</v>
      </c>
      <c r="D171" s="14">
        <f>$C$120</f>
        <v>295</v>
      </c>
      <c r="E171" s="14">
        <f>$C$140</f>
        <v>1.75</v>
      </c>
      <c r="F171" s="121">
        <f>$D$146</f>
        <v>0.158</v>
      </c>
      <c r="G171" s="119">
        <f>$C$123</f>
        <v>1</v>
      </c>
      <c r="H171" s="119">
        <f>$C$125</f>
        <v>1</v>
      </c>
      <c r="I171" s="48">
        <f>VLOOKUP(B171,$B$139:$D$143,2,FALSE)</f>
        <v>2.92</v>
      </c>
      <c r="J171" s="118">
        <f>VLOOKUP(B165,$B$145:$E$149,3,FALSE)</f>
        <v>8.7999999999999995E-2</v>
      </c>
      <c r="K171" s="117">
        <f>C171*D171*((1/E171)*(F171*G171)-((1/I171)*(J171*G171)))</f>
        <v>62.990755381604686</v>
      </c>
      <c r="L171" s="605">
        <f>K171/(C171*D171*((1/E171)*(F171*G171)))</f>
        <v>0.6662042656493844</v>
      </c>
      <c r="M171" s="116">
        <f>K171*$C$131/D171</f>
        <v>8.1140634050880598E-3</v>
      </c>
    </row>
    <row r="172" spans="2:20">
      <c r="B172" s="113" t="s">
        <v>240</v>
      </c>
      <c r="C172" s="14">
        <f>$C$117</f>
        <v>3.55</v>
      </c>
      <c r="D172" s="14">
        <f>$C$120</f>
        <v>295</v>
      </c>
      <c r="E172" s="14">
        <f>$C$140</f>
        <v>1.75</v>
      </c>
      <c r="F172" s="121">
        <f>$D$146</f>
        <v>0.158</v>
      </c>
      <c r="G172" s="119">
        <f>$C$123</f>
        <v>1</v>
      </c>
      <c r="H172" s="119">
        <f>$C$125</f>
        <v>1</v>
      </c>
      <c r="I172" s="48">
        <f>VLOOKUP(B172,$B$139:$D$143,2,FALSE)</f>
        <v>3.1</v>
      </c>
      <c r="J172" s="118">
        <f>VLOOKUP(B166,$B$145:$E$149,3,FALSE)</f>
        <v>7.0000000000000007E-2</v>
      </c>
      <c r="K172" s="117">
        <f>C172*D172*((1/E172)*(F172*G172)-((1/I172)*(J172*G172)))</f>
        <v>70.904133640552985</v>
      </c>
      <c r="L172" s="605">
        <f>K172/(C172*D172*((1/E172)*(F172*G172)))</f>
        <v>0.74989791751735402</v>
      </c>
      <c r="M172" s="116">
        <f>K172*$C$131/D172</f>
        <v>9.1334138248847906E-3</v>
      </c>
    </row>
    <row r="173" spans="2:20">
      <c r="B173" s="7" t="s">
        <v>0</v>
      </c>
      <c r="C173" s="7"/>
      <c r="D173" s="7"/>
      <c r="E173" s="7"/>
      <c r="F173" s="6"/>
      <c r="G173" s="6"/>
      <c r="H173" s="6"/>
      <c r="I173" s="6"/>
      <c r="J173" s="6"/>
      <c r="K173" s="124">
        <f>SUMPRODUCT(K169:K172,$N$163:$N$166)</f>
        <v>55.614554043800453</v>
      </c>
      <c r="L173" s="123">
        <f>SUMPRODUCT(L170:L172,$N$164:$N$166)</f>
        <v>0.58819191660286163</v>
      </c>
      <c r="M173" s="5">
        <f>SUMPRODUCT(M169:M172,$N$163:$N$166)</f>
        <v>7.1639086564895486E-3</v>
      </c>
    </row>
    <row r="175" spans="2:20">
      <c r="B175" s="21" t="s">
        <v>2013</v>
      </c>
      <c r="C175" s="20" t="s">
        <v>263</v>
      </c>
      <c r="D175" s="20" t="s">
        <v>12</v>
      </c>
      <c r="E175" s="20" t="s">
        <v>262</v>
      </c>
      <c r="F175" s="20" t="s">
        <v>258</v>
      </c>
      <c r="G175" s="20" t="s">
        <v>259</v>
      </c>
      <c r="H175" s="20" t="s">
        <v>257</v>
      </c>
      <c r="I175" s="20" t="s">
        <v>256</v>
      </c>
      <c r="J175" s="20" t="s">
        <v>253</v>
      </c>
      <c r="K175" s="20" t="s">
        <v>2010</v>
      </c>
      <c r="L175" s="20" t="s">
        <v>2007</v>
      </c>
      <c r="M175" s="20" t="s">
        <v>10</v>
      </c>
    </row>
    <row r="176" spans="2:20">
      <c r="B176" s="113" t="s">
        <v>21</v>
      </c>
      <c r="C176" s="14">
        <f>$C$117</f>
        <v>3.55</v>
      </c>
      <c r="D176" s="14">
        <f>$C$120</f>
        <v>295</v>
      </c>
      <c r="E176" s="14">
        <f>$C$140</f>
        <v>1.75</v>
      </c>
      <c r="F176" s="120">
        <f>$E$146</f>
        <v>0.77500000000000002</v>
      </c>
      <c r="G176" s="119">
        <f>$C$123</f>
        <v>1</v>
      </c>
      <c r="H176" s="119">
        <f>$C$125</f>
        <v>1</v>
      </c>
      <c r="I176" s="48">
        <f>VLOOKUP(B176,$B$139:$D$143,2,FALSE)</f>
        <v>2.21</v>
      </c>
      <c r="J176" s="118">
        <f>VLOOKUP(B164,$B$145:$E$149,4,FALSE)</f>
        <v>0.80400000000000005</v>
      </c>
      <c r="K176" s="117">
        <f>C176*D176*((1/E176)*(F176*H176)-((1/I176)*(J176*H176)))</f>
        <v>82.791645119586235</v>
      </c>
      <c r="L176" s="605">
        <f>K176/(C176*D176*((1/E176)*(F176*H176)))</f>
        <v>0.17851408553495826</v>
      </c>
      <c r="M176" s="116">
        <f>K176*$C$131/D176</f>
        <v>1.0664686489980599E-2</v>
      </c>
    </row>
    <row r="177" spans="2:13">
      <c r="B177" s="113" t="s">
        <v>241</v>
      </c>
      <c r="C177" s="14">
        <f>$C$117</f>
        <v>3.55</v>
      </c>
      <c r="D177" s="14">
        <f>$C$120</f>
        <v>295</v>
      </c>
      <c r="E177" s="14">
        <f>$C$140</f>
        <v>1.75</v>
      </c>
      <c r="F177" s="120">
        <f>$E$146</f>
        <v>0.77500000000000002</v>
      </c>
      <c r="G177" s="119">
        <f>$C$123</f>
        <v>1</v>
      </c>
      <c r="H177" s="119">
        <f>$C$125</f>
        <v>1</v>
      </c>
      <c r="I177" s="48">
        <f>VLOOKUP(B177,$B$139:$D$143,2,FALSE)</f>
        <v>2.92</v>
      </c>
      <c r="J177" s="118">
        <f>VLOOKUP(B165,$B$145:$E$149,4,FALSE)</f>
        <v>0.82899999999999996</v>
      </c>
      <c r="K177" s="117">
        <f>C177*D177*((1/E177)*(F177*H177)-((1/I177)*(J177*H177)))</f>
        <v>166.46356409001959</v>
      </c>
      <c r="L177" s="605">
        <f>K177/(C177*D177*((1/E177)*(F177*H177)))</f>
        <v>0.35892620415377824</v>
      </c>
      <c r="M177" s="116">
        <f>K177*$C$131/D177</f>
        <v>2.144276418786693E-2</v>
      </c>
    </row>
    <row r="178" spans="2:13">
      <c r="B178" s="113" t="s">
        <v>240</v>
      </c>
      <c r="C178" s="14">
        <f>$C$117</f>
        <v>3.55</v>
      </c>
      <c r="D178" s="14">
        <f>$C$120</f>
        <v>295</v>
      </c>
      <c r="E178" s="14">
        <f>$C$140</f>
        <v>1.75</v>
      </c>
      <c r="F178" s="120">
        <f>$E$146</f>
        <v>0.77500000000000002</v>
      </c>
      <c r="G178" s="119">
        <f>$C$123</f>
        <v>1</v>
      </c>
      <c r="H178" s="119">
        <f>$C$125</f>
        <v>1</v>
      </c>
      <c r="I178" s="48">
        <f>VLOOKUP(B178,$B$139:$D$143,2,FALSE)</f>
        <v>3.1</v>
      </c>
      <c r="J178" s="118">
        <f>VLOOKUP(B166,$B$145:$E$149,4,FALSE)</f>
        <v>0.84099999999999997</v>
      </c>
      <c r="K178" s="117">
        <f>C178*D178*((1/E178)*(F178*H178)-((1/I178)*(J178*H178)))</f>
        <v>179.67335253456218</v>
      </c>
      <c r="L178" s="605">
        <f>K178/(C178*D178*((1/E178)*(F178*H178)))</f>
        <v>0.38740894901144635</v>
      </c>
      <c r="M178" s="116">
        <f>K178*$C$131/D178</f>
        <v>2.3144364055299536E-2</v>
      </c>
    </row>
    <row r="179" spans="2:13">
      <c r="B179" s="7" t="s">
        <v>0</v>
      </c>
      <c r="C179" s="7"/>
      <c r="D179" s="7"/>
      <c r="E179" s="7"/>
      <c r="F179" s="6"/>
      <c r="G179" s="6"/>
      <c r="H179" s="6"/>
      <c r="I179" s="6"/>
      <c r="J179" s="6"/>
      <c r="K179" s="124">
        <f>SUMPRODUCT(K175:K178,$N$163:$N$166)</f>
        <v>142.97618724805599</v>
      </c>
      <c r="L179" s="123">
        <f>SUMPRODUCT(L176:L178,$N$164:$N$166)</f>
        <v>0.30828307956672762</v>
      </c>
      <c r="M179" s="5">
        <f>SUMPRODUCT(M175:M178,$N$163:$N$166)</f>
        <v>1.8417271577715687E-2</v>
      </c>
    </row>
    <row r="181" spans="2:13">
      <c r="B181" s="21" t="s">
        <v>2087</v>
      </c>
      <c r="C181" s="22"/>
      <c r="D181" s="22"/>
      <c r="E181" s="22"/>
      <c r="F181" s="22"/>
      <c r="G181" s="22"/>
      <c r="H181" s="19"/>
      <c r="I181" s="19"/>
      <c r="J181" s="19"/>
      <c r="K181" s="19"/>
      <c r="L181" s="19"/>
      <c r="M181" s="19"/>
    </row>
    <row r="182" spans="2:13">
      <c r="B182" s="21" t="s">
        <v>2012</v>
      </c>
      <c r="C182" s="20" t="s">
        <v>263</v>
      </c>
      <c r="D182" s="20" t="s">
        <v>12</v>
      </c>
      <c r="E182" s="20" t="s">
        <v>262</v>
      </c>
      <c r="F182" s="20" t="s">
        <v>260</v>
      </c>
      <c r="G182" s="20" t="s">
        <v>2090</v>
      </c>
      <c r="H182" s="20" t="s">
        <v>2089</v>
      </c>
      <c r="I182" s="20" t="s">
        <v>256</v>
      </c>
      <c r="J182" s="20" t="s">
        <v>254</v>
      </c>
      <c r="K182" s="20" t="s">
        <v>2088</v>
      </c>
      <c r="L182" s="20" t="s">
        <v>2007</v>
      </c>
      <c r="M182" s="20" t="s">
        <v>10</v>
      </c>
    </row>
    <row r="183" spans="2:13">
      <c r="B183" s="113" t="s">
        <v>21</v>
      </c>
      <c r="C183" s="14">
        <f>$C$117</f>
        <v>3.55</v>
      </c>
      <c r="D183" s="14">
        <f>$C$120</f>
        <v>295</v>
      </c>
      <c r="E183" s="14">
        <f>$C$140</f>
        <v>1.75</v>
      </c>
      <c r="F183" s="121">
        <f>$D$146</f>
        <v>0.158</v>
      </c>
      <c r="G183" s="119">
        <f>$C$123</f>
        <v>1</v>
      </c>
      <c r="H183" s="119">
        <f>$C$125</f>
        <v>1</v>
      </c>
      <c r="I183" s="48">
        <f>VLOOKUP(B183,$B$139:$D$143,2,FALSE)</f>
        <v>2.21</v>
      </c>
      <c r="J183" s="118">
        <f>VLOOKUP(B183,$B$145:$E$149,3,FALSE)</f>
        <v>0.13</v>
      </c>
      <c r="K183" s="48">
        <f>C183*D183*((1/E183)*(F183*G183)-((1/I183)*(J183*G183)))*$C$135*$C$136</f>
        <v>1.4165072944941171</v>
      </c>
      <c r="L183" s="605">
        <f>K183/(C183*D183*((1/E183)*(F183*G183))*$C$135*$C$136)</f>
        <v>0.34847356664184659</v>
      </c>
      <c r="M183" s="116"/>
    </row>
    <row r="184" spans="2:13">
      <c r="B184" s="113" t="s">
        <v>241</v>
      </c>
      <c r="C184" s="14">
        <f>$C$117</f>
        <v>3.55</v>
      </c>
      <c r="D184" s="14">
        <f>$C$120</f>
        <v>295</v>
      </c>
      <c r="E184" s="14">
        <f>$C$140</f>
        <v>1.75</v>
      </c>
      <c r="F184" s="121">
        <f>$D$146</f>
        <v>0.158</v>
      </c>
      <c r="G184" s="119">
        <f>$C$123</f>
        <v>1</v>
      </c>
      <c r="H184" s="119">
        <f>$C$125</f>
        <v>1</v>
      </c>
      <c r="I184" s="48">
        <f>VLOOKUP(B184,$B$139:$D$143,2,FALSE)</f>
        <v>2.92</v>
      </c>
      <c r="J184" s="118">
        <f>VLOOKUP(B184,$B$145:$E$149,3,FALSE)</f>
        <v>8.7999999999999995E-2</v>
      </c>
      <c r="K184" s="48">
        <f>C184*D184*((1/E184)*(F184*G184)-((1/I184)*(J184*G184)))*$C$135*$C$136</f>
        <v>2.7080481627616435</v>
      </c>
      <c r="L184" s="605">
        <f>K184/(C184*D184*((1/E184)*(F184*G184))*$C$135*$C$136)</f>
        <v>0.66620426564938451</v>
      </c>
      <c r="M184" s="116"/>
    </row>
    <row r="185" spans="2:13">
      <c r="B185" s="113" t="s">
        <v>240</v>
      </c>
      <c r="C185" s="14">
        <f>$C$117</f>
        <v>3.55</v>
      </c>
      <c r="D185" s="14">
        <f>$C$120</f>
        <v>295</v>
      </c>
      <c r="E185" s="14">
        <f>$C$140</f>
        <v>1.75</v>
      </c>
      <c r="F185" s="121">
        <f>$D$146</f>
        <v>0.158</v>
      </c>
      <c r="G185" s="119">
        <f>$C$123</f>
        <v>1</v>
      </c>
      <c r="H185" s="119">
        <f>$C$125</f>
        <v>1</v>
      </c>
      <c r="I185" s="48">
        <f>VLOOKUP(B185,$B$139:$D$143,2,FALSE)</f>
        <v>3.1</v>
      </c>
      <c r="J185" s="118">
        <f>VLOOKUP(B185,$B$145:$E$149,3,FALSE)</f>
        <v>7.0000000000000007E-2</v>
      </c>
      <c r="K185" s="48">
        <f>C185*D185*((1/E185)*(F185*G185)-((1/I185)*(J185*G185)))*$C$135*$C$136</f>
        <v>3.0482537901677413</v>
      </c>
      <c r="L185" s="605">
        <f>K185/(C185*D185*((1/E185)*(F185*G185))*$C$135*$C$136)</f>
        <v>0.74989791751735413</v>
      </c>
      <c r="M185" s="116"/>
    </row>
    <row r="186" spans="2:13">
      <c r="B186" s="7" t="s">
        <v>0</v>
      </c>
      <c r="C186" s="7"/>
      <c r="D186" s="7"/>
      <c r="E186" s="7"/>
      <c r="F186" s="6"/>
      <c r="G186" s="6"/>
      <c r="H186" s="6"/>
      <c r="I186" s="6"/>
      <c r="J186" s="6"/>
      <c r="K186" s="124">
        <f>SUMPRODUCT(K182:K185,$N$163:$N$166)</f>
        <v>2.3909364158078339</v>
      </c>
      <c r="L186" s="621">
        <f>SUMPRODUCT(L183:L185,$N$164:$N$166)</f>
        <v>0.58819191660286174</v>
      </c>
      <c r="M186" s="5">
        <f>SUMPRODUCT(M182:M185,$N$163:$N$166)</f>
        <v>0</v>
      </c>
    </row>
    <row r="191" spans="2:13">
      <c r="B191" s="95" t="s">
        <v>252</v>
      </c>
    </row>
    <row r="192" spans="2:13">
      <c r="B192" s="21" t="s">
        <v>251</v>
      </c>
      <c r="C192" s="21"/>
      <c r="D192" s="21"/>
      <c r="E192" s="21"/>
      <c r="F192" s="21"/>
      <c r="G192" s="21"/>
      <c r="H192" s="21"/>
      <c r="I192" s="21"/>
      <c r="J192" s="21"/>
      <c r="K192" s="21"/>
    </row>
    <row r="193" spans="2:11" ht="39">
      <c r="B193" s="21" t="s">
        <v>250</v>
      </c>
      <c r="C193" s="21" t="s">
        <v>249</v>
      </c>
      <c r="D193" s="21" t="s">
        <v>248</v>
      </c>
      <c r="E193" s="21" t="s">
        <v>247</v>
      </c>
      <c r="F193" s="21" t="s">
        <v>246</v>
      </c>
      <c r="G193" s="21" t="s">
        <v>245</v>
      </c>
      <c r="H193" s="114" t="s">
        <v>244</v>
      </c>
      <c r="I193" s="114" t="s">
        <v>243</v>
      </c>
      <c r="J193" s="114" t="s">
        <v>242</v>
      </c>
      <c r="K193" s="114" t="s">
        <v>7</v>
      </c>
    </row>
    <row r="194" spans="2:11">
      <c r="B194" s="113" t="s">
        <v>21</v>
      </c>
      <c r="C194" s="112">
        <f>VLOOKUP(B194,$B$145:$F$149,5,FALSE)</f>
        <v>1595</v>
      </c>
      <c r="D194" s="112">
        <f>$C$133</f>
        <v>5010</v>
      </c>
      <c r="E194" s="111">
        <f>C194*D194/1000000</f>
        <v>7.9909499999999998</v>
      </c>
      <c r="F194" s="111">
        <f>E194*$C$131/$C$120</f>
        <v>1.0293427118644068E-3</v>
      </c>
      <c r="G194" s="111">
        <f>E194/$C$120</f>
        <v>2.7087966101694914E-2</v>
      </c>
      <c r="H194" s="110"/>
      <c r="I194" s="19">
        <f>E194/F194</f>
        <v>7763.1578947368416</v>
      </c>
      <c r="J194" s="109">
        <f>VLOOKUP(B194,$B$139:$E$143,4,FALSE)/E194</f>
        <v>10.887316276537833</v>
      </c>
      <c r="K194" s="108">
        <f>1/COUNT($C$194:$C$196)</f>
        <v>0.33333333333333331</v>
      </c>
    </row>
    <row r="195" spans="2:11">
      <c r="B195" s="113" t="s">
        <v>241</v>
      </c>
      <c r="C195" s="112">
        <f>VLOOKUP(B195,$B$145:$F$149,5,FALSE)</f>
        <v>2500</v>
      </c>
      <c r="D195" s="112">
        <f>$C$133</f>
        <v>5010</v>
      </c>
      <c r="E195" s="111">
        <f>C195*D195/1000000</f>
        <v>12.525</v>
      </c>
      <c r="F195" s="111">
        <f>E195*$C$131/$C$120</f>
        <v>1.6133898305084745E-3</v>
      </c>
      <c r="G195" s="111">
        <f>E195/$C$120</f>
        <v>4.2457627118644072E-2</v>
      </c>
      <c r="H195" s="110"/>
      <c r="I195" s="19">
        <f>E195/F195</f>
        <v>7763.1578947368425</v>
      </c>
      <c r="J195" s="109">
        <f>VLOOKUP(B195,$B$139:$E$143,4,FALSE)/E195</f>
        <v>6.7864271457085827</v>
      </c>
      <c r="K195" s="108">
        <f>1/COUNT($C$194:$C$196)</f>
        <v>0.33333333333333331</v>
      </c>
    </row>
    <row r="196" spans="2:11">
      <c r="B196" s="113" t="s">
        <v>240</v>
      </c>
      <c r="C196" s="112">
        <f>VLOOKUP(B196,$B$145:$F$149,5,FALSE)</f>
        <v>2709</v>
      </c>
      <c r="D196" s="112">
        <f>$C$133</f>
        <v>5010</v>
      </c>
      <c r="E196" s="111">
        <f>C196*D196/1000000</f>
        <v>13.572089999999999</v>
      </c>
      <c r="F196" s="111">
        <f>E196*$C$131/$C$120</f>
        <v>1.7482692203389829E-3</v>
      </c>
      <c r="G196" s="111">
        <f>E196/$C$120</f>
        <v>4.6007084745762712E-2</v>
      </c>
      <c r="H196" s="110"/>
      <c r="I196" s="19">
        <f>E196/F196</f>
        <v>7763.1578947368425</v>
      </c>
      <c r="J196" s="109">
        <f>VLOOKUP(B196,$B$139:$E$143,4,FALSE)/E196</f>
        <v>7.2943813369937871</v>
      </c>
      <c r="K196" s="108">
        <f>1/COUNT($C$194:$C$196)</f>
        <v>0.33333333333333331</v>
      </c>
    </row>
    <row r="197" spans="2:11">
      <c r="B197" s="7" t="s">
        <v>0</v>
      </c>
      <c r="C197" s="103">
        <f>SUMPRODUCT(K194:K196,C194:C196)</f>
        <v>2268</v>
      </c>
      <c r="D197" s="103">
        <f>SUMPRODUCT(D194:D196,K194:K196)</f>
        <v>5010</v>
      </c>
      <c r="E197" s="7">
        <f>SUMPRODUCT(E194:E196,K194:K196)</f>
        <v>11.362679999999999</v>
      </c>
      <c r="F197" s="107">
        <f>SUMPRODUCT(F194:F196,K194:K196)</f>
        <v>1.463667254237288E-3</v>
      </c>
      <c r="G197" s="107">
        <f>SUMPRODUCT(G194:G196,K194:K196)</f>
        <v>3.8517559322033899E-2</v>
      </c>
      <c r="H197" s="106">
        <f>SUMPRODUCT(H194:H196,K194:K196)</f>
        <v>0</v>
      </c>
      <c r="I197" s="105">
        <f>SUMPRODUCT(I194:I196,K194:K196)</f>
        <v>7763.1578947368416</v>
      </c>
      <c r="J197" s="104">
        <f>SUMPRODUCT(J194:J196,K194:K196)</f>
        <v>8.3227082530800658</v>
      </c>
      <c r="K197" s="103"/>
    </row>
  </sheetData>
  <mergeCells count="1">
    <mergeCell ref="G148:H148"/>
  </mergeCells>
  <phoneticPr fontId="35" type="noConversion"/>
  <dataValidations count="5">
    <dataValidation type="list" allowBlank="1" showInputMessage="1" showErrorMessage="1" sqref="D7" xr:uid="{E792C547-3421-41CC-9893-BBD6485B5292}">
      <formula1>$N$11:$O$11</formula1>
    </dataValidation>
    <dataValidation type="list" allowBlank="1" showInputMessage="1" showErrorMessage="1" sqref="B11:C20" xr:uid="{E17EB68D-4A35-4836-8B81-F0B5CE1D4B39}">
      <formula1>$N$7:$Q$7</formula1>
    </dataValidation>
    <dataValidation type="list" allowBlank="1" showInputMessage="1" showErrorMessage="1" sqref="D11:D20" xr:uid="{48470405-F468-46D4-A02D-584CDF3029EF}">
      <formula1>$N$22:$AE$22</formula1>
    </dataValidation>
    <dataValidation type="list" allowBlank="1" showInputMessage="1" showErrorMessage="1" sqref="E11:E20" xr:uid="{A036D611-9EDF-4B43-AC58-130961351E24}">
      <formula1>$N$16:$O$16</formula1>
    </dataValidation>
    <dataValidation type="list" allowBlank="1" showInputMessage="1" showErrorMessage="1" sqref="C59:L59" xr:uid="{1A4C8961-B831-4847-A6EE-6F15B57FAE8F}">
      <formula1>$N$19:$AQ$19</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11768-4A4B-4B41-8C8D-436597EEA57D}">
  <sheetPr codeName="Sheet3">
    <tabColor indexed="27"/>
  </sheetPr>
  <dimension ref="A1:AQ129"/>
  <sheetViews>
    <sheetView zoomScale="80" zoomScaleNormal="80" workbookViewId="0">
      <selection activeCell="F7" sqref="F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ECM Circulators CW</v>
      </c>
      <c r="C7" s="98" t="s">
        <v>2301</v>
      </c>
      <c r="D7" s="97" t="s">
        <v>212</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CW_Res, E - Oth (MD)</v>
      </c>
      <c r="J11" s="83" t="str">
        <f t="shared" ref="J11:J20" si="3">IF(B11="","",CONCATENATE($C$7,IF(C11="","",CONCATENATE(" with ",C11," Secondary Fuel"))))</f>
        <v>Electronically Commutated Motor Hydronic Circulator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ECM Circulators CW_Res,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CW_Res,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ECM Circulators CW_Res,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F129</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2173</v>
      </c>
      <c r="E112"/>
    </row>
    <row r="113" spans="2:17">
      <c r="B113" s="57" t="s">
        <v>2172</v>
      </c>
      <c r="C113" s="57" t="s">
        <v>1955</v>
      </c>
      <c r="D113" s="57" t="s">
        <v>2173</v>
      </c>
      <c r="E113"/>
    </row>
    <row r="114" spans="2:17">
      <c r="B114" s="57" t="s">
        <v>2191</v>
      </c>
      <c r="C114" s="181">
        <v>2208</v>
      </c>
      <c r="D114" s="57" t="s">
        <v>2173</v>
      </c>
      <c r="E114" s="57"/>
    </row>
    <row r="115" spans="2:17">
      <c r="B115" s="57" t="s">
        <v>2192</v>
      </c>
      <c r="C115" s="181">
        <v>5256</v>
      </c>
      <c r="D115" s="57" t="s">
        <v>2173</v>
      </c>
      <c r="E115" s="57"/>
    </row>
    <row r="116" spans="2:17">
      <c r="B116" s="57" t="s">
        <v>34</v>
      </c>
      <c r="C116" s="57">
        <v>0.8</v>
      </c>
      <c r="D116" s="57" t="s">
        <v>2173</v>
      </c>
      <c r="E116"/>
    </row>
    <row r="117" spans="2:17">
      <c r="B117" s="57" t="s">
        <v>518</v>
      </c>
      <c r="C117" s="57">
        <v>15</v>
      </c>
      <c r="D117" s="57" t="s">
        <v>2173</v>
      </c>
      <c r="E117"/>
    </row>
    <row r="118" spans="2:17">
      <c r="B118" s="57" t="s">
        <v>438</v>
      </c>
      <c r="C118" s="57"/>
      <c r="D118" s="57" t="s">
        <v>2173</v>
      </c>
      <c r="E118"/>
    </row>
    <row r="119" spans="2:17">
      <c r="B119" s="58"/>
      <c r="C119" s="58"/>
      <c r="D119" s="58"/>
      <c r="E119" s="540"/>
    </row>
    <row r="120" spans="2:17">
      <c r="B120" s="215" t="s">
        <v>2174</v>
      </c>
      <c r="C120" s="215" t="s">
        <v>2175</v>
      </c>
      <c r="D120" s="215" t="s">
        <v>2171</v>
      </c>
      <c r="E120" s="215" t="s">
        <v>2172</v>
      </c>
      <c r="F120" s="94" t="s">
        <v>500</v>
      </c>
      <c r="G120" s="94" t="s">
        <v>499</v>
      </c>
      <c r="H120" s="94" t="s">
        <v>2007</v>
      </c>
      <c r="I120" s="94" t="s">
        <v>7</v>
      </c>
    </row>
    <row r="121" spans="2:17">
      <c r="B121" s="305">
        <v>2E-3</v>
      </c>
      <c r="C121" s="642" t="s">
        <v>2176</v>
      </c>
      <c r="D121" s="305">
        <v>60</v>
      </c>
      <c r="E121" s="286">
        <v>15</v>
      </c>
      <c r="F121" s="93">
        <f>(D121-E121)*$C$114/1000</f>
        <v>99.36</v>
      </c>
      <c r="G121" s="643">
        <f>(D121-E121)*$C$116/1000</f>
        <v>3.5999999999999997E-2</v>
      </c>
      <c r="H121" s="93">
        <f>(D121-E121)/D121</f>
        <v>0.75</v>
      </c>
      <c r="I121" s="93">
        <f>1/COUNT($E$121:$E$128)</f>
        <v>0.125</v>
      </c>
    </row>
    <row r="122" spans="2:17">
      <c r="B122" s="305">
        <v>8.9999999999999993E-3</v>
      </c>
      <c r="C122" s="642" t="s">
        <v>2176</v>
      </c>
      <c r="D122" s="305">
        <v>77</v>
      </c>
      <c r="E122" s="286">
        <v>29</v>
      </c>
      <c r="F122" s="93">
        <f t="shared" ref="F122:F128" si="26">(D122-E122)*$C$114/1000</f>
        <v>105.98399999999999</v>
      </c>
      <c r="G122" s="643">
        <f t="shared" ref="G122:G128" si="27">(D122-E122)*$C$116/1000</f>
        <v>3.8400000000000004E-2</v>
      </c>
      <c r="H122" s="93">
        <f t="shared" ref="H122:H128" si="28">(D122-E122)/D122</f>
        <v>0.62337662337662336</v>
      </c>
      <c r="I122" s="93">
        <f t="shared" ref="I122:I128" si="29">1/COUNT($E$121:$E$128)</f>
        <v>0.125</v>
      </c>
    </row>
    <row r="123" spans="2:17">
      <c r="B123" s="305">
        <v>1.6E-2</v>
      </c>
      <c r="C123" s="642" t="s">
        <v>2177</v>
      </c>
      <c r="D123" s="305">
        <v>96</v>
      </c>
      <c r="E123" s="286">
        <v>40</v>
      </c>
      <c r="F123" s="93">
        <f t="shared" si="26"/>
        <v>123.648</v>
      </c>
      <c r="G123" s="643">
        <f t="shared" si="27"/>
        <v>4.4800000000000006E-2</v>
      </c>
      <c r="H123" s="93">
        <f t="shared" si="28"/>
        <v>0.58333333333333337</v>
      </c>
      <c r="I123" s="93">
        <f t="shared" si="29"/>
        <v>0.125</v>
      </c>
    </row>
    <row r="124" spans="2:17">
      <c r="B124" s="305">
        <v>2.3E-2</v>
      </c>
      <c r="C124" s="642" t="s">
        <v>2177</v>
      </c>
      <c r="D124" s="305">
        <v>124</v>
      </c>
      <c r="E124" s="305">
        <v>53</v>
      </c>
      <c r="F124" s="93">
        <f t="shared" si="26"/>
        <v>156.768</v>
      </c>
      <c r="G124" s="643">
        <f t="shared" si="27"/>
        <v>5.6800000000000003E-2</v>
      </c>
      <c r="H124" s="93">
        <f t="shared" si="28"/>
        <v>0.57258064516129037</v>
      </c>
      <c r="I124" s="93">
        <f t="shared" si="29"/>
        <v>0.125</v>
      </c>
    </row>
    <row r="125" spans="2:17">
      <c r="B125" s="305">
        <v>0.03</v>
      </c>
      <c r="C125" s="642" t="s">
        <v>2178</v>
      </c>
      <c r="D125" s="305">
        <v>132</v>
      </c>
      <c r="E125" s="305">
        <v>58</v>
      </c>
      <c r="F125" s="93">
        <f t="shared" si="26"/>
        <v>163.392</v>
      </c>
      <c r="G125" s="643">
        <f t="shared" si="27"/>
        <v>5.9200000000000003E-2</v>
      </c>
      <c r="H125" s="93">
        <f t="shared" si="28"/>
        <v>0.56060606060606055</v>
      </c>
      <c r="I125" s="93">
        <f t="shared" si="29"/>
        <v>0.125</v>
      </c>
    </row>
    <row r="126" spans="2:17">
      <c r="B126" s="305">
        <v>9.7000000000000003E-2</v>
      </c>
      <c r="C126" s="642" t="s">
        <v>2179</v>
      </c>
      <c r="D126" s="215">
        <v>269</v>
      </c>
      <c r="E126" s="215">
        <v>138</v>
      </c>
      <c r="F126" s="93">
        <f t="shared" si="26"/>
        <v>289.24799999999999</v>
      </c>
      <c r="G126" s="643">
        <f t="shared" si="27"/>
        <v>0.10480000000000002</v>
      </c>
      <c r="H126" s="93">
        <f t="shared" si="28"/>
        <v>0.48698884758364314</v>
      </c>
      <c r="I126" s="93">
        <f t="shared" si="29"/>
        <v>0.125</v>
      </c>
    </row>
    <row r="127" spans="2:17">
      <c r="B127" s="177">
        <v>9.9000000000000005E-2</v>
      </c>
      <c r="C127" s="642" t="s">
        <v>2179</v>
      </c>
      <c r="D127" s="177">
        <v>282</v>
      </c>
      <c r="E127" s="177">
        <v>145</v>
      </c>
      <c r="F127" s="93">
        <f t="shared" si="26"/>
        <v>302.49599999999998</v>
      </c>
      <c r="G127" s="643">
        <f t="shared" si="27"/>
        <v>0.1096</v>
      </c>
      <c r="H127" s="93">
        <f t="shared" si="28"/>
        <v>0.48581560283687941</v>
      </c>
      <c r="I127" s="93">
        <f t="shared" si="29"/>
        <v>0.125</v>
      </c>
      <c r="J127" s="26"/>
      <c r="K127" s="26"/>
      <c r="L127" s="26"/>
      <c r="M127" s="26"/>
      <c r="N127" s="26"/>
      <c r="O127" s="27"/>
      <c r="P127" s="27"/>
      <c r="Q127" s="27"/>
    </row>
    <row r="128" spans="2:17">
      <c r="B128" s="177">
        <v>0.56999999999999995</v>
      </c>
      <c r="C128" s="642" t="s">
        <v>2180</v>
      </c>
      <c r="D128" s="177">
        <v>962</v>
      </c>
      <c r="E128" s="559">
        <v>555</v>
      </c>
      <c r="F128" s="93">
        <f t="shared" si="26"/>
        <v>898.65599999999995</v>
      </c>
      <c r="G128" s="643">
        <f t="shared" si="27"/>
        <v>0.3256</v>
      </c>
      <c r="H128" s="93">
        <f t="shared" si="28"/>
        <v>0.42307692307692307</v>
      </c>
      <c r="I128" s="93">
        <f t="shared" si="29"/>
        <v>0.125</v>
      </c>
      <c r="J128" s="26"/>
      <c r="K128" s="26"/>
      <c r="L128" s="26"/>
      <c r="M128" s="26"/>
      <c r="N128" s="26"/>
      <c r="O128" s="27"/>
      <c r="P128" s="27"/>
      <c r="Q128" s="27"/>
    </row>
    <row r="129" spans="2:17">
      <c r="B129" s="26"/>
      <c r="C129" s="641"/>
      <c r="D129" s="26"/>
      <c r="E129" s="223"/>
      <c r="F129" s="2">
        <f>SUMPRODUCT(F121:F128,$I$121:$I$128)</f>
        <v>267.44400000000002</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D7" xr:uid="{B5031FFC-29EE-460D-B5D8-2EB68B337DC1}">
      <formula1>$N$11:$O$11</formula1>
    </dataValidation>
    <dataValidation type="list" allowBlank="1" showInputMessage="1" showErrorMessage="1" sqref="B11:C20" xr:uid="{B5633BA2-368D-4A3F-A3EE-324AC2B545D1}">
      <formula1>$N$7:$Q$7</formula1>
    </dataValidation>
    <dataValidation type="list" allowBlank="1" showInputMessage="1" showErrorMessage="1" sqref="D11:D20" xr:uid="{5FBD8A56-5A9C-4430-947B-F0AA5E38C024}">
      <formula1>$N$22:$AE$22</formula1>
    </dataValidation>
    <dataValidation type="list" allowBlank="1" showInputMessage="1" showErrorMessage="1" sqref="E11:E20" xr:uid="{5F613556-E2BF-43FE-A03A-87866CB1A5EC}">
      <formula1>$N$16:$O$16</formula1>
    </dataValidation>
    <dataValidation type="list" allowBlank="1" showInputMessage="1" showErrorMessage="1" sqref="C59:L59" xr:uid="{3ACA7017-9DBC-4E93-AE4F-3950BFC48922}">
      <formula1>$N$19:$AQ$19</formula1>
    </dataValidation>
  </dataValidation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A6354-04F8-4C76-8F92-4A60AE03C957}">
  <sheetPr codeName="Sheet6">
    <tabColor indexed="27"/>
  </sheetPr>
  <dimension ref="A1:AQ129"/>
  <sheetViews>
    <sheetView topLeftCell="A27"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ECM Circulators DHW</v>
      </c>
      <c r="C7" s="98" t="s">
        <v>2301</v>
      </c>
      <c r="D7" s="97" t="s">
        <v>212</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DHW_Res, E - Oth (MD)</v>
      </c>
      <c r="J11" s="83" t="str">
        <f t="shared" ref="J11:J20" si="3">IF(B11="","",CONCATENATE($C$7,IF(C11="","",CONCATENATE(" with ",C11," Secondary Fuel"))))</f>
        <v>Electronically Commutated Motor Hydronic Circulator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ECM Circulators DHW_Res,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DHW_Res,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ECM Circulators DHW_Res,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F129</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2173</v>
      </c>
      <c r="E112"/>
    </row>
    <row r="113" spans="2:17">
      <c r="B113" s="57" t="s">
        <v>2172</v>
      </c>
      <c r="C113" s="57" t="s">
        <v>1955</v>
      </c>
      <c r="D113" s="57" t="s">
        <v>2173</v>
      </c>
      <c r="E113"/>
    </row>
    <row r="114" spans="2:17">
      <c r="B114" s="57" t="s">
        <v>2191</v>
      </c>
      <c r="C114" s="181">
        <v>2208</v>
      </c>
      <c r="D114" s="57" t="s">
        <v>2173</v>
      </c>
      <c r="E114" s="57"/>
    </row>
    <row r="115" spans="2:17">
      <c r="B115" s="57" t="s">
        <v>2192</v>
      </c>
      <c r="C115" s="181">
        <v>5256</v>
      </c>
      <c r="D115" s="57" t="s">
        <v>2173</v>
      </c>
      <c r="E115" s="57"/>
    </row>
    <row r="116" spans="2:17">
      <c r="B116" s="57" t="s">
        <v>34</v>
      </c>
      <c r="C116" s="57">
        <v>0.8</v>
      </c>
      <c r="D116" s="57" t="s">
        <v>2173</v>
      </c>
      <c r="E116"/>
    </row>
    <row r="117" spans="2:17">
      <c r="B117" s="57" t="s">
        <v>518</v>
      </c>
      <c r="C117" s="57">
        <v>15</v>
      </c>
      <c r="D117" s="57" t="s">
        <v>2173</v>
      </c>
      <c r="E117"/>
    </row>
    <row r="118" spans="2:17">
      <c r="B118" s="57" t="s">
        <v>438</v>
      </c>
      <c r="C118" s="57"/>
      <c r="D118" s="57" t="s">
        <v>2173</v>
      </c>
      <c r="E118"/>
    </row>
    <row r="119" spans="2:17">
      <c r="B119" s="58"/>
      <c r="C119" s="58"/>
      <c r="D119" s="58"/>
      <c r="E119" s="540"/>
    </row>
    <row r="120" spans="2:17">
      <c r="B120" s="215" t="s">
        <v>2174</v>
      </c>
      <c r="C120" s="215" t="s">
        <v>2175</v>
      </c>
      <c r="D120" s="215" t="s">
        <v>2171</v>
      </c>
      <c r="E120" s="215" t="s">
        <v>2172</v>
      </c>
      <c r="F120" s="94" t="s">
        <v>500</v>
      </c>
      <c r="G120" s="94" t="s">
        <v>499</v>
      </c>
      <c r="H120" s="94" t="s">
        <v>2007</v>
      </c>
      <c r="I120" s="94" t="s">
        <v>7</v>
      </c>
    </row>
    <row r="121" spans="2:17">
      <c r="B121" s="305">
        <v>2E-3</v>
      </c>
      <c r="C121" s="642" t="s">
        <v>2176</v>
      </c>
      <c r="D121" s="305">
        <v>60</v>
      </c>
      <c r="E121" s="286">
        <v>15</v>
      </c>
      <c r="F121" s="93">
        <f>(D121-E121)*$C$115/1000</f>
        <v>236.52</v>
      </c>
      <c r="G121" s="643">
        <f>(D121-E121)*$C$116/1000</f>
        <v>3.5999999999999997E-2</v>
      </c>
      <c r="H121" s="93">
        <f>(D121-E121)/D121</f>
        <v>0.75</v>
      </c>
      <c r="I121" s="93">
        <f>1/COUNT($E$121:$E$128)</f>
        <v>0.125</v>
      </c>
    </row>
    <row r="122" spans="2:17">
      <c r="B122" s="305">
        <v>8.9999999999999993E-3</v>
      </c>
      <c r="C122" s="642" t="s">
        <v>2176</v>
      </c>
      <c r="D122" s="305">
        <v>77</v>
      </c>
      <c r="E122" s="286">
        <v>29</v>
      </c>
      <c r="F122" s="93">
        <f t="shared" ref="F122:F128" si="26">(D122-E122)*$C$115/1000</f>
        <v>252.28800000000001</v>
      </c>
      <c r="G122" s="643">
        <f t="shared" ref="G122:G128" si="27">(D122-E122)*$C$116/1000</f>
        <v>3.8400000000000004E-2</v>
      </c>
      <c r="H122" s="93">
        <f t="shared" ref="H122:H128" si="28">(D122-E122)/D122</f>
        <v>0.62337662337662336</v>
      </c>
      <c r="I122" s="93">
        <f t="shared" ref="I122:I128" si="29">1/COUNT($E$121:$E$128)</f>
        <v>0.125</v>
      </c>
    </row>
    <row r="123" spans="2:17">
      <c r="B123" s="305">
        <v>1.6E-2</v>
      </c>
      <c r="C123" s="642" t="s">
        <v>2177</v>
      </c>
      <c r="D123" s="305">
        <v>96</v>
      </c>
      <c r="E123" s="286">
        <v>40</v>
      </c>
      <c r="F123" s="93">
        <f t="shared" si="26"/>
        <v>294.33600000000001</v>
      </c>
      <c r="G123" s="643">
        <f t="shared" si="27"/>
        <v>4.4800000000000006E-2</v>
      </c>
      <c r="H123" s="93">
        <f t="shared" si="28"/>
        <v>0.58333333333333337</v>
      </c>
      <c r="I123" s="93">
        <f t="shared" si="29"/>
        <v>0.125</v>
      </c>
    </row>
    <row r="124" spans="2:17">
      <c r="B124" s="305">
        <v>2.3E-2</v>
      </c>
      <c r="C124" s="642" t="s">
        <v>2177</v>
      </c>
      <c r="D124" s="305">
        <v>124</v>
      </c>
      <c r="E124" s="305">
        <v>53</v>
      </c>
      <c r="F124" s="93">
        <f t="shared" si="26"/>
        <v>373.17599999999999</v>
      </c>
      <c r="G124" s="643">
        <f t="shared" si="27"/>
        <v>5.6800000000000003E-2</v>
      </c>
      <c r="H124" s="93">
        <f t="shared" si="28"/>
        <v>0.57258064516129037</v>
      </c>
      <c r="I124" s="93">
        <f t="shared" si="29"/>
        <v>0.125</v>
      </c>
    </row>
    <row r="125" spans="2:17">
      <c r="B125" s="305">
        <v>0.03</v>
      </c>
      <c r="C125" s="642" t="s">
        <v>2178</v>
      </c>
      <c r="D125" s="305">
        <v>132</v>
      </c>
      <c r="E125" s="305">
        <v>58</v>
      </c>
      <c r="F125" s="93">
        <f t="shared" si="26"/>
        <v>388.94400000000002</v>
      </c>
      <c r="G125" s="643">
        <f t="shared" si="27"/>
        <v>5.9200000000000003E-2</v>
      </c>
      <c r="H125" s="93">
        <f t="shared" si="28"/>
        <v>0.56060606060606055</v>
      </c>
      <c r="I125" s="93">
        <f t="shared" si="29"/>
        <v>0.125</v>
      </c>
    </row>
    <row r="126" spans="2:17">
      <c r="B126" s="305">
        <v>9.7000000000000003E-2</v>
      </c>
      <c r="C126" s="642" t="s">
        <v>2179</v>
      </c>
      <c r="D126" s="215">
        <v>269</v>
      </c>
      <c r="E126" s="215">
        <v>138</v>
      </c>
      <c r="F126" s="93">
        <f t="shared" si="26"/>
        <v>688.53599999999994</v>
      </c>
      <c r="G126" s="643">
        <f t="shared" si="27"/>
        <v>0.10480000000000002</v>
      </c>
      <c r="H126" s="93">
        <f t="shared" si="28"/>
        <v>0.48698884758364314</v>
      </c>
      <c r="I126" s="93">
        <f t="shared" si="29"/>
        <v>0.125</v>
      </c>
    </row>
    <row r="127" spans="2:17">
      <c r="B127" s="177">
        <v>9.9000000000000005E-2</v>
      </c>
      <c r="C127" s="642" t="s">
        <v>2179</v>
      </c>
      <c r="D127" s="177">
        <v>282</v>
      </c>
      <c r="E127" s="177">
        <v>145</v>
      </c>
      <c r="F127" s="93">
        <f t="shared" si="26"/>
        <v>720.072</v>
      </c>
      <c r="G127" s="643">
        <f t="shared" si="27"/>
        <v>0.1096</v>
      </c>
      <c r="H127" s="93">
        <f t="shared" si="28"/>
        <v>0.48581560283687941</v>
      </c>
      <c r="I127" s="93">
        <f t="shared" si="29"/>
        <v>0.125</v>
      </c>
      <c r="J127" s="26"/>
      <c r="K127" s="26"/>
      <c r="L127" s="26"/>
      <c r="M127" s="26"/>
      <c r="N127" s="26"/>
      <c r="O127" s="27"/>
      <c r="P127" s="27"/>
      <c r="Q127" s="27"/>
    </row>
    <row r="128" spans="2:17">
      <c r="B128" s="177">
        <v>0.56999999999999995</v>
      </c>
      <c r="C128" s="642" t="s">
        <v>2180</v>
      </c>
      <c r="D128" s="177">
        <v>962</v>
      </c>
      <c r="E128" s="559">
        <v>555</v>
      </c>
      <c r="F128" s="93">
        <f t="shared" si="26"/>
        <v>2139.192</v>
      </c>
      <c r="G128" s="643">
        <f t="shared" si="27"/>
        <v>0.3256</v>
      </c>
      <c r="H128" s="93">
        <f t="shared" si="28"/>
        <v>0.42307692307692307</v>
      </c>
      <c r="I128" s="93">
        <f t="shared" si="29"/>
        <v>0.125</v>
      </c>
      <c r="J128" s="26"/>
      <c r="K128" s="26"/>
      <c r="L128" s="26"/>
      <c r="M128" s="26"/>
      <c r="N128" s="26"/>
      <c r="O128" s="27"/>
      <c r="P128" s="27"/>
      <c r="Q128" s="27"/>
    </row>
    <row r="129" spans="2:17">
      <c r="B129" s="26"/>
      <c r="C129" s="641"/>
      <c r="D129" s="26"/>
      <c r="E129" s="223"/>
      <c r="F129" s="2">
        <f>SUMPRODUCT(F121:F128,$I$121:$I$128)</f>
        <v>636.63300000000004</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C59:L59" xr:uid="{A12EAB23-FB53-49B6-A52C-528C1C018F87}">
      <formula1>$N$19:$AQ$19</formula1>
    </dataValidation>
    <dataValidation type="list" allowBlank="1" showInputMessage="1" showErrorMessage="1" sqref="E11:E20" xr:uid="{A3E259F9-34A3-4013-91F5-88756C8C8A09}">
      <formula1>$N$16:$O$16</formula1>
    </dataValidation>
    <dataValidation type="list" allowBlank="1" showInputMessage="1" showErrorMessage="1" sqref="D11:D20" xr:uid="{6D66409B-493B-43BD-A1E9-B0EA6D7ACE67}">
      <formula1>$N$22:$AE$22</formula1>
    </dataValidation>
    <dataValidation type="list" allowBlank="1" showInputMessage="1" showErrorMessage="1" sqref="B11:C20" xr:uid="{4178D97A-D0B2-45F0-B376-F198D3146B13}">
      <formula1>$N$7:$Q$7</formula1>
    </dataValidation>
    <dataValidation type="list" allowBlank="1" showInputMessage="1" showErrorMessage="1" sqref="D7" xr:uid="{D5FD1A04-161D-4612-A00B-D75472D850B6}">
      <formula1>$N$11:$O$11</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02001-F5C7-437F-88DD-C62964F6A8B7}">
  <sheetPr codeName="Sheet20">
    <tabColor rgb="FFCCFFFF"/>
  </sheetPr>
  <dimension ref="A1:AQ390"/>
  <sheetViews>
    <sheetView topLeftCell="A45"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Ceiling Fan</v>
      </c>
      <c r="C7" s="97" t="s">
        <v>416</v>
      </c>
      <c r="D7" s="97" t="s">
        <v>212</v>
      </c>
      <c r="E7" s="97">
        <f>C127</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ES Ceiling Fan_Res, E - Oth (RET)</v>
      </c>
      <c r="J11" s="83" t="str">
        <f t="shared" ref="J11:J20" si="3">IF(B11="","",CONCATENATE($C$7,IF(C11="","",CONCATENATE(" with ",C11," Secondary Fuel"))))</f>
        <v>ENERGY STAR Ceiling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Ceiling Fan_Res,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Ceiling Fan_Res,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Ceiling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ES Ceiling Fan_Res,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Ceiling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418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Ceiling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417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416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t="s">
        <v>415</v>
      </c>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B132</f>
        <v>20.81925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E132</f>
        <v>0.57575757575757569</v>
      </c>
      <c r="D65" s="67"/>
      <c r="E65" s="67"/>
      <c r="F65" s="65"/>
      <c r="G65" s="65"/>
      <c r="H65" s="65"/>
      <c r="I65" s="65"/>
      <c r="J65" s="65"/>
      <c r="K65" s="65"/>
      <c r="L65" s="65"/>
      <c r="M65" s="69" t="s">
        <v>414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C128</f>
        <v>30.71</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G132</f>
        <v>1.4750771521548567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Ceiling Fan</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C127</f>
        <v>10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C76*2/3</f>
        <v>6.666666666666667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0">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0">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0">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0">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0">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0">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0">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30" s="63" customFormat="1" ht="15.75" thickBot="1">
      <c r="B106" s="63" t="s">
        <v>50</v>
      </c>
    </row>
    <row r="108" spans="1:30">
      <c r="B108" s="1" t="s">
        <v>413</v>
      </c>
    </row>
    <row r="110" spans="1:30">
      <c r="B110" s="21" t="s">
        <v>412</v>
      </c>
      <c r="C110" s="19"/>
      <c r="D110" s="19"/>
      <c r="E110" s="21"/>
      <c r="F110" s="26"/>
      <c r="G110" s="2"/>
      <c r="H110" s="26"/>
      <c r="I110" s="26"/>
      <c r="J110" s="26"/>
      <c r="K110" s="26"/>
      <c r="L110" s="26"/>
      <c r="M110" s="26"/>
      <c r="N110" s="27"/>
      <c r="O110" s="27"/>
      <c r="P110" s="27"/>
      <c r="Q110" s="27"/>
      <c r="R110" s="27"/>
      <c r="S110" s="27"/>
      <c r="T110" s="27"/>
      <c r="U110" s="26"/>
      <c r="V110" s="26"/>
      <c r="W110" s="26"/>
      <c r="X110" s="26"/>
      <c r="Y110" s="26"/>
      <c r="Z110" s="26"/>
      <c r="AA110" s="26"/>
      <c r="AB110" s="26"/>
      <c r="AC110" s="26"/>
      <c r="AD110" s="26"/>
    </row>
    <row r="111" spans="1:30">
      <c r="B111" s="21" t="s">
        <v>411</v>
      </c>
      <c r="C111" s="21" t="s">
        <v>410</v>
      </c>
      <c r="D111" s="21" t="s">
        <v>409</v>
      </c>
      <c r="E111" s="21" t="s">
        <v>122</v>
      </c>
      <c r="F111" s="26"/>
      <c r="G111" s="2"/>
      <c r="H111" s="2"/>
      <c r="I111" s="2"/>
      <c r="J111" s="2"/>
      <c r="K111" s="2"/>
      <c r="L111" s="2"/>
      <c r="M111" s="2"/>
      <c r="N111" s="2"/>
      <c r="O111" s="2"/>
      <c r="P111" s="2"/>
      <c r="Q111" s="2"/>
      <c r="R111" s="2"/>
      <c r="S111" s="2"/>
      <c r="T111" s="2"/>
      <c r="U111" s="26"/>
      <c r="V111" s="2"/>
      <c r="W111" s="2"/>
      <c r="X111" s="2"/>
      <c r="Y111" s="2"/>
      <c r="Z111" s="26"/>
      <c r="AA111" s="26"/>
      <c r="AB111" s="26"/>
      <c r="AC111" s="26"/>
      <c r="AD111" s="26"/>
    </row>
    <row r="112" spans="1:30">
      <c r="B112" s="19" t="s">
        <v>408</v>
      </c>
      <c r="C112" s="234">
        <v>365.25</v>
      </c>
      <c r="D112" s="19" t="s">
        <v>377</v>
      </c>
      <c r="E112" s="19" t="s">
        <v>407</v>
      </c>
      <c r="F112" s="26"/>
      <c r="G112" s="26"/>
      <c r="H112" s="26"/>
      <c r="I112" s="26"/>
      <c r="J112" s="26"/>
      <c r="K112" s="26"/>
      <c r="L112" s="26"/>
      <c r="M112" s="239"/>
      <c r="N112" s="26"/>
      <c r="O112" s="26"/>
      <c r="P112" s="27"/>
      <c r="Q112" s="231"/>
      <c r="R112" s="230"/>
      <c r="S112" s="230"/>
      <c r="T112" s="229"/>
      <c r="U112" s="27"/>
      <c r="V112" s="26"/>
      <c r="W112" s="26"/>
      <c r="X112" s="26"/>
      <c r="Y112" s="238"/>
      <c r="Z112" s="26"/>
      <c r="AA112" s="237"/>
      <c r="AB112" s="26"/>
      <c r="AC112" s="26"/>
      <c r="AD112" s="26"/>
    </row>
    <row r="113" spans="1:30">
      <c r="B113" s="19" t="s">
        <v>406</v>
      </c>
      <c r="C113" s="234">
        <v>3</v>
      </c>
      <c r="D113" s="19" t="s">
        <v>377</v>
      </c>
      <c r="E113" s="19" t="s">
        <v>405</v>
      </c>
      <c r="F113" s="26"/>
      <c r="G113" s="26"/>
      <c r="H113" s="26"/>
      <c r="I113" s="26"/>
      <c r="J113" s="26"/>
      <c r="K113" s="26"/>
      <c r="L113" s="26"/>
      <c r="M113" s="239"/>
      <c r="N113" s="26"/>
      <c r="O113" s="26"/>
      <c r="P113" s="27"/>
      <c r="Q113" s="231"/>
      <c r="R113" s="230"/>
      <c r="S113" s="230"/>
      <c r="T113" s="229"/>
      <c r="U113" s="27"/>
      <c r="V113" s="26"/>
      <c r="W113" s="26"/>
      <c r="X113" s="26"/>
      <c r="Y113" s="238"/>
      <c r="Z113" s="26"/>
      <c r="AA113" s="237"/>
      <c r="AB113" s="26"/>
      <c r="AC113" s="26"/>
      <c r="AD113" s="26"/>
    </row>
    <row r="114" spans="1:30">
      <c r="B114" s="19" t="s">
        <v>404</v>
      </c>
      <c r="C114" s="236">
        <v>0.4</v>
      </c>
      <c r="D114" s="19" t="s">
        <v>377</v>
      </c>
      <c r="E114" s="19" t="s">
        <v>403</v>
      </c>
      <c r="F114" s="26"/>
      <c r="G114" s="26"/>
      <c r="H114" s="26"/>
      <c r="I114" s="26"/>
      <c r="J114" s="26"/>
      <c r="K114" s="26"/>
      <c r="L114" s="26"/>
      <c r="M114" s="26"/>
      <c r="N114" s="26"/>
      <c r="O114" s="26"/>
      <c r="P114" s="26"/>
      <c r="Q114" s="231"/>
      <c r="R114" s="230"/>
      <c r="S114" s="230"/>
      <c r="T114" s="229"/>
      <c r="U114" s="27"/>
      <c r="V114" s="26"/>
      <c r="W114" s="26"/>
      <c r="X114" s="26"/>
      <c r="Y114" s="26"/>
      <c r="Z114" s="26"/>
      <c r="AA114" s="237"/>
      <c r="AB114" s="26"/>
      <c r="AC114" s="26"/>
      <c r="AD114" s="26"/>
    </row>
    <row r="115" spans="1:30">
      <c r="B115" s="19" t="s">
        <v>402</v>
      </c>
      <c r="C115" s="234">
        <v>15</v>
      </c>
      <c r="D115" s="19" t="s">
        <v>377</v>
      </c>
      <c r="E115" s="19" t="s">
        <v>401</v>
      </c>
      <c r="F115" s="26"/>
      <c r="G115" s="26"/>
      <c r="H115" s="26"/>
      <c r="I115" s="26"/>
      <c r="J115" s="26"/>
      <c r="K115" s="26"/>
      <c r="L115" s="26"/>
      <c r="M115" s="228"/>
      <c r="N115" s="26"/>
      <c r="O115" s="26"/>
      <c r="P115" s="27"/>
      <c r="Q115" s="231"/>
      <c r="R115" s="230"/>
      <c r="S115" s="230"/>
      <c r="T115" s="229"/>
      <c r="U115" s="27"/>
      <c r="V115" s="26"/>
      <c r="W115" s="26"/>
      <c r="X115" s="26"/>
      <c r="Y115" s="228"/>
      <c r="Z115" s="26"/>
      <c r="AA115" s="26"/>
      <c r="AB115" s="26"/>
      <c r="AC115" s="26"/>
      <c r="AD115" s="26"/>
    </row>
    <row r="116" spans="1:30">
      <c r="B116" s="19" t="s">
        <v>400</v>
      </c>
      <c r="C116" s="236">
        <v>0.4</v>
      </c>
      <c r="D116" s="19" t="s">
        <v>377</v>
      </c>
      <c r="E116" s="19" t="s">
        <v>399</v>
      </c>
      <c r="F116" s="26"/>
      <c r="G116" s="26"/>
      <c r="H116" s="26"/>
      <c r="I116" s="26"/>
      <c r="J116" s="26"/>
      <c r="K116" s="26"/>
      <c r="L116" s="26"/>
      <c r="M116" s="228"/>
      <c r="N116" s="26"/>
      <c r="O116" s="26"/>
      <c r="P116" s="27"/>
      <c r="Q116" s="231"/>
      <c r="R116" s="230"/>
      <c r="S116" s="230"/>
      <c r="T116" s="229"/>
      <c r="U116" s="27"/>
      <c r="V116" s="26"/>
      <c r="W116" s="26"/>
      <c r="X116" s="26"/>
      <c r="Y116" s="228"/>
      <c r="Z116" s="26"/>
      <c r="AA116" s="26"/>
      <c r="AB116" s="26"/>
      <c r="AC116" s="26"/>
      <c r="AD116" s="26"/>
    </row>
    <row r="117" spans="1:30">
      <c r="B117" s="19" t="s">
        <v>398</v>
      </c>
      <c r="C117" s="234">
        <v>34</v>
      </c>
      <c r="D117" s="19" t="s">
        <v>377</v>
      </c>
      <c r="E117" s="19" t="s">
        <v>397</v>
      </c>
      <c r="F117" s="26"/>
      <c r="G117" s="26"/>
      <c r="H117" s="26"/>
      <c r="I117" s="26"/>
      <c r="J117" s="26"/>
      <c r="K117" s="26"/>
      <c r="L117" s="26"/>
      <c r="M117" s="228"/>
      <c r="N117" s="26"/>
      <c r="O117" s="26"/>
      <c r="P117" s="27"/>
      <c r="Q117" s="231"/>
      <c r="R117" s="230"/>
      <c r="S117" s="230"/>
      <c r="T117" s="229"/>
      <c r="U117" s="26"/>
      <c r="V117" s="26"/>
      <c r="W117" s="26"/>
      <c r="X117" s="26"/>
      <c r="Y117" s="228"/>
      <c r="Z117" s="26"/>
      <c r="AA117" s="26"/>
      <c r="AB117" s="26"/>
      <c r="AC117" s="26"/>
      <c r="AD117" s="26"/>
    </row>
    <row r="118" spans="1:30">
      <c r="B118" s="19" t="s">
        <v>396</v>
      </c>
      <c r="C118" s="236">
        <v>0.2</v>
      </c>
      <c r="D118" s="19" t="s">
        <v>377</v>
      </c>
      <c r="E118" s="19" t="s">
        <v>395</v>
      </c>
      <c r="F118" s="26"/>
      <c r="G118" s="26"/>
      <c r="H118" s="26"/>
      <c r="I118" s="26"/>
      <c r="J118" s="26"/>
      <c r="K118" s="26"/>
      <c r="L118" s="26"/>
      <c r="M118" s="232"/>
      <c r="N118" s="26"/>
      <c r="O118" s="26"/>
      <c r="P118" s="27"/>
      <c r="Q118" s="231"/>
      <c r="R118" s="230"/>
      <c r="S118" s="230"/>
      <c r="T118" s="229"/>
      <c r="U118" s="27"/>
      <c r="V118" s="26"/>
      <c r="W118" s="26"/>
      <c r="X118" s="26"/>
      <c r="Y118" s="228"/>
      <c r="Z118" s="26"/>
      <c r="AA118" s="26"/>
      <c r="AB118" s="26"/>
      <c r="AC118" s="26"/>
      <c r="AD118" s="26"/>
    </row>
    <row r="119" spans="1:30">
      <c r="B119" s="19" t="s">
        <v>394</v>
      </c>
      <c r="C119" s="234">
        <v>67</v>
      </c>
      <c r="D119" s="19" t="s">
        <v>377</v>
      </c>
      <c r="E119" s="19" t="s">
        <v>393</v>
      </c>
      <c r="F119" s="26"/>
      <c r="G119" s="26"/>
      <c r="H119" s="26"/>
      <c r="I119" s="26"/>
      <c r="J119" s="26"/>
      <c r="K119" s="26"/>
      <c r="L119" s="26"/>
      <c r="M119" s="232"/>
      <c r="N119" s="26"/>
      <c r="O119" s="26"/>
      <c r="P119" s="27"/>
      <c r="Q119" s="231"/>
      <c r="R119" s="230"/>
      <c r="S119" s="230"/>
      <c r="T119" s="229"/>
      <c r="U119" s="27"/>
      <c r="V119" s="26"/>
      <c r="W119" s="26"/>
      <c r="X119" s="26"/>
      <c r="Y119" s="228"/>
      <c r="Z119" s="26"/>
      <c r="AA119" s="26"/>
      <c r="AB119" s="26"/>
      <c r="AC119" s="26"/>
      <c r="AD119" s="26"/>
    </row>
    <row r="120" spans="1:30">
      <c r="B120" s="19" t="s">
        <v>392</v>
      </c>
      <c r="C120" s="235">
        <v>0.4</v>
      </c>
      <c r="D120" s="19" t="s">
        <v>377</v>
      </c>
      <c r="E120" s="19" t="s">
        <v>391</v>
      </c>
      <c r="F120" s="26"/>
      <c r="G120" s="26"/>
      <c r="H120" s="26"/>
      <c r="I120" s="26"/>
      <c r="J120" s="26"/>
      <c r="K120" s="26"/>
      <c r="L120" s="26"/>
      <c r="M120" s="232"/>
      <c r="N120" s="26"/>
      <c r="O120" s="26"/>
      <c r="P120" s="27"/>
      <c r="Q120" s="231"/>
      <c r="R120" s="230"/>
      <c r="S120" s="230"/>
      <c r="T120" s="229"/>
      <c r="U120" s="27"/>
      <c r="V120" s="26"/>
      <c r="W120" s="26"/>
      <c r="X120" s="26"/>
      <c r="Y120" s="228"/>
      <c r="Z120" s="26"/>
      <c r="AA120" s="26"/>
      <c r="AB120" s="26"/>
      <c r="AC120" s="26"/>
      <c r="AD120" s="26"/>
    </row>
    <row r="121" spans="1:30">
      <c r="B121" s="19" t="s">
        <v>390</v>
      </c>
      <c r="C121" s="234">
        <v>5</v>
      </c>
      <c r="D121" s="19" t="s">
        <v>377</v>
      </c>
      <c r="E121" s="19" t="s">
        <v>389</v>
      </c>
      <c r="F121" s="26"/>
      <c r="G121" s="26"/>
      <c r="H121" s="26"/>
      <c r="I121" s="26"/>
      <c r="J121" s="26"/>
      <c r="K121" s="26"/>
      <c r="L121" s="26"/>
      <c r="M121" s="232"/>
      <c r="N121" s="26"/>
      <c r="O121" s="26"/>
      <c r="P121" s="27"/>
      <c r="Q121" s="231"/>
      <c r="R121" s="230"/>
      <c r="S121" s="230"/>
      <c r="T121" s="229"/>
      <c r="U121" s="27"/>
      <c r="V121" s="26"/>
      <c r="W121" s="26"/>
      <c r="X121" s="26"/>
      <c r="Y121" s="228"/>
      <c r="Z121" s="26"/>
      <c r="AA121" s="26"/>
      <c r="AB121" s="26"/>
      <c r="AC121" s="26"/>
      <c r="AD121" s="26"/>
    </row>
    <row r="122" spans="1:30">
      <c r="B122" s="19" t="s">
        <v>388</v>
      </c>
      <c r="C122" s="235">
        <v>0.4</v>
      </c>
      <c r="D122" s="19" t="s">
        <v>377</v>
      </c>
      <c r="E122" s="19" t="s">
        <v>387</v>
      </c>
      <c r="F122" s="26"/>
      <c r="G122" s="26"/>
      <c r="H122" s="26"/>
      <c r="I122" s="26"/>
      <c r="J122" s="26"/>
      <c r="K122" s="26"/>
      <c r="L122" s="26"/>
      <c r="M122" s="232"/>
      <c r="N122" s="26"/>
      <c r="O122" s="26"/>
      <c r="P122" s="27"/>
      <c r="Q122" s="231"/>
      <c r="R122" s="230"/>
      <c r="S122" s="230"/>
      <c r="T122" s="229"/>
      <c r="U122" s="27"/>
      <c r="V122" s="26"/>
      <c r="W122" s="26"/>
      <c r="X122" s="26"/>
      <c r="Y122" s="228"/>
      <c r="Z122" s="26"/>
      <c r="AA122" s="26"/>
      <c r="AB122" s="26"/>
      <c r="AC122" s="26"/>
      <c r="AD122" s="26"/>
    </row>
    <row r="123" spans="1:30">
      <c r="B123" s="19" t="s">
        <v>386</v>
      </c>
      <c r="C123" s="234">
        <v>14</v>
      </c>
      <c r="D123" s="19" t="s">
        <v>377</v>
      </c>
      <c r="E123" s="19" t="s">
        <v>385</v>
      </c>
      <c r="F123" s="26"/>
      <c r="G123" s="26"/>
      <c r="H123" s="26"/>
      <c r="I123" s="26"/>
      <c r="J123" s="26"/>
      <c r="K123" s="26"/>
      <c r="L123" s="26"/>
      <c r="M123" s="232"/>
      <c r="N123" s="26"/>
      <c r="O123" s="26"/>
      <c r="P123" s="27"/>
      <c r="Q123" s="231"/>
      <c r="R123" s="230"/>
      <c r="S123" s="230"/>
      <c r="T123" s="229"/>
      <c r="U123" s="27"/>
      <c r="V123" s="26"/>
      <c r="W123" s="26"/>
      <c r="X123" s="26"/>
      <c r="Y123" s="228"/>
      <c r="Z123" s="26"/>
      <c r="AA123" s="26"/>
      <c r="AB123" s="26"/>
      <c r="AC123" s="26"/>
      <c r="AD123" s="26"/>
    </row>
    <row r="124" spans="1:30">
      <c r="B124" s="19" t="s">
        <v>384</v>
      </c>
      <c r="C124" s="235">
        <v>0.2</v>
      </c>
      <c r="D124" s="19" t="s">
        <v>377</v>
      </c>
      <c r="E124" s="19" t="s">
        <v>383</v>
      </c>
      <c r="F124" s="26"/>
      <c r="G124" s="26"/>
      <c r="H124" s="26"/>
      <c r="I124" s="26"/>
      <c r="J124" s="26"/>
      <c r="K124" s="26"/>
      <c r="L124" s="26"/>
      <c r="M124" s="232"/>
      <c r="N124" s="26"/>
      <c r="O124" s="26"/>
      <c r="P124" s="27"/>
      <c r="Q124" s="231"/>
      <c r="R124" s="230"/>
      <c r="S124" s="230"/>
      <c r="T124" s="229"/>
      <c r="U124" s="27"/>
      <c r="V124" s="26"/>
      <c r="W124" s="26"/>
      <c r="X124" s="26"/>
      <c r="Y124" s="228"/>
      <c r="Z124" s="26"/>
      <c r="AA124" s="26"/>
      <c r="AB124" s="26"/>
      <c r="AC124" s="26"/>
      <c r="AD124" s="26"/>
    </row>
    <row r="125" spans="1:30">
      <c r="B125" s="19" t="s">
        <v>382</v>
      </c>
      <c r="C125" s="234">
        <v>32</v>
      </c>
      <c r="D125" s="19" t="s">
        <v>377</v>
      </c>
      <c r="E125" s="19" t="s">
        <v>381</v>
      </c>
      <c r="F125" s="26"/>
      <c r="G125" s="26"/>
      <c r="H125" s="26"/>
      <c r="I125" s="26"/>
      <c r="J125" s="26"/>
      <c r="K125" s="26"/>
      <c r="L125" s="26"/>
      <c r="M125" s="232"/>
      <c r="N125" s="26"/>
      <c r="O125" s="26"/>
      <c r="P125" s="27"/>
      <c r="Q125" s="231"/>
      <c r="R125" s="230"/>
      <c r="S125" s="230"/>
      <c r="T125" s="229"/>
      <c r="U125" s="27"/>
      <c r="V125" s="26"/>
      <c r="W125" s="26"/>
      <c r="X125" s="26"/>
      <c r="Y125" s="228"/>
      <c r="Z125" s="26"/>
      <c r="AA125" s="26"/>
      <c r="AB125" s="26"/>
      <c r="AC125" s="26"/>
      <c r="AD125" s="26"/>
    </row>
    <row r="126" spans="1:30">
      <c r="B126" s="19" t="s">
        <v>34</v>
      </c>
      <c r="C126" s="233">
        <v>0.3</v>
      </c>
      <c r="D126" s="19" t="s">
        <v>377</v>
      </c>
      <c r="E126" s="19" t="s">
        <v>380</v>
      </c>
      <c r="F126" s="26"/>
      <c r="G126" s="26"/>
      <c r="H126" s="26"/>
      <c r="I126" s="26"/>
      <c r="J126" s="26"/>
      <c r="K126" s="26"/>
      <c r="L126" s="26"/>
      <c r="M126" s="232"/>
      <c r="N126" s="26"/>
      <c r="O126" s="26"/>
      <c r="P126" s="27"/>
      <c r="Q126" s="231"/>
      <c r="R126" s="230"/>
      <c r="S126" s="230"/>
      <c r="T126" s="229"/>
      <c r="U126" s="27"/>
      <c r="V126" s="26"/>
      <c r="W126" s="26"/>
      <c r="X126" s="26"/>
      <c r="Y126" s="228"/>
      <c r="Z126" s="26"/>
      <c r="AA126" s="26"/>
      <c r="AB126" s="26"/>
      <c r="AC126" s="26"/>
      <c r="AD126" s="26"/>
    </row>
    <row r="127" spans="1:30">
      <c r="A127" s="26"/>
      <c r="B127" s="19" t="s">
        <v>379</v>
      </c>
      <c r="C127" s="227">
        <v>10</v>
      </c>
      <c r="D127" s="19" t="s">
        <v>377</v>
      </c>
      <c r="E127" s="19"/>
      <c r="F127" s="26"/>
      <c r="G127" s="26"/>
      <c r="H127" s="26"/>
      <c r="I127" s="26"/>
      <c r="J127" s="26"/>
      <c r="K127" s="26"/>
      <c r="L127" s="26"/>
      <c r="M127" s="26"/>
      <c r="N127" s="27"/>
      <c r="O127" s="27"/>
      <c r="P127" s="27"/>
      <c r="Q127" s="27"/>
      <c r="R127" s="27"/>
      <c r="S127" s="27"/>
      <c r="T127" s="27"/>
      <c r="U127" s="26"/>
      <c r="V127" s="26"/>
      <c r="W127" s="26"/>
      <c r="X127" s="26"/>
      <c r="Y127" s="26"/>
      <c r="Z127" s="26"/>
      <c r="AA127" s="26"/>
      <c r="AB127" s="26"/>
      <c r="AC127" s="26"/>
      <c r="AD127" s="26"/>
    </row>
    <row r="128" spans="1:30">
      <c r="A128" s="26"/>
      <c r="B128" s="19" t="s">
        <v>378</v>
      </c>
      <c r="C128" s="226">
        <v>30.71</v>
      </c>
      <c r="D128" s="19" t="s">
        <v>377</v>
      </c>
      <c r="E128" s="19"/>
      <c r="F128" s="26"/>
      <c r="G128" s="26"/>
      <c r="H128" s="26"/>
      <c r="I128" s="26"/>
      <c r="J128" s="26"/>
      <c r="K128" s="26"/>
      <c r="L128" s="26"/>
      <c r="M128" s="26"/>
      <c r="N128" s="27"/>
      <c r="O128" s="27"/>
      <c r="P128" s="27"/>
      <c r="Q128" s="27"/>
      <c r="R128" s="27"/>
      <c r="S128" s="27"/>
      <c r="T128" s="27"/>
      <c r="U128" s="26"/>
      <c r="V128" s="26"/>
      <c r="W128" s="26"/>
      <c r="X128" s="26"/>
      <c r="Y128" s="26"/>
      <c r="Z128" s="26"/>
      <c r="AA128" s="26"/>
      <c r="AB128" s="26"/>
      <c r="AC128" s="26"/>
      <c r="AD128" s="26"/>
    </row>
    <row r="129" spans="1:30">
      <c r="A129" s="26"/>
      <c r="B129" s="26"/>
      <c r="C129" s="26"/>
      <c r="D129" s="26"/>
      <c r="E129" s="26"/>
      <c r="F129" s="26"/>
      <c r="G129" s="26"/>
      <c r="H129" s="26"/>
      <c r="I129" s="26"/>
      <c r="J129" s="26"/>
      <c r="K129" s="26"/>
      <c r="L129" s="26"/>
      <c r="M129" s="26"/>
      <c r="N129" s="27"/>
      <c r="O129" s="27"/>
      <c r="P129" s="27"/>
      <c r="Q129" s="27"/>
      <c r="R129" s="27"/>
      <c r="S129" s="27"/>
      <c r="T129" s="27"/>
      <c r="U129" s="26"/>
      <c r="V129" s="26"/>
      <c r="W129" s="26"/>
      <c r="X129" s="26"/>
      <c r="Y129" s="26"/>
      <c r="Z129" s="26"/>
      <c r="AA129" s="26"/>
      <c r="AB129" s="26"/>
      <c r="AC129" s="26"/>
      <c r="AD129" s="26"/>
    </row>
    <row r="130" spans="1:30">
      <c r="B130" s="21" t="s">
        <v>376</v>
      </c>
      <c r="C130" s="26"/>
      <c r="D130" s="26"/>
      <c r="E130" s="26"/>
      <c r="F130" s="26"/>
      <c r="G130" s="26"/>
      <c r="H130" s="26"/>
      <c r="I130" s="26"/>
      <c r="J130" s="26"/>
      <c r="K130" s="26"/>
      <c r="L130" s="27"/>
      <c r="M130" s="27"/>
      <c r="N130" s="27"/>
      <c r="O130" s="27"/>
      <c r="P130" s="27"/>
      <c r="Q130" s="27"/>
      <c r="R130" s="27"/>
      <c r="S130" s="26"/>
      <c r="T130" s="26"/>
      <c r="U130" s="26"/>
      <c r="V130" s="26"/>
      <c r="W130" s="26"/>
      <c r="X130" s="26"/>
      <c r="Y130" s="26"/>
      <c r="Z130" s="26"/>
      <c r="AA130" s="26"/>
      <c r="AB130" s="26"/>
    </row>
    <row r="131" spans="1:30" ht="26.25">
      <c r="B131" s="21" t="s">
        <v>247</v>
      </c>
      <c r="C131" s="21" t="s">
        <v>375</v>
      </c>
      <c r="D131" s="21" t="s">
        <v>245</v>
      </c>
      <c r="E131" s="114" t="s">
        <v>244</v>
      </c>
      <c r="F131" s="114" t="s">
        <v>243</v>
      </c>
      <c r="G131" s="114" t="s">
        <v>242</v>
      </c>
      <c r="H131" s="114" t="s">
        <v>7</v>
      </c>
      <c r="I131" s="26"/>
      <c r="J131" s="26"/>
      <c r="K131" s="26"/>
      <c r="L131" s="26"/>
      <c r="M131" s="26"/>
      <c r="N131" s="27"/>
      <c r="O131" s="27"/>
      <c r="P131" s="27"/>
      <c r="Q131" s="27"/>
      <c r="R131" s="27"/>
      <c r="S131" s="27"/>
      <c r="T131" s="27"/>
      <c r="U131" s="26"/>
      <c r="V131" s="26"/>
      <c r="W131" s="26"/>
      <c r="X131" s="26"/>
      <c r="Y131" s="26"/>
      <c r="Z131" s="26"/>
      <c r="AA131" s="26"/>
      <c r="AB131" s="26"/>
      <c r="AC131" s="26"/>
      <c r="AD131" s="26"/>
    </row>
    <row r="132" spans="1:30">
      <c r="B132" s="157">
        <f>C112*C113*(((C114*C115)+(C116*C117)+(C118*C119))-((C120*C121)+(C122*C123)+(C124*C125)))/1000</f>
        <v>20.81925</v>
      </c>
      <c r="C132" s="225">
        <f>((C119-C125)*C126)/1000</f>
        <v>1.0500000000000001E-2</v>
      </c>
      <c r="D132" s="157">
        <f>B132/1000</f>
        <v>2.0819250000000001E-2</v>
      </c>
      <c r="E132" s="224">
        <f>B132/(C112*C113*(((C114*C115)+(C116*C117)+(C118*C119)))/1000)</f>
        <v>0.57575757575757569</v>
      </c>
      <c r="F132" s="19">
        <f>B132/C132</f>
        <v>1982.7857142857142</v>
      </c>
      <c r="G132" s="19">
        <f>C128/B132</f>
        <v>1.4750771521548567</v>
      </c>
      <c r="H132" s="224">
        <f>1/COUNT($B$132:$B$132)</f>
        <v>1</v>
      </c>
      <c r="I132" s="26"/>
      <c r="J132" s="26"/>
      <c r="K132" s="26"/>
      <c r="L132" s="26"/>
      <c r="M132" s="26"/>
      <c r="N132" s="27"/>
      <c r="O132" s="27"/>
      <c r="P132" s="27"/>
      <c r="Q132" s="27"/>
      <c r="R132" s="27"/>
      <c r="S132" s="27"/>
      <c r="T132" s="27"/>
      <c r="U132" s="26"/>
      <c r="V132" s="26"/>
      <c r="W132" s="26"/>
      <c r="X132" s="26"/>
      <c r="Y132" s="26"/>
      <c r="Z132" s="26"/>
      <c r="AA132" s="26"/>
      <c r="AB132" s="26"/>
      <c r="AC132" s="26"/>
      <c r="AD132" s="26"/>
    </row>
    <row r="133" spans="1:30">
      <c r="B133" s="21"/>
      <c r="C133" s="21"/>
      <c r="D133" s="21"/>
      <c r="E133" s="21"/>
      <c r="F133" s="21"/>
      <c r="G133" s="21"/>
      <c r="H133" s="21"/>
      <c r="I133" s="26"/>
      <c r="J133" s="26"/>
      <c r="K133" s="26"/>
      <c r="L133" s="26"/>
      <c r="M133" s="26"/>
      <c r="N133" s="27"/>
      <c r="O133" s="27"/>
      <c r="P133" s="27"/>
      <c r="Q133" s="27"/>
      <c r="R133" s="27"/>
      <c r="S133" s="27"/>
      <c r="T133" s="27"/>
      <c r="U133" s="26"/>
      <c r="V133" s="26"/>
      <c r="W133" s="26"/>
      <c r="X133" s="26"/>
      <c r="Y133" s="26"/>
      <c r="Z133" s="26"/>
      <c r="AA133" s="26"/>
      <c r="AB133" s="26"/>
      <c r="AC133" s="26"/>
      <c r="AD133" s="26"/>
    </row>
    <row r="134" spans="1:30">
      <c r="B134" s="21"/>
      <c r="C134" s="21"/>
      <c r="D134" s="21"/>
      <c r="E134" s="21"/>
      <c r="F134" s="21"/>
      <c r="G134" s="21"/>
      <c r="H134" s="21"/>
      <c r="I134" s="26"/>
      <c r="J134" s="26"/>
      <c r="K134" s="26"/>
      <c r="L134" s="26"/>
      <c r="M134" s="26"/>
      <c r="N134" s="27"/>
      <c r="O134" s="27"/>
      <c r="P134" s="27"/>
      <c r="Q134" s="27"/>
      <c r="R134" s="27"/>
      <c r="S134" s="27"/>
      <c r="T134" s="27"/>
      <c r="U134" s="26"/>
      <c r="V134" s="26"/>
      <c r="W134" s="26"/>
      <c r="X134" s="26"/>
      <c r="Y134" s="26"/>
      <c r="Z134" s="26"/>
      <c r="AA134" s="26"/>
      <c r="AB134" s="26"/>
      <c r="AC134" s="26"/>
      <c r="AD134" s="26"/>
    </row>
    <row r="135" spans="1:30">
      <c r="B135" s="26"/>
      <c r="C135" s="26"/>
      <c r="D135" s="26"/>
      <c r="E135" s="26"/>
      <c r="F135" s="26"/>
      <c r="G135" s="26"/>
      <c r="H135" s="26"/>
      <c r="I135" s="26"/>
      <c r="J135" s="26"/>
      <c r="K135" s="26"/>
      <c r="L135" s="26"/>
      <c r="M135" s="26"/>
      <c r="N135" s="27"/>
      <c r="O135" s="27"/>
      <c r="P135" s="27"/>
      <c r="Q135" s="27"/>
      <c r="R135" s="27"/>
      <c r="S135" s="27"/>
      <c r="T135" s="27"/>
      <c r="U135" s="26"/>
      <c r="V135" s="26"/>
      <c r="W135" s="26"/>
      <c r="X135" s="26"/>
      <c r="Y135" s="26"/>
      <c r="Z135" s="26"/>
      <c r="AA135" s="26"/>
      <c r="AB135" s="26"/>
      <c r="AC135" s="26"/>
      <c r="AD135" s="26"/>
    </row>
    <row r="136" spans="1:30">
      <c r="B136" s="26"/>
      <c r="C136" s="26"/>
      <c r="D136" s="26"/>
      <c r="E136" s="26"/>
      <c r="F136" s="26"/>
      <c r="G136" s="26"/>
      <c r="H136" s="26"/>
      <c r="I136" s="26"/>
      <c r="J136" s="26"/>
      <c r="K136" s="26"/>
      <c r="L136" s="26"/>
      <c r="M136" s="26"/>
      <c r="N136" s="27"/>
      <c r="O136" s="27"/>
      <c r="P136" s="27"/>
      <c r="Q136" s="27"/>
      <c r="R136" s="27"/>
      <c r="S136" s="27"/>
      <c r="T136" s="27"/>
      <c r="U136" s="26"/>
      <c r="V136" s="26"/>
      <c r="W136" s="26"/>
      <c r="X136" s="26"/>
      <c r="Y136" s="26"/>
      <c r="Z136" s="26"/>
      <c r="AA136" s="26"/>
      <c r="AB136" s="26"/>
      <c r="AC136" s="26"/>
      <c r="AD136" s="26"/>
    </row>
    <row r="137" spans="1:30">
      <c r="B137" s="26"/>
      <c r="C137" s="26"/>
      <c r="D137" s="26"/>
      <c r="E137" s="26"/>
      <c r="F137" s="26"/>
      <c r="G137" s="26"/>
      <c r="H137" s="26"/>
      <c r="I137" s="26"/>
      <c r="J137" s="26"/>
      <c r="K137" s="26"/>
      <c r="L137" s="26"/>
      <c r="M137" s="26"/>
      <c r="N137" s="27"/>
      <c r="O137" s="27"/>
      <c r="P137" s="27"/>
      <c r="Q137" s="27"/>
      <c r="R137" s="27"/>
      <c r="S137" s="27"/>
      <c r="T137" s="27"/>
      <c r="U137" s="26"/>
      <c r="V137" s="26"/>
      <c r="W137" s="26"/>
      <c r="X137" s="26"/>
      <c r="Y137" s="26"/>
      <c r="Z137" s="26"/>
      <c r="AA137" s="26"/>
      <c r="AB137" s="26"/>
      <c r="AC137" s="26"/>
      <c r="AD137" s="26"/>
    </row>
    <row r="138" spans="1:30">
      <c r="B138" s="26"/>
      <c r="C138" s="26"/>
      <c r="D138" s="26"/>
      <c r="E138" s="26"/>
      <c r="F138" s="26"/>
      <c r="G138" s="26"/>
      <c r="H138" s="26"/>
      <c r="I138" s="26"/>
      <c r="J138" s="26"/>
      <c r="K138" s="26"/>
      <c r="L138" s="26"/>
      <c r="M138" s="26"/>
      <c r="N138" s="27"/>
      <c r="O138" s="27"/>
      <c r="P138" s="27"/>
      <c r="Q138" s="27"/>
      <c r="R138" s="27"/>
      <c r="S138" s="27"/>
      <c r="T138" s="27"/>
      <c r="U138" s="26"/>
      <c r="V138" s="26"/>
      <c r="W138" s="26"/>
      <c r="X138" s="26"/>
      <c r="Y138" s="26"/>
      <c r="Z138" s="26"/>
      <c r="AA138" s="26"/>
      <c r="AB138" s="26"/>
      <c r="AC138" s="26"/>
      <c r="AD138" s="26"/>
    </row>
    <row r="139" spans="1:30">
      <c r="B139" s="26"/>
      <c r="C139" s="26"/>
      <c r="D139" s="26"/>
      <c r="E139" s="26"/>
      <c r="F139" s="26"/>
      <c r="G139" s="26"/>
      <c r="H139" s="26"/>
      <c r="I139" s="26"/>
      <c r="J139" s="26"/>
      <c r="K139" s="26"/>
      <c r="L139" s="26"/>
      <c r="M139" s="26"/>
      <c r="N139" s="27"/>
      <c r="O139" s="27"/>
      <c r="P139" s="27"/>
      <c r="Q139" s="27"/>
      <c r="R139" s="27"/>
      <c r="S139" s="27"/>
      <c r="T139" s="27"/>
      <c r="U139" s="26"/>
      <c r="V139" s="26"/>
      <c r="W139" s="26"/>
      <c r="X139" s="26"/>
      <c r="Y139" s="26"/>
      <c r="Z139" s="26"/>
      <c r="AA139" s="26"/>
      <c r="AB139" s="26"/>
      <c r="AC139" s="26"/>
      <c r="AD139" s="26"/>
    </row>
    <row r="140" spans="1:30">
      <c r="B140" s="26"/>
      <c r="C140" s="26"/>
      <c r="D140" s="26"/>
      <c r="E140" s="26"/>
      <c r="F140" s="26"/>
      <c r="G140" s="26"/>
      <c r="H140" s="26"/>
      <c r="I140" s="26"/>
      <c r="J140" s="26"/>
      <c r="K140" s="26"/>
      <c r="L140" s="26"/>
      <c r="M140" s="26"/>
      <c r="N140" s="27"/>
      <c r="O140" s="27"/>
      <c r="P140" s="27"/>
      <c r="Q140" s="27"/>
      <c r="R140" s="27"/>
      <c r="S140" s="27"/>
      <c r="T140" s="27"/>
      <c r="U140" s="26"/>
      <c r="V140" s="26"/>
      <c r="W140" s="26"/>
      <c r="X140" s="26"/>
      <c r="Y140" s="26"/>
      <c r="Z140" s="26"/>
      <c r="AA140" s="26"/>
      <c r="AB140" s="26"/>
      <c r="AC140" s="26"/>
      <c r="AD140" s="26"/>
    </row>
    <row r="141" spans="1:30">
      <c r="B141" s="26"/>
      <c r="C141" s="26"/>
      <c r="D141" s="26"/>
      <c r="E141" s="26"/>
      <c r="F141" s="26"/>
      <c r="G141" s="26"/>
      <c r="H141" s="26"/>
      <c r="I141" s="26"/>
      <c r="J141" s="26"/>
      <c r="K141" s="26"/>
      <c r="L141" s="26"/>
      <c r="M141" s="26"/>
      <c r="N141" s="27"/>
      <c r="O141" s="27"/>
      <c r="P141" s="27"/>
      <c r="Q141" s="27"/>
      <c r="R141" s="27"/>
      <c r="S141" s="27"/>
      <c r="T141" s="27"/>
      <c r="U141" s="26"/>
      <c r="V141" s="26"/>
      <c r="W141" s="26"/>
      <c r="X141" s="26"/>
      <c r="Y141" s="26"/>
      <c r="Z141" s="26"/>
      <c r="AA141" s="26"/>
      <c r="AB141" s="26"/>
      <c r="AC141" s="26"/>
      <c r="AD141" s="26"/>
    </row>
    <row r="142" spans="1:30">
      <c r="B142" s="26"/>
      <c r="C142" s="26"/>
      <c r="D142" s="26"/>
      <c r="E142" s="26"/>
      <c r="F142" s="26"/>
      <c r="G142" s="26"/>
      <c r="H142" s="26"/>
      <c r="I142" s="26"/>
      <c r="J142" s="26"/>
      <c r="K142" s="26"/>
      <c r="L142" s="26"/>
      <c r="M142" s="26"/>
      <c r="N142" s="27"/>
      <c r="O142" s="27"/>
      <c r="P142" s="27"/>
      <c r="Q142" s="27"/>
      <c r="R142" s="27"/>
      <c r="S142" s="27"/>
      <c r="T142" s="27"/>
      <c r="U142" s="26"/>
      <c r="V142" s="26"/>
      <c r="W142" s="26"/>
      <c r="X142" s="26"/>
      <c r="Y142" s="26"/>
      <c r="Z142" s="26"/>
      <c r="AA142" s="26"/>
      <c r="AB142" s="26"/>
      <c r="AC142" s="26"/>
      <c r="AD142" s="26"/>
    </row>
    <row r="143" spans="1:30">
      <c r="B143" s="26"/>
      <c r="C143" s="26"/>
      <c r="D143" s="26"/>
      <c r="E143" s="26"/>
      <c r="F143" s="26"/>
      <c r="G143" s="26"/>
      <c r="H143" s="26"/>
      <c r="I143" s="26"/>
      <c r="J143" s="26"/>
      <c r="K143" s="26"/>
      <c r="L143" s="26"/>
      <c r="M143" s="26"/>
      <c r="N143" s="27"/>
      <c r="O143" s="27"/>
      <c r="P143" s="27"/>
      <c r="Q143" s="27"/>
      <c r="R143" s="27"/>
      <c r="S143" s="27"/>
      <c r="T143" s="27"/>
      <c r="U143" s="26"/>
      <c r="V143" s="26"/>
      <c r="W143" s="26"/>
      <c r="X143" s="26"/>
      <c r="Y143" s="26"/>
      <c r="Z143" s="26"/>
      <c r="AA143" s="26"/>
      <c r="AB143" s="26"/>
      <c r="AC143" s="26"/>
      <c r="AD143" s="26"/>
    </row>
    <row r="144" spans="1:30">
      <c r="B144" s="26"/>
      <c r="C144" s="26"/>
      <c r="D144" s="26"/>
      <c r="E144" s="26"/>
      <c r="F144" s="26"/>
      <c r="G144" s="26"/>
      <c r="H144" s="26"/>
      <c r="I144" s="26"/>
      <c r="J144" s="26"/>
      <c r="K144" s="26"/>
      <c r="L144" s="26"/>
      <c r="M144" s="26"/>
      <c r="N144" s="27"/>
      <c r="O144" s="27"/>
      <c r="P144" s="27"/>
      <c r="Q144" s="27"/>
      <c r="R144" s="27"/>
      <c r="S144" s="27"/>
      <c r="T144" s="27"/>
      <c r="U144" s="26"/>
      <c r="V144" s="26"/>
      <c r="W144" s="26"/>
      <c r="X144" s="26"/>
      <c r="Y144" s="26"/>
      <c r="Z144" s="26"/>
      <c r="AA144" s="26"/>
      <c r="AB144" s="26"/>
      <c r="AC144" s="26"/>
      <c r="AD144" s="26"/>
    </row>
    <row r="145" spans="2:30">
      <c r="B145" s="26"/>
      <c r="C145" s="26"/>
      <c r="D145" s="26"/>
      <c r="E145" s="26"/>
      <c r="F145" s="26"/>
      <c r="G145" s="26"/>
      <c r="H145" s="26"/>
      <c r="I145" s="26"/>
      <c r="J145" s="26"/>
      <c r="K145" s="26"/>
      <c r="L145" s="26"/>
      <c r="M145" s="26"/>
      <c r="N145" s="27"/>
      <c r="O145" s="27"/>
      <c r="P145" s="27"/>
      <c r="Q145" s="27"/>
      <c r="R145" s="27"/>
      <c r="S145" s="27"/>
      <c r="T145" s="27"/>
      <c r="U145" s="26"/>
      <c r="V145" s="26"/>
      <c r="W145" s="26"/>
      <c r="X145" s="26"/>
      <c r="Y145" s="26"/>
      <c r="Z145" s="26"/>
      <c r="AA145" s="26"/>
      <c r="AB145" s="26"/>
      <c r="AC145" s="26"/>
      <c r="AD145" s="26"/>
    </row>
    <row r="146" spans="2:30">
      <c r="B146" s="26"/>
      <c r="C146" s="26"/>
      <c r="D146" s="26"/>
      <c r="E146" s="26"/>
      <c r="F146" s="26"/>
      <c r="G146" s="26"/>
      <c r="H146" s="26"/>
      <c r="I146" s="26"/>
      <c r="J146" s="26"/>
      <c r="K146" s="26"/>
      <c r="L146" s="26"/>
      <c r="M146" s="26"/>
      <c r="N146" s="27"/>
      <c r="O146" s="27"/>
      <c r="P146" s="27"/>
      <c r="Q146" s="27"/>
      <c r="R146" s="27"/>
      <c r="S146" s="27"/>
      <c r="T146" s="27"/>
      <c r="U146" s="26"/>
      <c r="V146" s="26"/>
      <c r="W146" s="26"/>
      <c r="X146" s="26"/>
      <c r="Y146" s="26"/>
      <c r="Z146" s="26"/>
      <c r="AA146" s="26"/>
      <c r="AB146" s="26"/>
      <c r="AC146" s="26"/>
      <c r="AD146" s="26"/>
    </row>
    <row r="147" spans="2:30">
      <c r="B147" s="26"/>
      <c r="C147" s="26"/>
      <c r="D147" s="26"/>
      <c r="E147" s="26"/>
      <c r="F147" s="26"/>
      <c r="G147" s="26"/>
      <c r="H147" s="26"/>
      <c r="I147" s="26"/>
      <c r="J147" s="26"/>
      <c r="K147" s="26"/>
      <c r="L147" s="26"/>
      <c r="M147" s="26"/>
      <c r="N147" s="27"/>
      <c r="O147" s="27"/>
      <c r="P147" s="27"/>
      <c r="Q147" s="27"/>
      <c r="R147" s="27"/>
      <c r="S147" s="27"/>
      <c r="T147" s="27"/>
      <c r="U147" s="26"/>
      <c r="V147" s="26"/>
      <c r="W147" s="26"/>
      <c r="X147" s="26"/>
      <c r="Y147" s="26"/>
      <c r="Z147" s="26"/>
      <c r="AA147" s="26"/>
      <c r="AB147" s="26"/>
      <c r="AC147" s="26"/>
      <c r="AD147" s="26"/>
    </row>
    <row r="148" spans="2:30">
      <c r="B148" s="26"/>
      <c r="C148" s="26"/>
      <c r="D148" s="26"/>
      <c r="E148" s="26"/>
      <c r="F148" s="26"/>
      <c r="G148" s="26"/>
      <c r="H148" s="26"/>
      <c r="I148" s="26"/>
      <c r="J148" s="26"/>
      <c r="K148" s="26"/>
      <c r="L148" s="26"/>
      <c r="M148" s="26"/>
      <c r="N148" s="27"/>
      <c r="O148" s="27"/>
      <c r="P148" s="27"/>
      <c r="Q148" s="27"/>
      <c r="R148" s="27"/>
      <c r="S148" s="27"/>
      <c r="T148" s="27"/>
      <c r="U148" s="26"/>
      <c r="V148" s="26"/>
      <c r="W148" s="26"/>
      <c r="X148" s="26"/>
      <c r="Y148" s="26"/>
      <c r="Z148" s="26"/>
      <c r="AA148" s="26"/>
      <c r="AB148" s="26"/>
      <c r="AC148" s="26"/>
      <c r="AD148" s="26"/>
    </row>
    <row r="149" spans="2:30">
      <c r="B149" s="26"/>
      <c r="C149" s="26"/>
      <c r="D149" s="26"/>
      <c r="E149" s="26"/>
      <c r="F149" s="26"/>
      <c r="G149" s="26"/>
      <c r="H149" s="26"/>
      <c r="I149" s="26"/>
      <c r="J149" s="26"/>
      <c r="K149" s="26"/>
      <c r="L149" s="26"/>
      <c r="M149" s="26"/>
      <c r="N149" s="27"/>
      <c r="O149" s="27"/>
      <c r="P149" s="27"/>
      <c r="Q149" s="27"/>
      <c r="R149" s="27"/>
      <c r="S149" s="27"/>
      <c r="T149" s="27"/>
      <c r="U149" s="26"/>
      <c r="V149" s="26"/>
      <c r="W149" s="26"/>
      <c r="X149" s="26"/>
      <c r="Y149" s="26"/>
      <c r="Z149" s="26"/>
      <c r="AA149" s="26"/>
      <c r="AB149" s="26"/>
      <c r="AC149" s="26"/>
      <c r="AD149" s="26"/>
    </row>
    <row r="150" spans="2:30">
      <c r="B150" s="26"/>
      <c r="C150" s="26"/>
      <c r="D150" s="26"/>
      <c r="E150" s="26"/>
      <c r="F150" s="26"/>
      <c r="G150" s="26"/>
      <c r="H150" s="26"/>
      <c r="I150" s="26"/>
      <c r="J150" s="26"/>
      <c r="K150" s="26"/>
      <c r="L150" s="26"/>
      <c r="M150" s="26"/>
      <c r="N150" s="27"/>
      <c r="O150" s="27"/>
      <c r="P150" s="27"/>
      <c r="Q150" s="27"/>
      <c r="R150" s="27"/>
      <c r="S150" s="27"/>
      <c r="T150" s="27"/>
      <c r="U150" s="26"/>
      <c r="V150" s="26"/>
      <c r="W150" s="26"/>
      <c r="X150" s="26"/>
      <c r="Y150" s="26"/>
      <c r="Z150" s="26"/>
      <c r="AA150" s="26"/>
      <c r="AB150" s="26"/>
      <c r="AC150" s="26"/>
      <c r="AD150" s="26"/>
    </row>
    <row r="151" spans="2:30">
      <c r="B151" s="26"/>
      <c r="C151" s="26"/>
      <c r="D151" s="26"/>
      <c r="E151" s="26"/>
      <c r="F151" s="26"/>
      <c r="G151" s="26"/>
      <c r="H151" s="26"/>
      <c r="I151" s="26"/>
      <c r="J151" s="26"/>
      <c r="K151" s="26"/>
      <c r="L151" s="26"/>
      <c r="M151" s="26"/>
      <c r="N151" s="27"/>
      <c r="O151" s="27"/>
      <c r="P151" s="27"/>
      <c r="Q151" s="27"/>
      <c r="R151" s="27"/>
      <c r="S151" s="27"/>
      <c r="T151" s="27"/>
      <c r="U151" s="26"/>
      <c r="V151" s="26"/>
      <c r="W151" s="26"/>
      <c r="X151" s="26"/>
      <c r="Y151" s="26"/>
      <c r="Z151" s="26"/>
      <c r="AA151" s="26"/>
      <c r="AB151" s="26"/>
      <c r="AC151" s="26"/>
      <c r="AD151" s="26"/>
    </row>
    <row r="152" spans="2:30">
      <c r="B152" s="26"/>
      <c r="C152" s="26"/>
      <c r="D152" s="26"/>
      <c r="E152" s="26"/>
      <c r="F152" s="26"/>
      <c r="G152" s="26"/>
      <c r="H152" s="26"/>
      <c r="I152" s="26"/>
      <c r="J152" s="26"/>
      <c r="K152" s="26"/>
      <c r="L152" s="26"/>
      <c r="M152" s="26"/>
      <c r="N152" s="27"/>
      <c r="O152" s="27"/>
      <c r="P152" s="27"/>
      <c r="Q152" s="27"/>
      <c r="R152" s="27"/>
      <c r="S152" s="27"/>
      <c r="T152" s="27"/>
      <c r="U152" s="26"/>
      <c r="V152" s="26"/>
      <c r="W152" s="26"/>
      <c r="X152" s="26"/>
      <c r="Y152" s="26"/>
      <c r="Z152" s="26"/>
      <c r="AA152" s="26"/>
      <c r="AB152" s="26"/>
      <c r="AC152" s="26"/>
      <c r="AD152" s="26"/>
    </row>
    <row r="153" spans="2:30">
      <c r="B153" s="26"/>
      <c r="C153" s="26"/>
      <c r="D153" s="26"/>
      <c r="E153" s="26"/>
      <c r="F153" s="26"/>
      <c r="G153" s="26"/>
      <c r="H153" s="26"/>
      <c r="I153" s="26"/>
      <c r="J153" s="26"/>
      <c r="K153" s="26"/>
      <c r="L153" s="26"/>
      <c r="M153" s="26"/>
      <c r="N153" s="27"/>
      <c r="O153" s="27"/>
      <c r="P153" s="27"/>
      <c r="Q153" s="27"/>
      <c r="R153" s="27"/>
      <c r="S153" s="27"/>
      <c r="T153" s="27"/>
      <c r="U153" s="26"/>
      <c r="V153" s="26"/>
      <c r="W153" s="26"/>
      <c r="X153" s="26"/>
      <c r="Y153" s="26"/>
      <c r="Z153" s="26"/>
      <c r="AA153" s="26"/>
      <c r="AB153" s="26"/>
      <c r="AC153" s="26"/>
      <c r="AD153" s="26"/>
    </row>
    <row r="154" spans="2:30">
      <c r="B154" s="26"/>
      <c r="C154" s="26"/>
      <c r="D154" s="26"/>
      <c r="E154" s="26"/>
      <c r="F154" s="26"/>
      <c r="G154" s="26"/>
      <c r="H154" s="26"/>
      <c r="I154" s="26"/>
      <c r="J154" s="26"/>
      <c r="K154" s="26"/>
      <c r="L154" s="26"/>
      <c r="M154" s="26"/>
      <c r="N154" s="27"/>
      <c r="O154" s="27"/>
      <c r="P154" s="27"/>
      <c r="Q154" s="27"/>
      <c r="R154" s="27"/>
      <c r="S154" s="27"/>
      <c r="T154" s="27"/>
      <c r="U154" s="26"/>
      <c r="V154" s="26"/>
      <c r="W154" s="26"/>
      <c r="X154" s="26"/>
      <c r="Y154" s="26"/>
      <c r="Z154" s="26"/>
      <c r="AA154" s="26"/>
      <c r="AB154" s="26"/>
      <c r="AC154" s="26"/>
      <c r="AD154" s="26"/>
    </row>
    <row r="155" spans="2:30">
      <c r="B155" s="26"/>
      <c r="C155" s="26"/>
      <c r="D155" s="26"/>
      <c r="E155" s="26"/>
      <c r="F155" s="26"/>
      <c r="G155" s="26"/>
      <c r="H155" s="26"/>
      <c r="I155" s="26"/>
      <c r="J155" s="26"/>
      <c r="K155" s="26"/>
      <c r="L155" s="26"/>
      <c r="M155" s="26"/>
      <c r="N155" s="27"/>
      <c r="O155" s="27"/>
      <c r="P155" s="27"/>
      <c r="Q155" s="27"/>
      <c r="R155" s="27"/>
      <c r="S155" s="27"/>
      <c r="T155" s="27"/>
      <c r="U155" s="26"/>
      <c r="V155" s="26"/>
      <c r="W155" s="26"/>
      <c r="X155" s="26"/>
      <c r="Y155" s="26"/>
      <c r="Z155" s="26"/>
      <c r="AA155" s="26"/>
      <c r="AB155" s="26"/>
      <c r="AC155" s="26"/>
      <c r="AD155" s="26"/>
    </row>
    <row r="156" spans="2:30">
      <c r="B156" s="26"/>
      <c r="C156" s="26"/>
      <c r="D156" s="26"/>
      <c r="E156" s="26"/>
      <c r="F156" s="26"/>
      <c r="G156" s="26"/>
      <c r="H156" s="26"/>
      <c r="I156" s="26"/>
      <c r="J156" s="26"/>
      <c r="K156" s="26"/>
      <c r="L156" s="26"/>
      <c r="M156" s="26"/>
      <c r="N156" s="27"/>
      <c r="O156" s="27"/>
      <c r="P156" s="27"/>
      <c r="Q156" s="27"/>
      <c r="R156" s="27"/>
      <c r="S156" s="27"/>
      <c r="T156" s="27"/>
      <c r="U156" s="26"/>
      <c r="V156" s="26"/>
      <c r="W156" s="26"/>
      <c r="X156" s="26"/>
      <c r="Y156" s="26"/>
      <c r="Z156" s="26"/>
      <c r="AA156" s="26"/>
      <c r="AB156" s="26"/>
      <c r="AC156" s="26"/>
      <c r="AD156" s="26"/>
    </row>
    <row r="157" spans="2:30">
      <c r="B157" s="26"/>
      <c r="C157" s="26"/>
      <c r="D157" s="26"/>
      <c r="E157" s="26"/>
      <c r="F157" s="26"/>
      <c r="G157" s="26"/>
      <c r="H157" s="26"/>
      <c r="I157" s="26"/>
      <c r="J157" s="26"/>
      <c r="K157" s="26"/>
      <c r="L157" s="26"/>
      <c r="M157" s="26"/>
      <c r="N157" s="27"/>
      <c r="O157" s="27"/>
      <c r="P157" s="27"/>
      <c r="Q157" s="27"/>
      <c r="R157" s="27"/>
      <c r="S157" s="27"/>
      <c r="T157" s="27"/>
      <c r="U157" s="26"/>
      <c r="V157" s="26"/>
      <c r="W157" s="26"/>
      <c r="X157" s="26"/>
      <c r="Y157" s="26"/>
      <c r="Z157" s="26"/>
      <c r="AA157" s="26"/>
      <c r="AB157" s="26"/>
      <c r="AC157" s="26"/>
      <c r="AD157" s="26"/>
    </row>
    <row r="158" spans="2:30">
      <c r="B158" s="26"/>
      <c r="C158" s="26"/>
      <c r="D158" s="26"/>
      <c r="E158" s="26"/>
      <c r="F158" s="26"/>
      <c r="G158" s="26"/>
      <c r="H158" s="26"/>
      <c r="I158" s="26"/>
      <c r="J158" s="26"/>
      <c r="K158" s="26"/>
      <c r="L158" s="26"/>
      <c r="M158" s="26"/>
      <c r="N158" s="27"/>
      <c r="O158" s="27"/>
      <c r="P158" s="27"/>
      <c r="Q158" s="27"/>
      <c r="R158" s="27"/>
      <c r="S158" s="27"/>
      <c r="T158" s="27"/>
      <c r="U158" s="26"/>
      <c r="V158" s="26"/>
      <c r="W158" s="26"/>
      <c r="X158" s="26"/>
      <c r="Y158" s="26"/>
      <c r="Z158" s="26"/>
      <c r="AA158" s="26"/>
      <c r="AB158" s="26"/>
      <c r="AC158" s="26"/>
      <c r="AD158" s="26"/>
    </row>
    <row r="159" spans="2:30">
      <c r="B159" s="26"/>
      <c r="C159" s="26"/>
      <c r="D159" s="26"/>
      <c r="E159" s="26"/>
      <c r="F159" s="26"/>
      <c r="G159" s="26"/>
      <c r="H159" s="26"/>
      <c r="I159" s="26"/>
      <c r="J159" s="26"/>
      <c r="K159" s="26"/>
      <c r="L159" s="26"/>
      <c r="M159" s="26"/>
      <c r="N159" s="27"/>
      <c r="O159" s="27"/>
      <c r="P159" s="27"/>
      <c r="Q159" s="27"/>
      <c r="R159" s="27"/>
      <c r="S159" s="27"/>
      <c r="T159" s="27"/>
      <c r="U159" s="26"/>
      <c r="V159" s="26"/>
      <c r="W159" s="26"/>
      <c r="X159" s="26"/>
      <c r="Y159" s="26"/>
      <c r="Z159" s="26"/>
      <c r="AA159" s="26"/>
      <c r="AB159" s="26"/>
      <c r="AC159" s="26"/>
      <c r="AD159" s="26"/>
    </row>
    <row r="160" spans="2:30">
      <c r="B160" s="26"/>
      <c r="C160" s="26"/>
      <c r="D160" s="26"/>
      <c r="E160" s="26"/>
      <c r="F160" s="26"/>
      <c r="G160" s="26"/>
      <c r="H160" s="26"/>
      <c r="I160" s="26"/>
      <c r="J160" s="26"/>
      <c r="K160" s="26"/>
      <c r="L160" s="26"/>
      <c r="M160" s="26"/>
      <c r="N160" s="27"/>
      <c r="O160" s="27"/>
      <c r="P160" s="27"/>
      <c r="Q160" s="27"/>
      <c r="R160" s="27"/>
      <c r="S160" s="27"/>
      <c r="T160" s="27"/>
      <c r="U160" s="26"/>
      <c r="V160" s="26"/>
      <c r="W160" s="26"/>
      <c r="X160" s="26"/>
      <c r="Y160" s="26"/>
      <c r="Z160" s="26"/>
      <c r="AA160" s="26"/>
      <c r="AB160" s="26"/>
      <c r="AC160" s="26"/>
      <c r="AD160" s="26"/>
    </row>
    <row r="161" spans="2:30">
      <c r="B161" s="26"/>
      <c r="C161" s="26"/>
      <c r="D161" s="26"/>
      <c r="E161" s="26"/>
      <c r="F161" s="26"/>
      <c r="G161" s="26"/>
      <c r="H161" s="26"/>
      <c r="I161" s="26"/>
      <c r="J161" s="26"/>
      <c r="K161" s="26"/>
      <c r="L161" s="26"/>
      <c r="M161" s="26"/>
      <c r="N161" s="27"/>
      <c r="O161" s="27"/>
      <c r="P161" s="27"/>
      <c r="Q161" s="27"/>
      <c r="R161" s="27"/>
      <c r="S161" s="27"/>
      <c r="T161" s="27"/>
      <c r="U161" s="26"/>
      <c r="V161" s="26"/>
      <c r="W161" s="26"/>
      <c r="X161" s="26"/>
      <c r="Y161" s="26"/>
      <c r="Z161" s="26"/>
      <c r="AA161" s="26"/>
      <c r="AB161" s="26"/>
      <c r="AC161" s="26"/>
      <c r="AD161" s="26"/>
    </row>
    <row r="162" spans="2:30">
      <c r="B162" s="26"/>
      <c r="C162" s="26"/>
      <c r="D162" s="26"/>
      <c r="E162" s="26"/>
      <c r="F162" s="26"/>
      <c r="G162" s="26"/>
      <c r="H162" s="26"/>
      <c r="I162" s="26"/>
      <c r="J162" s="26"/>
      <c r="K162" s="26"/>
      <c r="L162" s="26"/>
      <c r="M162" s="26"/>
      <c r="N162" s="27"/>
      <c r="O162" s="27"/>
      <c r="P162" s="27"/>
      <c r="Q162" s="27"/>
      <c r="R162" s="27"/>
      <c r="S162" s="27"/>
      <c r="T162" s="27"/>
      <c r="U162" s="26"/>
      <c r="V162" s="26"/>
      <c r="W162" s="26"/>
      <c r="X162" s="26"/>
      <c r="Y162" s="26"/>
      <c r="Z162" s="26"/>
      <c r="AA162" s="26"/>
      <c r="AB162" s="26"/>
      <c r="AC162" s="26"/>
      <c r="AD162" s="26"/>
    </row>
    <row r="163" spans="2:30">
      <c r="B163" s="26"/>
      <c r="C163" s="26"/>
      <c r="D163" s="26"/>
      <c r="E163" s="26"/>
      <c r="F163" s="26"/>
      <c r="G163" s="26"/>
      <c r="H163" s="26"/>
      <c r="I163" s="26"/>
      <c r="J163" s="26"/>
      <c r="K163" s="26"/>
      <c r="L163" s="26"/>
      <c r="M163" s="26"/>
      <c r="N163" s="27"/>
      <c r="O163" s="27"/>
      <c r="P163" s="27"/>
      <c r="Q163" s="27"/>
      <c r="R163" s="27"/>
      <c r="S163" s="27"/>
      <c r="T163" s="27"/>
      <c r="U163" s="26"/>
      <c r="V163" s="26"/>
      <c r="W163" s="26"/>
      <c r="X163" s="26"/>
      <c r="Y163" s="26"/>
      <c r="Z163" s="26"/>
      <c r="AA163" s="26"/>
      <c r="AB163" s="26"/>
      <c r="AC163" s="26"/>
      <c r="AD163" s="26"/>
    </row>
    <row r="164" spans="2:30">
      <c r="B164" s="26"/>
      <c r="C164" s="26"/>
      <c r="D164" s="26"/>
      <c r="E164" s="26"/>
      <c r="F164" s="26"/>
      <c r="G164" s="26"/>
      <c r="H164" s="26"/>
      <c r="I164" s="26"/>
      <c r="J164" s="26"/>
      <c r="K164" s="26"/>
      <c r="L164" s="26"/>
      <c r="M164" s="26"/>
      <c r="N164" s="27"/>
      <c r="O164" s="27"/>
      <c r="P164" s="27"/>
      <c r="Q164" s="27"/>
      <c r="R164" s="27"/>
      <c r="S164" s="27"/>
      <c r="T164" s="27"/>
      <c r="U164" s="26"/>
      <c r="V164" s="26"/>
      <c r="W164" s="26"/>
      <c r="X164" s="26"/>
      <c r="Y164" s="26"/>
      <c r="Z164" s="26"/>
      <c r="AA164" s="26"/>
      <c r="AB164" s="26"/>
      <c r="AC164" s="26"/>
      <c r="AD164" s="26"/>
    </row>
    <row r="165" spans="2:30">
      <c r="B165" s="26"/>
      <c r="C165" s="26"/>
      <c r="D165" s="26"/>
      <c r="E165" s="26"/>
      <c r="F165" s="26"/>
      <c r="G165" s="26"/>
      <c r="H165" s="26"/>
      <c r="I165" s="26"/>
      <c r="J165" s="26"/>
      <c r="K165" s="26"/>
      <c r="L165" s="26"/>
      <c r="M165" s="26"/>
      <c r="N165" s="27"/>
      <c r="O165" s="27"/>
      <c r="P165" s="27"/>
      <c r="Q165" s="27"/>
      <c r="R165" s="27"/>
      <c r="S165" s="27"/>
      <c r="T165" s="27"/>
      <c r="U165" s="26"/>
      <c r="V165" s="26"/>
      <c r="W165" s="26"/>
      <c r="X165" s="26"/>
      <c r="Y165" s="26"/>
      <c r="Z165" s="26"/>
      <c r="AA165" s="26"/>
      <c r="AB165" s="26"/>
      <c r="AC165" s="26"/>
      <c r="AD165" s="26"/>
    </row>
    <row r="166" spans="2:30">
      <c r="B166" s="26"/>
      <c r="C166" s="26"/>
      <c r="D166" s="26"/>
      <c r="E166" s="26"/>
      <c r="F166" s="26"/>
      <c r="G166" s="26"/>
      <c r="H166" s="26"/>
      <c r="I166" s="26"/>
      <c r="J166" s="26"/>
      <c r="K166" s="26"/>
      <c r="L166" s="26"/>
      <c r="M166" s="26"/>
      <c r="N166" s="27"/>
      <c r="O166" s="27"/>
      <c r="P166" s="27"/>
      <c r="Q166" s="27"/>
      <c r="R166" s="27"/>
      <c r="S166" s="27"/>
      <c r="T166" s="27"/>
      <c r="U166" s="26"/>
      <c r="V166" s="26"/>
      <c r="W166" s="26"/>
      <c r="X166" s="26"/>
      <c r="Y166" s="26"/>
      <c r="Z166" s="26"/>
      <c r="AA166" s="26"/>
      <c r="AB166" s="26"/>
      <c r="AC166" s="26"/>
      <c r="AD166" s="26"/>
    </row>
    <row r="167" spans="2:30">
      <c r="B167" s="26"/>
      <c r="C167" s="26"/>
      <c r="D167" s="26"/>
      <c r="E167" s="26"/>
      <c r="F167" s="26"/>
      <c r="G167" s="26"/>
      <c r="H167" s="26"/>
      <c r="I167" s="26"/>
      <c r="J167" s="26"/>
      <c r="K167" s="26"/>
      <c r="L167" s="26"/>
      <c r="M167" s="26"/>
      <c r="N167" s="27"/>
      <c r="O167" s="27"/>
      <c r="P167" s="27"/>
      <c r="Q167" s="27"/>
      <c r="R167" s="27"/>
      <c r="S167" s="27"/>
      <c r="T167" s="27"/>
      <c r="U167" s="26"/>
      <c r="V167" s="26"/>
      <c r="W167" s="26"/>
      <c r="X167" s="26"/>
      <c r="Y167" s="26"/>
      <c r="Z167" s="26"/>
      <c r="AA167" s="26"/>
      <c r="AB167" s="26"/>
      <c r="AC167" s="26"/>
      <c r="AD167" s="26"/>
    </row>
    <row r="168" spans="2:30">
      <c r="B168" s="26"/>
      <c r="C168" s="26"/>
      <c r="D168" s="26"/>
      <c r="E168" s="26"/>
      <c r="F168" s="26"/>
      <c r="G168" s="26"/>
      <c r="H168" s="26"/>
      <c r="I168" s="26"/>
      <c r="J168" s="26"/>
      <c r="K168" s="26"/>
      <c r="L168" s="26"/>
      <c r="M168" s="26"/>
      <c r="N168" s="27"/>
      <c r="O168" s="27"/>
      <c r="P168" s="27"/>
      <c r="Q168" s="27"/>
      <c r="R168" s="27"/>
      <c r="S168" s="27"/>
      <c r="T168" s="27"/>
      <c r="U168" s="26"/>
      <c r="V168" s="26"/>
      <c r="W168" s="26"/>
      <c r="X168" s="26"/>
      <c r="Y168" s="26"/>
      <c r="Z168" s="26"/>
      <c r="AA168" s="26"/>
      <c r="AB168" s="26"/>
      <c r="AC168" s="26"/>
      <c r="AD168" s="26"/>
    </row>
    <row r="169" spans="2:30">
      <c r="B169" s="26"/>
      <c r="C169" s="26"/>
      <c r="D169" s="26"/>
      <c r="E169" s="26"/>
      <c r="F169" s="26"/>
      <c r="G169" s="26"/>
      <c r="H169" s="26"/>
      <c r="I169" s="26"/>
      <c r="J169" s="26"/>
      <c r="K169" s="26"/>
      <c r="L169" s="26"/>
      <c r="M169" s="26"/>
      <c r="N169" s="27"/>
      <c r="O169" s="27"/>
      <c r="P169" s="27"/>
      <c r="Q169" s="27"/>
      <c r="R169" s="27"/>
      <c r="S169" s="27"/>
      <c r="T169" s="27"/>
      <c r="U169" s="26"/>
      <c r="V169" s="26"/>
      <c r="W169" s="26"/>
      <c r="X169" s="26"/>
      <c r="Y169" s="26"/>
      <c r="Z169" s="26"/>
      <c r="AA169" s="26"/>
      <c r="AB169" s="26"/>
      <c r="AC169" s="26"/>
      <c r="AD169" s="26"/>
    </row>
    <row r="170" spans="2:30">
      <c r="B170" s="26"/>
      <c r="C170" s="26"/>
      <c r="D170" s="26"/>
      <c r="E170" s="26"/>
      <c r="F170" s="26"/>
      <c r="G170" s="26"/>
      <c r="H170" s="26"/>
      <c r="I170" s="26"/>
      <c r="J170" s="26"/>
      <c r="K170" s="26"/>
      <c r="L170" s="26"/>
      <c r="M170" s="26"/>
      <c r="N170" s="27"/>
      <c r="O170" s="27"/>
      <c r="P170" s="27"/>
      <c r="Q170" s="27"/>
      <c r="R170" s="27"/>
      <c r="S170" s="27"/>
      <c r="T170" s="27"/>
      <c r="U170" s="26"/>
      <c r="V170" s="26"/>
      <c r="W170" s="26"/>
      <c r="X170" s="26"/>
      <c r="Y170" s="26"/>
      <c r="Z170" s="26"/>
      <c r="AA170" s="26"/>
      <c r="AB170" s="26"/>
      <c r="AC170" s="26"/>
      <c r="AD170" s="26"/>
    </row>
    <row r="171" spans="2:30">
      <c r="B171" s="26"/>
      <c r="C171" s="26"/>
      <c r="D171" s="26"/>
      <c r="E171" s="26"/>
      <c r="F171" s="26"/>
      <c r="G171" s="26"/>
      <c r="H171" s="26"/>
      <c r="I171" s="26"/>
      <c r="J171" s="26"/>
      <c r="K171" s="26"/>
      <c r="L171" s="26"/>
      <c r="M171" s="26"/>
      <c r="N171" s="27"/>
      <c r="O171" s="27"/>
      <c r="P171" s="27"/>
      <c r="Q171" s="27"/>
      <c r="R171" s="27"/>
      <c r="S171" s="27"/>
      <c r="T171" s="27"/>
      <c r="U171" s="26"/>
      <c r="V171" s="26"/>
      <c r="W171" s="26"/>
      <c r="X171" s="26"/>
      <c r="Y171" s="26"/>
      <c r="Z171" s="26"/>
      <c r="AA171" s="26"/>
      <c r="AB171" s="26"/>
      <c r="AC171" s="26"/>
      <c r="AD171" s="26"/>
    </row>
    <row r="172" spans="2:30">
      <c r="B172" s="26"/>
      <c r="C172" s="26"/>
      <c r="D172" s="26"/>
      <c r="E172" s="26"/>
      <c r="F172" s="26"/>
      <c r="G172" s="26"/>
      <c r="H172" s="26"/>
      <c r="I172" s="26"/>
      <c r="J172" s="26"/>
      <c r="K172" s="26"/>
      <c r="L172" s="26"/>
      <c r="M172" s="26"/>
      <c r="N172" s="27"/>
      <c r="O172" s="27"/>
      <c r="P172" s="27"/>
      <c r="Q172" s="27"/>
      <c r="R172" s="27"/>
      <c r="S172" s="27"/>
      <c r="T172" s="27"/>
      <c r="U172" s="26"/>
      <c r="V172" s="26"/>
      <c r="W172" s="26"/>
      <c r="X172" s="26"/>
      <c r="Y172" s="26"/>
      <c r="Z172" s="26"/>
      <c r="AA172" s="26"/>
      <c r="AB172" s="26"/>
      <c r="AC172" s="26"/>
      <c r="AD172" s="26"/>
    </row>
    <row r="173" spans="2:30">
      <c r="B173" s="26"/>
      <c r="C173" s="26"/>
      <c r="D173" s="26"/>
      <c r="E173" s="26"/>
      <c r="F173" s="26"/>
      <c r="G173" s="26"/>
      <c r="H173" s="26"/>
      <c r="I173" s="26"/>
      <c r="J173" s="26"/>
      <c r="K173" s="26"/>
      <c r="L173" s="26"/>
      <c r="M173" s="26"/>
      <c r="N173" s="27"/>
      <c r="O173" s="27"/>
      <c r="P173" s="27"/>
      <c r="Q173" s="27"/>
      <c r="R173" s="27"/>
      <c r="S173" s="27"/>
      <c r="T173" s="27"/>
      <c r="U173" s="26"/>
      <c r="V173" s="26"/>
      <c r="W173" s="26"/>
      <c r="X173" s="26"/>
      <c r="Y173" s="26"/>
      <c r="Z173" s="26"/>
      <c r="AA173" s="26"/>
      <c r="AB173" s="26"/>
      <c r="AC173" s="26"/>
      <c r="AD173" s="26"/>
    </row>
    <row r="174" spans="2:30">
      <c r="B174" s="26"/>
      <c r="C174" s="26"/>
      <c r="D174" s="26"/>
      <c r="E174" s="26"/>
      <c r="F174" s="26"/>
      <c r="G174" s="26"/>
      <c r="H174" s="26"/>
      <c r="I174" s="26"/>
      <c r="J174" s="26"/>
      <c r="K174" s="26"/>
      <c r="L174" s="26"/>
      <c r="M174" s="26"/>
      <c r="N174" s="27"/>
      <c r="O174" s="27"/>
      <c r="P174" s="27"/>
      <c r="Q174" s="27"/>
      <c r="R174" s="27"/>
      <c r="S174" s="27"/>
      <c r="T174" s="27"/>
      <c r="U174" s="26"/>
      <c r="V174" s="26"/>
      <c r="W174" s="26"/>
      <c r="X174" s="26"/>
      <c r="Y174" s="26"/>
      <c r="Z174" s="26"/>
      <c r="AA174" s="26"/>
      <c r="AB174" s="26"/>
      <c r="AC174" s="26"/>
      <c r="AD174" s="26"/>
    </row>
    <row r="175" spans="2:30">
      <c r="B175" s="26"/>
      <c r="C175" s="26"/>
      <c r="D175" s="26"/>
      <c r="E175" s="26"/>
      <c r="F175" s="26"/>
      <c r="G175" s="26"/>
      <c r="H175" s="26"/>
      <c r="I175" s="26"/>
      <c r="J175" s="26"/>
      <c r="K175" s="26"/>
      <c r="L175" s="26"/>
      <c r="M175" s="26"/>
      <c r="N175" s="27"/>
      <c r="O175" s="27"/>
      <c r="P175" s="27"/>
      <c r="Q175" s="27"/>
      <c r="R175" s="27"/>
      <c r="S175" s="27"/>
      <c r="T175" s="27"/>
      <c r="U175" s="26"/>
      <c r="V175" s="26"/>
      <c r="W175" s="26"/>
      <c r="X175" s="26"/>
      <c r="Y175" s="26"/>
      <c r="Z175" s="26"/>
      <c r="AA175" s="26"/>
      <c r="AB175" s="26"/>
      <c r="AC175" s="26"/>
      <c r="AD175" s="26"/>
    </row>
    <row r="176" spans="2:30">
      <c r="B176" s="26"/>
      <c r="C176" s="26"/>
      <c r="D176" s="26"/>
      <c r="E176" s="26"/>
      <c r="F176" s="26"/>
      <c r="G176" s="26"/>
      <c r="H176" s="26"/>
      <c r="I176" s="26"/>
      <c r="J176" s="26"/>
      <c r="K176" s="26"/>
      <c r="L176" s="26"/>
      <c r="M176" s="26"/>
      <c r="N176" s="27"/>
      <c r="O176" s="27"/>
      <c r="P176" s="27"/>
      <c r="Q176" s="27"/>
      <c r="R176" s="27"/>
      <c r="S176" s="27"/>
      <c r="T176" s="27"/>
      <c r="U176" s="26"/>
      <c r="V176" s="26"/>
      <c r="W176" s="26"/>
      <c r="X176" s="26"/>
      <c r="Y176" s="26"/>
      <c r="Z176" s="26"/>
      <c r="AA176" s="26"/>
      <c r="AB176" s="26"/>
      <c r="AC176" s="26"/>
      <c r="AD176" s="26"/>
    </row>
    <row r="177" spans="2:30">
      <c r="B177" s="26"/>
      <c r="C177" s="26"/>
      <c r="D177" s="26"/>
      <c r="E177" s="26"/>
      <c r="F177" s="26"/>
      <c r="G177" s="26"/>
      <c r="H177" s="26"/>
      <c r="I177" s="26"/>
      <c r="J177" s="26"/>
      <c r="K177" s="26"/>
      <c r="L177" s="26"/>
      <c r="M177" s="26"/>
      <c r="N177" s="27"/>
      <c r="O177" s="27"/>
      <c r="P177" s="27"/>
      <c r="Q177" s="27"/>
      <c r="R177" s="27"/>
      <c r="S177" s="27"/>
      <c r="T177" s="27"/>
      <c r="U177" s="26"/>
      <c r="V177" s="26"/>
      <c r="W177" s="26"/>
      <c r="X177" s="26"/>
      <c r="Y177" s="26"/>
      <c r="Z177" s="26"/>
      <c r="AA177" s="26"/>
      <c r="AB177" s="26"/>
      <c r="AC177" s="26"/>
      <c r="AD177" s="26"/>
    </row>
    <row r="178" spans="2:30">
      <c r="B178" s="26"/>
      <c r="C178" s="26"/>
      <c r="D178" s="26"/>
      <c r="E178" s="26"/>
      <c r="F178" s="26"/>
      <c r="G178" s="26"/>
      <c r="H178" s="26"/>
      <c r="I178" s="26"/>
      <c r="J178" s="26"/>
      <c r="K178" s="26"/>
      <c r="L178" s="26"/>
      <c r="M178" s="26"/>
      <c r="N178" s="27"/>
      <c r="O178" s="27"/>
      <c r="P178" s="27"/>
      <c r="Q178" s="27"/>
      <c r="R178" s="27"/>
      <c r="S178" s="27"/>
      <c r="T178" s="27"/>
      <c r="U178" s="26"/>
      <c r="V178" s="26"/>
      <c r="W178" s="26"/>
      <c r="X178" s="26"/>
      <c r="Y178" s="26"/>
      <c r="Z178" s="26"/>
      <c r="AA178" s="26"/>
      <c r="AB178" s="26"/>
      <c r="AC178" s="26"/>
      <c r="AD178" s="26"/>
    </row>
    <row r="179" spans="2:30">
      <c r="B179" s="26"/>
      <c r="C179" s="26"/>
      <c r="D179" s="26"/>
      <c r="E179" s="26"/>
      <c r="F179" s="26"/>
      <c r="G179" s="26"/>
      <c r="H179" s="26"/>
      <c r="I179" s="26"/>
      <c r="J179" s="26"/>
      <c r="K179" s="26"/>
      <c r="L179" s="26"/>
      <c r="M179" s="26"/>
      <c r="N179" s="27"/>
      <c r="O179" s="27"/>
      <c r="P179" s="27"/>
      <c r="Q179" s="27"/>
      <c r="R179" s="27"/>
      <c r="S179" s="27"/>
      <c r="T179" s="27"/>
      <c r="U179" s="26"/>
      <c r="V179" s="26"/>
      <c r="W179" s="26"/>
      <c r="X179" s="26"/>
      <c r="Y179" s="26"/>
      <c r="Z179" s="26"/>
      <c r="AA179" s="26"/>
      <c r="AB179" s="26"/>
      <c r="AC179" s="26"/>
      <c r="AD179" s="26"/>
    </row>
    <row r="180" spans="2:30">
      <c r="B180" s="26"/>
      <c r="C180" s="26"/>
      <c r="D180" s="26"/>
      <c r="E180" s="26"/>
      <c r="F180" s="26"/>
      <c r="G180" s="26"/>
      <c r="H180" s="26"/>
      <c r="I180" s="26"/>
      <c r="J180" s="26"/>
      <c r="K180" s="26"/>
      <c r="L180" s="26"/>
      <c r="M180" s="26"/>
      <c r="N180" s="27"/>
      <c r="O180" s="27"/>
      <c r="P180" s="27"/>
      <c r="Q180" s="27"/>
      <c r="R180" s="27"/>
      <c r="S180" s="27"/>
      <c r="T180" s="27"/>
      <c r="U180" s="26"/>
      <c r="V180" s="26"/>
      <c r="W180" s="26"/>
      <c r="X180" s="26"/>
      <c r="Y180" s="26"/>
      <c r="Z180" s="26"/>
      <c r="AA180" s="26"/>
      <c r="AB180" s="26"/>
      <c r="AC180" s="26"/>
      <c r="AD180" s="26"/>
    </row>
    <row r="181" spans="2:30">
      <c r="B181" s="26"/>
      <c r="C181" s="26"/>
      <c r="D181" s="26"/>
      <c r="E181" s="26"/>
      <c r="F181" s="26"/>
      <c r="G181" s="26"/>
      <c r="H181" s="26"/>
      <c r="I181" s="26"/>
      <c r="J181" s="26"/>
      <c r="K181" s="26"/>
      <c r="L181" s="26"/>
      <c r="M181" s="26"/>
      <c r="N181" s="27"/>
      <c r="O181" s="27"/>
      <c r="P181" s="27"/>
      <c r="Q181" s="27"/>
      <c r="R181" s="27"/>
      <c r="S181" s="27"/>
      <c r="T181" s="27"/>
      <c r="U181" s="26"/>
      <c r="V181" s="26"/>
      <c r="W181" s="26"/>
      <c r="X181" s="26"/>
      <c r="Y181" s="26"/>
      <c r="Z181" s="26"/>
      <c r="AA181" s="26"/>
      <c r="AB181" s="26"/>
      <c r="AC181" s="26"/>
      <c r="AD181" s="26"/>
    </row>
    <row r="182" spans="2:30">
      <c r="B182" s="26"/>
      <c r="C182" s="26"/>
      <c r="D182" s="26"/>
      <c r="E182" s="26"/>
      <c r="F182" s="26"/>
      <c r="G182" s="26"/>
      <c r="H182" s="26"/>
      <c r="I182" s="26"/>
      <c r="J182" s="26"/>
      <c r="K182" s="26"/>
      <c r="L182" s="26"/>
      <c r="M182" s="26"/>
      <c r="N182" s="27"/>
      <c r="O182" s="27"/>
      <c r="P182" s="27"/>
      <c r="Q182" s="27"/>
      <c r="R182" s="27"/>
      <c r="S182" s="27"/>
      <c r="T182" s="27"/>
      <c r="U182" s="26"/>
      <c r="V182" s="26"/>
      <c r="W182" s="26"/>
      <c r="X182" s="26"/>
      <c r="Y182" s="26"/>
      <c r="Z182" s="26"/>
      <c r="AA182" s="26"/>
      <c r="AB182" s="26"/>
      <c r="AC182" s="26"/>
      <c r="AD182" s="26"/>
    </row>
    <row r="183" spans="2:30">
      <c r="B183" s="26"/>
      <c r="C183" s="26"/>
      <c r="D183" s="26"/>
      <c r="E183" s="26"/>
      <c r="F183" s="26"/>
      <c r="G183" s="26"/>
      <c r="H183" s="26"/>
      <c r="I183" s="26"/>
      <c r="J183" s="26"/>
      <c r="K183" s="26"/>
      <c r="L183" s="26"/>
      <c r="M183" s="26"/>
      <c r="N183" s="27"/>
      <c r="O183" s="27"/>
      <c r="P183" s="27"/>
      <c r="Q183" s="27"/>
      <c r="R183" s="27"/>
      <c r="S183" s="27"/>
      <c r="T183" s="27"/>
      <c r="U183" s="26"/>
      <c r="V183" s="26"/>
      <c r="W183" s="26"/>
      <c r="X183" s="26"/>
      <c r="Y183" s="26"/>
      <c r="Z183" s="26"/>
      <c r="AA183" s="26"/>
      <c r="AB183" s="26"/>
      <c r="AC183" s="26"/>
      <c r="AD183" s="26"/>
    </row>
    <row r="184" spans="2:30">
      <c r="B184" s="26"/>
      <c r="C184" s="26"/>
      <c r="D184" s="26"/>
      <c r="E184" s="26"/>
      <c r="F184" s="26"/>
      <c r="G184" s="26"/>
      <c r="H184" s="26"/>
      <c r="I184" s="26"/>
      <c r="J184" s="26"/>
      <c r="K184" s="26"/>
      <c r="L184" s="26"/>
      <c r="M184" s="26"/>
      <c r="N184" s="27"/>
      <c r="O184" s="27"/>
      <c r="P184" s="27"/>
      <c r="Q184" s="27"/>
      <c r="R184" s="27"/>
      <c r="S184" s="27"/>
      <c r="T184" s="27"/>
      <c r="U184" s="26"/>
      <c r="V184" s="26"/>
      <c r="W184" s="26"/>
      <c r="X184" s="26"/>
      <c r="Y184" s="26"/>
      <c r="Z184" s="26"/>
      <c r="AA184" s="26"/>
      <c r="AB184" s="26"/>
      <c r="AC184" s="26"/>
      <c r="AD184" s="26"/>
    </row>
    <row r="185" spans="2:30">
      <c r="B185" s="26"/>
      <c r="C185" s="26"/>
      <c r="D185" s="26"/>
      <c r="E185" s="26"/>
      <c r="F185" s="26"/>
      <c r="G185" s="26"/>
      <c r="H185" s="26"/>
      <c r="I185" s="26"/>
      <c r="J185" s="26"/>
      <c r="K185" s="26"/>
      <c r="L185" s="26"/>
      <c r="M185" s="26"/>
      <c r="N185" s="27"/>
      <c r="O185" s="27"/>
      <c r="P185" s="27"/>
      <c r="Q185" s="27"/>
      <c r="R185" s="27"/>
      <c r="S185" s="27"/>
      <c r="T185" s="27"/>
      <c r="U185" s="26"/>
      <c r="V185" s="26"/>
      <c r="W185" s="26"/>
      <c r="X185" s="26"/>
      <c r="Y185" s="26"/>
      <c r="Z185" s="26"/>
      <c r="AA185" s="26"/>
      <c r="AB185" s="26"/>
      <c r="AC185" s="26"/>
      <c r="AD185" s="26"/>
    </row>
    <row r="186" spans="2:30">
      <c r="B186" s="26"/>
      <c r="C186" s="26"/>
      <c r="D186" s="26"/>
      <c r="E186" s="26"/>
      <c r="F186" s="26"/>
      <c r="G186" s="26"/>
      <c r="H186" s="26"/>
      <c r="I186" s="26"/>
      <c r="J186" s="26"/>
      <c r="K186" s="26"/>
      <c r="L186" s="26"/>
      <c r="M186" s="26"/>
      <c r="N186" s="27"/>
      <c r="O186" s="27"/>
      <c r="P186" s="27"/>
      <c r="Q186" s="27"/>
      <c r="R186" s="27"/>
      <c r="S186" s="27"/>
      <c r="T186" s="27"/>
      <c r="U186" s="26"/>
      <c r="V186" s="26"/>
      <c r="W186" s="26"/>
      <c r="X186" s="26"/>
      <c r="Y186" s="26"/>
      <c r="Z186" s="26"/>
      <c r="AA186" s="26"/>
      <c r="AB186" s="26"/>
      <c r="AC186" s="26"/>
      <c r="AD186" s="26"/>
    </row>
    <row r="187" spans="2:30">
      <c r="B187" s="26"/>
      <c r="C187" s="26"/>
      <c r="D187" s="26"/>
      <c r="E187" s="26"/>
      <c r="F187" s="26"/>
      <c r="G187" s="26"/>
      <c r="H187" s="26"/>
      <c r="I187" s="26"/>
      <c r="J187" s="26"/>
      <c r="K187" s="26"/>
      <c r="L187" s="26"/>
      <c r="M187" s="26"/>
      <c r="N187" s="27"/>
      <c r="O187" s="27"/>
      <c r="P187" s="27"/>
      <c r="Q187" s="27"/>
      <c r="R187" s="27"/>
      <c r="S187" s="27"/>
      <c r="T187" s="27"/>
      <c r="U187" s="26"/>
      <c r="V187" s="26"/>
      <c r="W187" s="26"/>
      <c r="X187" s="26"/>
      <c r="Y187" s="26"/>
      <c r="Z187" s="26"/>
      <c r="AA187" s="26"/>
      <c r="AB187" s="26"/>
      <c r="AC187" s="26"/>
      <c r="AD187" s="26"/>
    </row>
    <row r="188" spans="2:30">
      <c r="B188" s="26"/>
      <c r="C188" s="26"/>
      <c r="D188" s="26"/>
      <c r="E188" s="26"/>
      <c r="F188" s="26"/>
      <c r="G188" s="26"/>
      <c r="H188" s="26"/>
      <c r="I188" s="26"/>
      <c r="J188" s="26"/>
      <c r="K188" s="26"/>
      <c r="L188" s="26"/>
      <c r="M188" s="26"/>
      <c r="N188" s="27"/>
      <c r="O188" s="27"/>
      <c r="P188" s="27"/>
      <c r="Q188" s="27"/>
      <c r="R188" s="27"/>
      <c r="S188" s="27"/>
      <c r="T188" s="27"/>
      <c r="U188" s="26"/>
      <c r="V188" s="26"/>
      <c r="W188" s="26"/>
      <c r="X188" s="26"/>
      <c r="Y188" s="26"/>
      <c r="Z188" s="26"/>
      <c r="AA188" s="26"/>
      <c r="AB188" s="26"/>
      <c r="AC188" s="26"/>
      <c r="AD188" s="26"/>
    </row>
    <row r="189" spans="2:30">
      <c r="B189" s="26"/>
      <c r="C189" s="26"/>
      <c r="D189" s="26"/>
      <c r="E189" s="26"/>
      <c r="F189" s="26"/>
      <c r="G189" s="26"/>
      <c r="H189" s="26"/>
      <c r="I189" s="26"/>
      <c r="J189" s="26"/>
      <c r="K189" s="26"/>
      <c r="L189" s="26"/>
      <c r="M189" s="26"/>
      <c r="N189" s="27"/>
      <c r="O189" s="27"/>
      <c r="P189" s="27"/>
      <c r="Q189" s="27"/>
      <c r="R189" s="27"/>
      <c r="S189" s="27"/>
      <c r="T189" s="27"/>
      <c r="U189" s="26"/>
      <c r="V189" s="26"/>
      <c r="W189" s="26"/>
      <c r="X189" s="26"/>
      <c r="Y189" s="26"/>
      <c r="Z189" s="26"/>
      <c r="AA189" s="26"/>
      <c r="AB189" s="26"/>
      <c r="AC189" s="26"/>
      <c r="AD189" s="26"/>
    </row>
    <row r="190" spans="2:30">
      <c r="B190" s="26"/>
      <c r="C190" s="26"/>
      <c r="D190" s="26"/>
      <c r="E190" s="26"/>
      <c r="F190" s="26"/>
      <c r="G190" s="26"/>
      <c r="H190" s="26"/>
      <c r="I190" s="26"/>
      <c r="J190" s="26"/>
      <c r="K190" s="26"/>
      <c r="L190" s="26"/>
      <c r="M190" s="26"/>
      <c r="N190" s="27"/>
      <c r="O190" s="27"/>
      <c r="P190" s="27"/>
      <c r="Q190" s="27"/>
      <c r="R190" s="27"/>
      <c r="S190" s="27"/>
      <c r="T190" s="27"/>
      <c r="U190" s="26"/>
      <c r="V190" s="26"/>
      <c r="W190" s="26"/>
      <c r="X190" s="26"/>
      <c r="Y190" s="26"/>
      <c r="Z190" s="26"/>
      <c r="AA190" s="26"/>
      <c r="AB190" s="26"/>
      <c r="AC190" s="26"/>
      <c r="AD190" s="26"/>
    </row>
    <row r="191" spans="2:30">
      <c r="B191" s="26"/>
      <c r="C191" s="26"/>
      <c r="D191" s="26"/>
      <c r="E191" s="26"/>
      <c r="F191" s="26"/>
      <c r="G191" s="26"/>
      <c r="H191" s="26"/>
      <c r="I191" s="26"/>
      <c r="J191" s="26"/>
      <c r="K191" s="26"/>
      <c r="L191" s="26"/>
      <c r="M191" s="26"/>
      <c r="N191" s="27"/>
      <c r="O191" s="27"/>
      <c r="P191" s="27"/>
      <c r="Q191" s="27"/>
      <c r="R191" s="27"/>
      <c r="S191" s="27"/>
      <c r="T191" s="27"/>
      <c r="U191" s="26"/>
      <c r="V191" s="26"/>
      <c r="W191" s="26"/>
      <c r="X191" s="26"/>
      <c r="Y191" s="26"/>
      <c r="Z191" s="26"/>
      <c r="AA191" s="26"/>
      <c r="AB191" s="26"/>
      <c r="AC191" s="26"/>
      <c r="AD191" s="26"/>
    </row>
    <row r="192" spans="2:30">
      <c r="B192" s="26"/>
      <c r="C192" s="26"/>
      <c r="D192" s="26"/>
      <c r="E192" s="26"/>
      <c r="F192" s="26"/>
      <c r="G192" s="26"/>
      <c r="H192" s="26"/>
      <c r="I192" s="26"/>
      <c r="J192" s="26"/>
      <c r="K192" s="26"/>
      <c r="L192" s="26"/>
      <c r="M192" s="26"/>
      <c r="N192" s="27"/>
      <c r="O192" s="27"/>
      <c r="P192" s="27"/>
      <c r="Q192" s="27"/>
      <c r="R192" s="27"/>
      <c r="S192" s="27"/>
      <c r="T192" s="27"/>
      <c r="U192" s="26"/>
      <c r="V192" s="26"/>
      <c r="W192" s="26"/>
      <c r="X192" s="26"/>
      <c r="Y192" s="26"/>
      <c r="Z192" s="26"/>
      <c r="AA192" s="26"/>
      <c r="AB192" s="26"/>
      <c r="AC192" s="26"/>
      <c r="AD192" s="26"/>
    </row>
    <row r="193" spans="2:30">
      <c r="B193" s="26"/>
      <c r="C193" s="26"/>
      <c r="D193" s="26"/>
      <c r="E193" s="26"/>
      <c r="F193" s="26"/>
      <c r="G193" s="26"/>
      <c r="H193" s="26"/>
      <c r="I193" s="26"/>
      <c r="J193" s="26"/>
      <c r="K193" s="26"/>
      <c r="L193" s="26"/>
      <c r="M193" s="26"/>
      <c r="N193" s="27"/>
      <c r="O193" s="27"/>
      <c r="P193" s="27"/>
      <c r="Q193" s="27"/>
      <c r="R193" s="27"/>
      <c r="S193" s="27"/>
      <c r="T193" s="27"/>
      <c r="U193" s="26"/>
      <c r="V193" s="26"/>
      <c r="W193" s="26"/>
      <c r="X193" s="26"/>
      <c r="Y193" s="26"/>
      <c r="Z193" s="26"/>
      <c r="AA193" s="26"/>
      <c r="AB193" s="26"/>
      <c r="AC193" s="26"/>
      <c r="AD193" s="26"/>
    </row>
    <row r="194" spans="2:30">
      <c r="B194" s="26"/>
      <c r="C194" s="26"/>
      <c r="D194" s="26"/>
      <c r="E194" s="26"/>
      <c r="F194" s="26"/>
      <c r="G194" s="26"/>
      <c r="H194" s="26"/>
      <c r="I194" s="26"/>
      <c r="J194" s="26"/>
      <c r="K194" s="26"/>
      <c r="L194" s="26"/>
      <c r="M194" s="26"/>
      <c r="N194" s="27"/>
      <c r="O194" s="27"/>
      <c r="P194" s="27"/>
      <c r="Q194" s="27"/>
      <c r="R194" s="27"/>
      <c r="S194" s="27"/>
      <c r="T194" s="27"/>
      <c r="U194" s="26"/>
      <c r="V194" s="26"/>
      <c r="W194" s="26"/>
      <c r="X194" s="26"/>
      <c r="Y194" s="26"/>
      <c r="Z194" s="26"/>
      <c r="AA194" s="26"/>
      <c r="AB194" s="26"/>
      <c r="AC194" s="26"/>
      <c r="AD194" s="26"/>
    </row>
    <row r="195" spans="2:30">
      <c r="B195" s="26"/>
      <c r="C195" s="26"/>
      <c r="D195" s="26"/>
      <c r="E195" s="26"/>
      <c r="F195" s="26"/>
      <c r="G195" s="26"/>
      <c r="H195" s="26"/>
      <c r="I195" s="26"/>
      <c r="J195" s="26"/>
      <c r="K195" s="26"/>
      <c r="L195" s="26"/>
      <c r="M195" s="26"/>
      <c r="N195" s="27"/>
      <c r="O195" s="27"/>
      <c r="P195" s="27"/>
      <c r="Q195" s="27"/>
      <c r="R195" s="27"/>
      <c r="S195" s="27"/>
      <c r="T195" s="27"/>
      <c r="U195" s="26"/>
      <c r="V195" s="26"/>
      <c r="W195" s="26"/>
      <c r="X195" s="26"/>
      <c r="Y195" s="26"/>
      <c r="Z195" s="26"/>
      <c r="AA195" s="26"/>
      <c r="AB195" s="26"/>
      <c r="AC195" s="26"/>
      <c r="AD195" s="26"/>
    </row>
    <row r="196" spans="2:30">
      <c r="B196" s="26"/>
      <c r="C196" s="26"/>
      <c r="D196" s="26"/>
      <c r="E196" s="26"/>
      <c r="F196" s="26"/>
      <c r="G196" s="26"/>
      <c r="H196" s="26"/>
      <c r="I196" s="26"/>
      <c r="J196" s="26"/>
      <c r="K196" s="26"/>
      <c r="L196" s="26"/>
      <c r="M196" s="26"/>
      <c r="N196" s="27"/>
      <c r="O196" s="27"/>
      <c r="P196" s="27"/>
      <c r="Q196" s="27"/>
      <c r="R196" s="27"/>
      <c r="S196" s="27"/>
      <c r="T196" s="27"/>
      <c r="U196" s="26"/>
      <c r="V196" s="26"/>
      <c r="W196" s="26"/>
      <c r="X196" s="26"/>
      <c r="Y196" s="26"/>
      <c r="Z196" s="26"/>
      <c r="AA196" s="26"/>
      <c r="AB196" s="26"/>
      <c r="AC196" s="26"/>
      <c r="AD196" s="26"/>
    </row>
    <row r="197" spans="2:30">
      <c r="B197" s="26"/>
      <c r="C197" s="26"/>
      <c r="D197" s="26"/>
      <c r="E197" s="26"/>
      <c r="F197" s="26"/>
      <c r="G197" s="26"/>
      <c r="H197" s="26"/>
      <c r="I197" s="26"/>
      <c r="J197" s="26"/>
      <c r="K197" s="26"/>
      <c r="L197" s="26"/>
      <c r="M197" s="26"/>
      <c r="N197" s="27"/>
      <c r="O197" s="27"/>
      <c r="P197" s="27"/>
      <c r="Q197" s="27"/>
      <c r="R197" s="27"/>
      <c r="S197" s="27"/>
      <c r="T197" s="27"/>
      <c r="U197" s="26"/>
      <c r="V197" s="26"/>
      <c r="W197" s="26"/>
      <c r="X197" s="26"/>
      <c r="Y197" s="26"/>
      <c r="Z197" s="26"/>
      <c r="AA197" s="26"/>
      <c r="AB197" s="26"/>
      <c r="AC197" s="26"/>
      <c r="AD197" s="26"/>
    </row>
    <row r="198" spans="2:30">
      <c r="B198" s="26"/>
      <c r="C198" s="26"/>
      <c r="D198" s="26"/>
      <c r="E198" s="26"/>
      <c r="F198" s="26"/>
      <c r="G198" s="26"/>
      <c r="H198" s="26"/>
      <c r="I198" s="26"/>
      <c r="J198" s="26"/>
      <c r="K198" s="26"/>
      <c r="L198" s="26"/>
      <c r="M198" s="26"/>
      <c r="N198" s="27"/>
      <c r="O198" s="27"/>
      <c r="P198" s="27"/>
      <c r="Q198" s="27"/>
      <c r="R198" s="27"/>
      <c r="S198" s="27"/>
      <c r="T198" s="27"/>
      <c r="U198" s="26"/>
      <c r="V198" s="26"/>
      <c r="W198" s="26"/>
      <c r="X198" s="26"/>
      <c r="Y198" s="26"/>
      <c r="Z198" s="26"/>
      <c r="AA198" s="26"/>
      <c r="AB198" s="26"/>
      <c r="AC198" s="26"/>
      <c r="AD198" s="26"/>
    </row>
    <row r="199" spans="2:30">
      <c r="B199" s="26"/>
      <c r="C199" s="26"/>
      <c r="D199" s="26"/>
      <c r="E199" s="26"/>
      <c r="F199" s="26"/>
      <c r="G199" s="26"/>
      <c r="H199" s="26"/>
      <c r="I199" s="26"/>
      <c r="J199" s="26"/>
      <c r="K199" s="26"/>
      <c r="L199" s="26"/>
      <c r="M199" s="26"/>
      <c r="N199" s="27"/>
      <c r="O199" s="27"/>
      <c r="P199" s="27"/>
      <c r="Q199" s="27"/>
      <c r="R199" s="27"/>
      <c r="S199" s="27"/>
      <c r="T199" s="27"/>
      <c r="U199" s="26"/>
      <c r="V199" s="26"/>
      <c r="W199" s="26"/>
      <c r="X199" s="26"/>
      <c r="Y199" s="26"/>
      <c r="Z199" s="26"/>
      <c r="AA199" s="26"/>
      <c r="AB199" s="26"/>
      <c r="AC199" s="26"/>
      <c r="AD199" s="26"/>
    </row>
    <row r="200" spans="2:30">
      <c r="B200" s="26"/>
      <c r="C200" s="26"/>
      <c r="D200" s="26"/>
      <c r="E200" s="26"/>
      <c r="F200" s="26"/>
      <c r="G200" s="26"/>
      <c r="H200" s="26"/>
      <c r="I200" s="26"/>
      <c r="J200" s="26"/>
      <c r="K200" s="26"/>
      <c r="L200" s="26"/>
      <c r="M200" s="26"/>
      <c r="N200" s="27"/>
      <c r="O200" s="27"/>
      <c r="P200" s="27"/>
      <c r="Q200" s="27"/>
      <c r="R200" s="27"/>
      <c r="S200" s="27"/>
      <c r="T200" s="27"/>
      <c r="U200" s="26"/>
      <c r="V200" s="26"/>
      <c r="W200" s="26"/>
      <c r="X200" s="26"/>
      <c r="Y200" s="26"/>
      <c r="Z200" s="26"/>
      <c r="AA200" s="26"/>
      <c r="AB200" s="26"/>
      <c r="AC200" s="26"/>
      <c r="AD200" s="26"/>
    </row>
    <row r="201" spans="2:30">
      <c r="B201" s="26"/>
      <c r="C201" s="26"/>
      <c r="D201" s="26"/>
      <c r="E201" s="26"/>
      <c r="F201" s="26"/>
      <c r="G201" s="26"/>
      <c r="H201" s="26"/>
      <c r="I201" s="26"/>
      <c r="J201" s="26"/>
      <c r="K201" s="26"/>
      <c r="L201" s="26"/>
      <c r="M201" s="26"/>
      <c r="N201" s="27"/>
      <c r="O201" s="27"/>
      <c r="P201" s="27"/>
      <c r="Q201" s="27"/>
      <c r="R201" s="27"/>
      <c r="S201" s="27"/>
      <c r="T201" s="27"/>
      <c r="U201" s="26"/>
      <c r="V201" s="26"/>
      <c r="W201" s="26"/>
      <c r="X201" s="26"/>
      <c r="Y201" s="26"/>
      <c r="Z201" s="26"/>
      <c r="AA201" s="26"/>
      <c r="AB201" s="26"/>
      <c r="AC201" s="26"/>
      <c r="AD201" s="26"/>
    </row>
    <row r="202" spans="2:30">
      <c r="B202" s="26"/>
      <c r="C202" s="26"/>
      <c r="D202" s="26"/>
      <c r="E202" s="26"/>
      <c r="F202" s="26"/>
      <c r="G202" s="26"/>
      <c r="H202" s="26"/>
      <c r="I202" s="26"/>
      <c r="J202" s="26"/>
      <c r="K202" s="26"/>
      <c r="L202" s="26"/>
      <c r="M202" s="26"/>
      <c r="N202" s="27"/>
      <c r="O202" s="27"/>
      <c r="P202" s="27"/>
      <c r="Q202" s="27"/>
      <c r="R202" s="27"/>
      <c r="S202" s="27"/>
      <c r="T202" s="27"/>
      <c r="U202" s="26"/>
      <c r="V202" s="26"/>
      <c r="W202" s="26"/>
      <c r="X202" s="26"/>
      <c r="Y202" s="26"/>
      <c r="Z202" s="26"/>
      <c r="AA202" s="26"/>
      <c r="AB202" s="26"/>
      <c r="AC202" s="26"/>
      <c r="AD202" s="26"/>
    </row>
    <row r="203" spans="2:30">
      <c r="B203" s="26"/>
      <c r="C203" s="26"/>
      <c r="D203" s="26"/>
      <c r="E203" s="26"/>
      <c r="F203" s="26"/>
      <c r="G203" s="26"/>
      <c r="H203" s="26"/>
      <c r="I203" s="26"/>
      <c r="J203" s="26"/>
      <c r="K203" s="26"/>
      <c r="L203" s="26"/>
      <c r="M203" s="26"/>
      <c r="N203" s="27"/>
      <c r="O203" s="27"/>
      <c r="P203" s="27"/>
      <c r="Q203" s="27"/>
      <c r="R203" s="27"/>
      <c r="S203" s="27"/>
      <c r="T203" s="27"/>
      <c r="U203" s="26"/>
      <c r="V203" s="26"/>
      <c r="W203" s="26"/>
      <c r="X203" s="26"/>
      <c r="Y203" s="26"/>
      <c r="Z203" s="26"/>
      <c r="AA203" s="26"/>
      <c r="AB203" s="26"/>
      <c r="AC203" s="26"/>
      <c r="AD203" s="26"/>
    </row>
    <row r="204" spans="2:30">
      <c r="B204" s="26"/>
      <c r="C204" s="26"/>
      <c r="D204" s="26"/>
      <c r="E204" s="26"/>
      <c r="F204" s="26"/>
      <c r="G204" s="26"/>
      <c r="H204" s="26"/>
      <c r="I204" s="26"/>
      <c r="J204" s="26"/>
      <c r="K204" s="26"/>
      <c r="L204" s="26"/>
      <c r="M204" s="26"/>
      <c r="N204" s="27"/>
      <c r="O204" s="27"/>
      <c r="P204" s="27"/>
      <c r="Q204" s="27"/>
      <c r="R204" s="27"/>
      <c r="S204" s="27"/>
      <c r="T204" s="27"/>
      <c r="U204" s="26"/>
      <c r="V204" s="26"/>
      <c r="W204" s="26"/>
      <c r="X204" s="26"/>
      <c r="Y204" s="26"/>
      <c r="Z204" s="26"/>
      <c r="AA204" s="26"/>
      <c r="AB204" s="26"/>
      <c r="AC204" s="26"/>
      <c r="AD204" s="26"/>
    </row>
    <row r="205" spans="2:30">
      <c r="B205" s="26"/>
      <c r="C205" s="26"/>
      <c r="D205" s="26"/>
      <c r="E205" s="26"/>
      <c r="F205" s="26"/>
      <c r="G205" s="26"/>
      <c r="H205" s="26"/>
      <c r="I205" s="26"/>
      <c r="J205" s="26"/>
      <c r="K205" s="26"/>
      <c r="L205" s="26"/>
      <c r="M205" s="26"/>
      <c r="N205" s="27"/>
      <c r="O205" s="27"/>
      <c r="P205" s="27"/>
      <c r="Q205" s="27"/>
      <c r="R205" s="27"/>
      <c r="S205" s="27"/>
      <c r="T205" s="27"/>
      <c r="U205" s="26"/>
      <c r="V205" s="26"/>
      <c r="W205" s="26"/>
      <c r="X205" s="26"/>
      <c r="Y205" s="26"/>
      <c r="Z205" s="26"/>
      <c r="AA205" s="26"/>
      <c r="AB205" s="26"/>
      <c r="AC205" s="26"/>
      <c r="AD205" s="26"/>
    </row>
    <row r="206" spans="2:30">
      <c r="B206" s="26"/>
      <c r="C206" s="26"/>
      <c r="D206" s="26"/>
      <c r="E206" s="26"/>
      <c r="F206" s="26"/>
      <c r="G206" s="26"/>
      <c r="H206" s="26"/>
      <c r="I206" s="26"/>
      <c r="J206" s="26"/>
      <c r="K206" s="26"/>
      <c r="L206" s="26"/>
      <c r="M206" s="26"/>
      <c r="N206" s="27"/>
      <c r="O206" s="27"/>
      <c r="P206" s="27"/>
      <c r="Q206" s="27"/>
      <c r="R206" s="27"/>
      <c r="S206" s="27"/>
      <c r="T206" s="27"/>
      <c r="U206" s="26"/>
      <c r="V206" s="26"/>
      <c r="W206" s="26"/>
      <c r="X206" s="26"/>
      <c r="Y206" s="26"/>
      <c r="Z206" s="26"/>
      <c r="AA206" s="26"/>
      <c r="AB206" s="26"/>
      <c r="AC206" s="26"/>
      <c r="AD206" s="26"/>
    </row>
    <row r="207" spans="2:30">
      <c r="B207" s="26"/>
      <c r="C207" s="26"/>
      <c r="D207" s="26"/>
      <c r="E207" s="26"/>
      <c r="F207" s="26"/>
      <c r="G207" s="26"/>
      <c r="H207" s="26"/>
      <c r="I207" s="26"/>
      <c r="J207" s="26"/>
      <c r="K207" s="26"/>
      <c r="L207" s="26"/>
      <c r="M207" s="26"/>
      <c r="N207" s="27"/>
      <c r="O207" s="27"/>
      <c r="P207" s="27"/>
      <c r="Q207" s="27"/>
      <c r="R207" s="27"/>
      <c r="S207" s="27"/>
      <c r="T207" s="27"/>
      <c r="U207" s="26"/>
      <c r="V207" s="26"/>
      <c r="W207" s="26"/>
      <c r="X207" s="26"/>
      <c r="Y207" s="26"/>
      <c r="Z207" s="26"/>
      <c r="AA207" s="26"/>
      <c r="AB207" s="26"/>
      <c r="AC207" s="26"/>
      <c r="AD207" s="26"/>
    </row>
    <row r="208" spans="2:30">
      <c r="B208" s="26"/>
      <c r="C208" s="26"/>
      <c r="D208" s="26"/>
      <c r="E208" s="26"/>
      <c r="F208" s="26"/>
      <c r="G208" s="26"/>
      <c r="H208" s="26"/>
      <c r="I208" s="26"/>
      <c r="J208" s="26"/>
      <c r="K208" s="26"/>
      <c r="L208" s="26"/>
      <c r="M208" s="26"/>
      <c r="N208" s="27"/>
      <c r="O208" s="27"/>
      <c r="P208" s="27"/>
      <c r="Q208" s="27"/>
      <c r="R208" s="27"/>
      <c r="S208" s="27"/>
      <c r="T208" s="27"/>
      <c r="U208" s="26"/>
      <c r="V208" s="26"/>
      <c r="W208" s="26"/>
      <c r="X208" s="26"/>
      <c r="Y208" s="26"/>
      <c r="Z208" s="26"/>
      <c r="AA208" s="26"/>
      <c r="AB208" s="26"/>
      <c r="AC208" s="26"/>
      <c r="AD208" s="26"/>
    </row>
    <row r="209" spans="2:30">
      <c r="B209" s="26"/>
      <c r="C209" s="26"/>
      <c r="D209" s="26"/>
      <c r="E209" s="26"/>
      <c r="F209" s="26"/>
      <c r="G209" s="26"/>
      <c r="H209" s="26"/>
      <c r="I209" s="26"/>
      <c r="J209" s="26"/>
      <c r="K209" s="26"/>
      <c r="L209" s="26"/>
      <c r="M209" s="26"/>
      <c r="N209" s="27"/>
      <c r="O209" s="27"/>
      <c r="P209" s="27"/>
      <c r="Q209" s="27"/>
      <c r="R209" s="27"/>
      <c r="S209" s="27"/>
      <c r="T209" s="27"/>
      <c r="U209" s="26"/>
      <c r="V209" s="26"/>
      <c r="W209" s="26"/>
      <c r="X209" s="26"/>
      <c r="Y209" s="26"/>
      <c r="Z209" s="26"/>
      <c r="AA209" s="26"/>
      <c r="AB209" s="26"/>
      <c r="AC209" s="26"/>
      <c r="AD209" s="26"/>
    </row>
    <row r="210" spans="2:30">
      <c r="B210" s="26"/>
      <c r="C210" s="26"/>
      <c r="D210" s="26"/>
      <c r="E210" s="26"/>
      <c r="F210" s="26"/>
      <c r="G210" s="26"/>
      <c r="H210" s="26"/>
      <c r="I210" s="26"/>
      <c r="J210" s="26"/>
      <c r="K210" s="26"/>
      <c r="L210" s="26"/>
      <c r="M210" s="26"/>
      <c r="N210" s="27"/>
      <c r="O210" s="27"/>
      <c r="P210" s="27"/>
      <c r="Q210" s="27"/>
      <c r="R210" s="27"/>
      <c r="S210" s="27"/>
      <c r="T210" s="27"/>
      <c r="U210" s="26"/>
      <c r="V210" s="26"/>
      <c r="W210" s="26"/>
      <c r="X210" s="26"/>
      <c r="Y210" s="26"/>
      <c r="Z210" s="26"/>
      <c r="AA210" s="26"/>
      <c r="AB210" s="26"/>
      <c r="AC210" s="26"/>
      <c r="AD210" s="26"/>
    </row>
    <row r="211" spans="2:30">
      <c r="B211" s="26"/>
      <c r="C211" s="26"/>
      <c r="D211" s="26"/>
      <c r="E211" s="26"/>
      <c r="F211" s="26"/>
      <c r="G211" s="26"/>
      <c r="H211" s="26"/>
      <c r="I211" s="26"/>
      <c r="J211" s="26"/>
      <c r="K211" s="26"/>
      <c r="L211" s="26"/>
      <c r="M211" s="26"/>
      <c r="N211" s="27"/>
      <c r="O211" s="27"/>
      <c r="P211" s="27"/>
      <c r="Q211" s="27"/>
      <c r="R211" s="27"/>
      <c r="S211" s="27"/>
      <c r="T211" s="27"/>
      <c r="U211" s="26"/>
      <c r="V211" s="26"/>
      <c r="W211" s="26"/>
      <c r="X211" s="26"/>
      <c r="Y211" s="26"/>
      <c r="Z211" s="26"/>
      <c r="AA211" s="26"/>
      <c r="AB211" s="26"/>
      <c r="AC211" s="26"/>
      <c r="AD211" s="26"/>
    </row>
    <row r="212" spans="2:30">
      <c r="B212" s="26"/>
      <c r="C212" s="26"/>
      <c r="D212" s="26"/>
      <c r="E212" s="26"/>
      <c r="F212" s="26"/>
      <c r="G212" s="26"/>
      <c r="H212" s="26"/>
      <c r="I212" s="26"/>
      <c r="J212" s="26"/>
      <c r="K212" s="26"/>
      <c r="L212" s="26"/>
      <c r="M212" s="26"/>
      <c r="N212" s="27"/>
      <c r="O212" s="27"/>
      <c r="P212" s="27"/>
      <c r="Q212" s="27"/>
      <c r="R212" s="27"/>
      <c r="S212" s="27"/>
      <c r="T212" s="27"/>
      <c r="U212" s="26"/>
      <c r="V212" s="26"/>
      <c r="W212" s="26"/>
      <c r="X212" s="26"/>
      <c r="Y212" s="26"/>
      <c r="Z212" s="26"/>
      <c r="AA212" s="26"/>
      <c r="AB212" s="26"/>
      <c r="AC212" s="26"/>
      <c r="AD212" s="26"/>
    </row>
    <row r="213" spans="2:30">
      <c r="B213" s="26"/>
      <c r="C213" s="26"/>
      <c r="D213" s="26"/>
      <c r="E213" s="26"/>
      <c r="F213" s="26"/>
      <c r="G213" s="26"/>
      <c r="H213" s="26"/>
      <c r="I213" s="26"/>
      <c r="J213" s="26"/>
      <c r="K213" s="26"/>
      <c r="L213" s="26"/>
      <c r="M213" s="26"/>
      <c r="N213" s="27"/>
      <c r="O213" s="27"/>
      <c r="P213" s="27"/>
      <c r="Q213" s="27"/>
      <c r="R213" s="27"/>
      <c r="S213" s="27"/>
      <c r="T213" s="27"/>
      <c r="U213" s="26"/>
      <c r="V213" s="26"/>
      <c r="W213" s="26"/>
      <c r="X213" s="26"/>
      <c r="Y213" s="26"/>
      <c r="Z213" s="26"/>
      <c r="AA213" s="26"/>
      <c r="AB213" s="26"/>
      <c r="AC213" s="26"/>
      <c r="AD213" s="26"/>
    </row>
    <row r="214" spans="2:30">
      <c r="B214" s="26"/>
      <c r="C214" s="26"/>
      <c r="D214" s="26"/>
      <c r="E214" s="26"/>
      <c r="F214" s="26"/>
      <c r="G214" s="26"/>
      <c r="H214" s="26"/>
      <c r="I214" s="26"/>
      <c r="J214" s="26"/>
      <c r="K214" s="26"/>
      <c r="L214" s="26"/>
      <c r="M214" s="26"/>
      <c r="N214" s="27"/>
      <c r="O214" s="27"/>
      <c r="P214" s="27"/>
      <c r="Q214" s="27"/>
      <c r="R214" s="27"/>
      <c r="S214" s="27"/>
      <c r="T214" s="27"/>
      <c r="U214" s="26"/>
      <c r="V214" s="26"/>
      <c r="W214" s="26"/>
      <c r="X214" s="26"/>
      <c r="Y214" s="26"/>
      <c r="Z214" s="26"/>
      <c r="AA214" s="26"/>
      <c r="AB214" s="26"/>
      <c r="AC214" s="26"/>
      <c r="AD214" s="26"/>
    </row>
    <row r="215" spans="2:30">
      <c r="B215" s="26"/>
      <c r="C215" s="26"/>
      <c r="D215" s="26"/>
      <c r="E215" s="26"/>
      <c r="F215" s="26"/>
      <c r="G215" s="26"/>
      <c r="H215" s="26"/>
      <c r="I215" s="26"/>
      <c r="J215" s="26"/>
      <c r="K215" s="26"/>
      <c r="L215" s="26"/>
      <c r="M215" s="26"/>
      <c r="N215" s="27"/>
      <c r="O215" s="27"/>
      <c r="P215" s="27"/>
      <c r="Q215" s="27"/>
      <c r="R215" s="27"/>
      <c r="S215" s="27"/>
      <c r="T215" s="27"/>
      <c r="U215" s="26"/>
      <c r="V215" s="26"/>
      <c r="W215" s="26"/>
      <c r="X215" s="26"/>
      <c r="Y215" s="26"/>
      <c r="Z215" s="26"/>
      <c r="AA215" s="26"/>
      <c r="AB215" s="26"/>
      <c r="AC215" s="26"/>
      <c r="AD215" s="26"/>
    </row>
    <row r="216" spans="2:30">
      <c r="B216" s="26"/>
      <c r="C216" s="26"/>
      <c r="D216" s="26"/>
      <c r="E216" s="26"/>
      <c r="F216" s="26"/>
      <c r="G216" s="26"/>
      <c r="H216" s="26"/>
      <c r="I216" s="26"/>
      <c r="J216" s="26"/>
      <c r="K216" s="26"/>
      <c r="L216" s="26"/>
      <c r="M216" s="26"/>
      <c r="N216" s="27"/>
      <c r="O216" s="27"/>
      <c r="P216" s="27"/>
      <c r="Q216" s="27"/>
      <c r="R216" s="27"/>
      <c r="S216" s="27"/>
      <c r="T216" s="27"/>
      <c r="U216" s="26"/>
      <c r="V216" s="26"/>
      <c r="W216" s="26"/>
      <c r="X216" s="26"/>
      <c r="Y216" s="26"/>
      <c r="Z216" s="26"/>
      <c r="AA216" s="26"/>
      <c r="AB216" s="26"/>
      <c r="AC216" s="26"/>
      <c r="AD216" s="26"/>
    </row>
    <row r="217" spans="2:30">
      <c r="B217" s="26"/>
      <c r="C217" s="26"/>
      <c r="D217" s="26"/>
      <c r="E217" s="26"/>
      <c r="F217" s="26"/>
      <c r="G217" s="26"/>
      <c r="H217" s="26"/>
      <c r="I217" s="26"/>
      <c r="J217" s="26"/>
      <c r="K217" s="26"/>
      <c r="L217" s="26"/>
      <c r="M217" s="26"/>
      <c r="N217" s="27"/>
      <c r="O217" s="27"/>
      <c r="P217" s="27"/>
      <c r="Q217" s="27"/>
      <c r="R217" s="27"/>
      <c r="S217" s="27"/>
      <c r="T217" s="27"/>
      <c r="U217" s="26"/>
      <c r="V217" s="26"/>
      <c r="W217" s="26"/>
      <c r="X217" s="26"/>
      <c r="Y217" s="26"/>
      <c r="Z217" s="26"/>
      <c r="AA217" s="26"/>
      <c r="AB217" s="26"/>
      <c r="AC217" s="26"/>
      <c r="AD217" s="26"/>
    </row>
    <row r="218" spans="2:30">
      <c r="B218" s="26"/>
      <c r="C218" s="26"/>
      <c r="D218" s="26"/>
      <c r="E218" s="26"/>
      <c r="F218" s="26"/>
      <c r="G218" s="26"/>
      <c r="H218" s="26"/>
      <c r="I218" s="26"/>
      <c r="J218" s="26"/>
      <c r="K218" s="26"/>
      <c r="L218" s="26"/>
      <c r="M218" s="26"/>
      <c r="N218" s="27"/>
      <c r="O218" s="27"/>
      <c r="P218" s="27"/>
      <c r="Q218" s="27"/>
      <c r="R218" s="27"/>
      <c r="S218" s="27"/>
      <c r="T218" s="27"/>
      <c r="U218" s="26"/>
      <c r="V218" s="26"/>
      <c r="W218" s="26"/>
      <c r="X218" s="26"/>
      <c r="Y218" s="26"/>
      <c r="Z218" s="26"/>
      <c r="AA218" s="26"/>
      <c r="AB218" s="26"/>
      <c r="AC218" s="26"/>
      <c r="AD218" s="26"/>
    </row>
    <row r="219" spans="2:30">
      <c r="B219" s="26"/>
      <c r="C219" s="26"/>
      <c r="D219" s="26"/>
      <c r="E219" s="26"/>
      <c r="F219" s="26"/>
      <c r="G219" s="26"/>
      <c r="H219" s="26"/>
      <c r="I219" s="26"/>
      <c r="J219" s="26"/>
      <c r="K219" s="26"/>
      <c r="L219" s="26"/>
      <c r="M219" s="26"/>
      <c r="N219" s="27"/>
      <c r="O219" s="27"/>
      <c r="P219" s="27"/>
      <c r="Q219" s="27"/>
      <c r="R219" s="27"/>
      <c r="S219" s="27"/>
      <c r="T219" s="27"/>
      <c r="U219" s="26"/>
      <c r="V219" s="26"/>
      <c r="W219" s="26"/>
      <c r="X219" s="26"/>
      <c r="Y219" s="26"/>
      <c r="Z219" s="26"/>
      <c r="AA219" s="26"/>
      <c r="AB219" s="26"/>
      <c r="AC219" s="26"/>
      <c r="AD219" s="26"/>
    </row>
    <row r="220" spans="2:30">
      <c r="B220" s="26"/>
      <c r="C220" s="26"/>
      <c r="D220" s="26"/>
      <c r="E220" s="26"/>
      <c r="F220" s="26"/>
      <c r="G220" s="26"/>
      <c r="H220" s="26"/>
      <c r="I220" s="26"/>
      <c r="J220" s="26"/>
      <c r="K220" s="26"/>
      <c r="L220" s="26"/>
      <c r="M220" s="26"/>
      <c r="N220" s="27"/>
      <c r="O220" s="27"/>
      <c r="P220" s="27"/>
      <c r="Q220" s="27"/>
      <c r="R220" s="27"/>
      <c r="S220" s="27"/>
      <c r="T220" s="27"/>
      <c r="U220" s="26"/>
      <c r="V220" s="26"/>
      <c r="W220" s="26"/>
      <c r="X220" s="26"/>
      <c r="Y220" s="26"/>
      <c r="Z220" s="26"/>
      <c r="AA220" s="26"/>
      <c r="AB220" s="26"/>
      <c r="AC220" s="26"/>
      <c r="AD220" s="26"/>
    </row>
    <row r="221" spans="2:30">
      <c r="B221" s="26"/>
      <c r="C221" s="26"/>
      <c r="D221" s="26"/>
      <c r="E221" s="26"/>
      <c r="F221" s="26"/>
      <c r="G221" s="26"/>
      <c r="H221" s="26"/>
      <c r="I221" s="26"/>
      <c r="J221" s="26"/>
      <c r="K221" s="26"/>
      <c r="L221" s="26"/>
      <c r="M221" s="26"/>
      <c r="N221" s="27"/>
      <c r="O221" s="27"/>
      <c r="P221" s="27"/>
      <c r="Q221" s="27"/>
      <c r="R221" s="27"/>
      <c r="S221" s="27"/>
      <c r="T221" s="27"/>
      <c r="U221" s="26"/>
      <c r="V221" s="26"/>
      <c r="W221" s="26"/>
      <c r="X221" s="26"/>
      <c r="Y221" s="26"/>
      <c r="Z221" s="26"/>
      <c r="AA221" s="26"/>
      <c r="AB221" s="26"/>
      <c r="AC221" s="26"/>
      <c r="AD221" s="26"/>
    </row>
    <row r="222" spans="2:30">
      <c r="B222" s="26"/>
      <c r="C222" s="26"/>
      <c r="D222" s="26"/>
      <c r="E222" s="26"/>
      <c r="F222" s="26"/>
      <c r="G222" s="26"/>
      <c r="H222" s="26"/>
      <c r="I222" s="26"/>
      <c r="J222" s="26"/>
      <c r="K222" s="26"/>
      <c r="L222" s="26"/>
      <c r="M222" s="26"/>
      <c r="N222" s="27"/>
      <c r="O222" s="27"/>
      <c r="P222" s="27"/>
      <c r="Q222" s="27"/>
      <c r="R222" s="27"/>
      <c r="S222" s="27"/>
      <c r="T222" s="27"/>
      <c r="U222" s="26"/>
      <c r="V222" s="26"/>
      <c r="W222" s="26"/>
      <c r="X222" s="26"/>
      <c r="Y222" s="26"/>
      <c r="Z222" s="26"/>
      <c r="AA222" s="26"/>
      <c r="AB222" s="26"/>
      <c r="AC222" s="26"/>
      <c r="AD222" s="26"/>
    </row>
    <row r="223" spans="2:30">
      <c r="B223" s="26"/>
      <c r="C223" s="26"/>
      <c r="D223" s="26"/>
      <c r="E223" s="26"/>
      <c r="F223" s="26"/>
      <c r="G223" s="26"/>
      <c r="H223" s="26"/>
      <c r="I223" s="26"/>
      <c r="J223" s="26"/>
      <c r="K223" s="26"/>
      <c r="L223" s="26"/>
      <c r="M223" s="26"/>
      <c r="N223" s="27"/>
      <c r="O223" s="27"/>
      <c r="P223" s="27"/>
      <c r="Q223" s="27"/>
      <c r="R223" s="27"/>
      <c r="S223" s="27"/>
      <c r="T223" s="27"/>
      <c r="U223" s="26"/>
      <c r="V223" s="26"/>
      <c r="W223" s="26"/>
      <c r="X223" s="26"/>
      <c r="Y223" s="26"/>
      <c r="Z223" s="26"/>
      <c r="AA223" s="26"/>
      <c r="AB223" s="26"/>
      <c r="AC223" s="26"/>
      <c r="AD223" s="26"/>
    </row>
    <row r="224" spans="2:30">
      <c r="B224" s="26"/>
      <c r="C224" s="26"/>
      <c r="D224" s="26"/>
      <c r="E224" s="26"/>
      <c r="F224" s="26"/>
      <c r="G224" s="26"/>
      <c r="H224" s="26"/>
      <c r="I224" s="26"/>
      <c r="J224" s="26"/>
      <c r="K224" s="26"/>
      <c r="L224" s="26"/>
      <c r="M224" s="26"/>
      <c r="N224" s="27"/>
      <c r="O224" s="27"/>
      <c r="P224" s="27"/>
      <c r="Q224" s="27"/>
      <c r="R224" s="27"/>
      <c r="S224" s="27"/>
      <c r="T224" s="27"/>
      <c r="U224" s="26"/>
      <c r="V224" s="26"/>
      <c r="W224" s="26"/>
      <c r="X224" s="26"/>
      <c r="Y224" s="26"/>
      <c r="Z224" s="26"/>
      <c r="AA224" s="26"/>
      <c r="AB224" s="26"/>
      <c r="AC224" s="26"/>
      <c r="AD224" s="26"/>
    </row>
    <row r="225" spans="2:30">
      <c r="B225" s="26"/>
      <c r="C225" s="26"/>
      <c r="D225" s="26"/>
      <c r="E225" s="26"/>
      <c r="F225" s="26"/>
      <c r="G225" s="26"/>
      <c r="H225" s="26"/>
      <c r="I225" s="26"/>
      <c r="J225" s="26"/>
      <c r="K225" s="26"/>
      <c r="L225" s="26"/>
      <c r="M225" s="26"/>
      <c r="N225" s="27"/>
      <c r="O225" s="27"/>
      <c r="P225" s="27"/>
      <c r="Q225" s="27"/>
      <c r="R225" s="27"/>
      <c r="S225" s="27"/>
      <c r="T225" s="27"/>
      <c r="U225" s="26"/>
      <c r="V225" s="26"/>
      <c r="W225" s="26"/>
      <c r="X225" s="26"/>
      <c r="Y225" s="26"/>
      <c r="Z225" s="26"/>
      <c r="AA225" s="26"/>
      <c r="AB225" s="26"/>
      <c r="AC225" s="26"/>
      <c r="AD225" s="26"/>
    </row>
    <row r="226" spans="2:30">
      <c r="B226" s="26"/>
      <c r="C226" s="26"/>
      <c r="D226" s="26"/>
      <c r="E226" s="26"/>
      <c r="F226" s="26"/>
      <c r="G226" s="26"/>
      <c r="H226" s="26"/>
      <c r="I226" s="26"/>
      <c r="J226" s="26"/>
      <c r="K226" s="26"/>
      <c r="L226" s="26"/>
      <c r="M226" s="26"/>
      <c r="N226" s="27"/>
      <c r="O226" s="27"/>
      <c r="P226" s="27"/>
      <c r="Q226" s="27"/>
      <c r="R226" s="27"/>
      <c r="S226" s="27"/>
      <c r="T226" s="27"/>
      <c r="U226" s="26"/>
      <c r="V226" s="26"/>
      <c r="W226" s="26"/>
      <c r="X226" s="26"/>
      <c r="Y226" s="26"/>
      <c r="Z226" s="26"/>
      <c r="AA226" s="26"/>
      <c r="AB226" s="26"/>
      <c r="AC226" s="26"/>
      <c r="AD226" s="26"/>
    </row>
    <row r="227" spans="2:30">
      <c r="B227" s="26"/>
      <c r="C227" s="26"/>
      <c r="D227" s="26"/>
      <c r="E227" s="26"/>
      <c r="F227" s="26"/>
      <c r="G227" s="26"/>
      <c r="H227" s="26"/>
      <c r="I227" s="26"/>
      <c r="J227" s="26"/>
      <c r="K227" s="26"/>
      <c r="L227" s="26"/>
      <c r="M227" s="26"/>
      <c r="N227" s="27"/>
      <c r="O227" s="27"/>
      <c r="P227" s="27"/>
      <c r="Q227" s="27"/>
      <c r="R227" s="27"/>
      <c r="S227" s="27"/>
      <c r="T227" s="27"/>
      <c r="U227" s="26"/>
      <c r="V227" s="26"/>
      <c r="W227" s="26"/>
      <c r="X227" s="26"/>
      <c r="Y227" s="26"/>
      <c r="Z227" s="26"/>
      <c r="AA227" s="26"/>
      <c r="AB227" s="26"/>
      <c r="AC227" s="26"/>
      <c r="AD227" s="26"/>
    </row>
    <row r="228" spans="2:30">
      <c r="B228" s="26"/>
      <c r="C228" s="26"/>
      <c r="D228" s="26"/>
      <c r="E228" s="26"/>
      <c r="F228" s="26"/>
      <c r="G228" s="26"/>
      <c r="H228" s="26"/>
      <c r="I228" s="26"/>
      <c r="J228" s="26"/>
      <c r="K228" s="26"/>
      <c r="L228" s="26"/>
      <c r="M228" s="26"/>
      <c r="N228" s="27"/>
      <c r="O228" s="27"/>
      <c r="P228" s="27"/>
      <c r="Q228" s="27"/>
      <c r="R228" s="27"/>
      <c r="S228" s="27"/>
      <c r="T228" s="27"/>
      <c r="U228" s="26"/>
      <c r="V228" s="26"/>
      <c r="W228" s="26"/>
      <c r="X228" s="26"/>
      <c r="Y228" s="26"/>
      <c r="Z228" s="26"/>
      <c r="AA228" s="26"/>
      <c r="AB228" s="26"/>
      <c r="AC228" s="26"/>
      <c r="AD228" s="26"/>
    </row>
    <row r="229" spans="2:30">
      <c r="B229" s="26"/>
      <c r="C229" s="26"/>
      <c r="D229" s="26"/>
      <c r="E229" s="26"/>
      <c r="F229" s="26"/>
      <c r="G229" s="26"/>
      <c r="H229" s="26"/>
      <c r="I229" s="26"/>
      <c r="J229" s="26"/>
      <c r="K229" s="26"/>
      <c r="L229" s="26"/>
      <c r="M229" s="26"/>
      <c r="N229" s="27"/>
      <c r="O229" s="27"/>
      <c r="P229" s="27"/>
      <c r="Q229" s="27"/>
      <c r="R229" s="27"/>
      <c r="S229" s="27"/>
      <c r="T229" s="27"/>
      <c r="U229" s="26"/>
      <c r="V229" s="26"/>
      <c r="W229" s="26"/>
      <c r="X229" s="26"/>
      <c r="Y229" s="26"/>
      <c r="Z229" s="26"/>
      <c r="AA229" s="26"/>
      <c r="AB229" s="26"/>
      <c r="AC229" s="26"/>
      <c r="AD229" s="26"/>
    </row>
    <row r="230" spans="2:30">
      <c r="B230" s="26"/>
      <c r="C230" s="26"/>
      <c r="D230" s="26"/>
      <c r="E230" s="26"/>
      <c r="F230" s="26"/>
      <c r="G230" s="26"/>
      <c r="H230" s="26"/>
      <c r="I230" s="26"/>
      <c r="J230" s="26"/>
      <c r="K230" s="26"/>
      <c r="L230" s="26"/>
      <c r="M230" s="26"/>
      <c r="N230" s="27"/>
      <c r="O230" s="27"/>
      <c r="P230" s="27"/>
      <c r="Q230" s="27"/>
      <c r="R230" s="27"/>
      <c r="S230" s="27"/>
      <c r="T230" s="27"/>
      <c r="U230" s="26"/>
      <c r="V230" s="26"/>
      <c r="W230" s="26"/>
      <c r="X230" s="26"/>
      <c r="Y230" s="26"/>
      <c r="Z230" s="26"/>
      <c r="AA230" s="26"/>
      <c r="AB230" s="26"/>
      <c r="AC230" s="26"/>
      <c r="AD230" s="26"/>
    </row>
    <row r="231" spans="2:30">
      <c r="B231" s="26"/>
      <c r="C231" s="26"/>
      <c r="D231" s="26"/>
      <c r="E231" s="26"/>
      <c r="F231" s="26"/>
      <c r="G231" s="26"/>
      <c r="H231" s="26"/>
      <c r="I231" s="26"/>
      <c r="J231" s="26"/>
      <c r="K231" s="26"/>
      <c r="L231" s="26"/>
      <c r="M231" s="26"/>
      <c r="N231" s="27"/>
      <c r="O231" s="27"/>
      <c r="P231" s="27"/>
      <c r="Q231" s="27"/>
      <c r="R231" s="27"/>
      <c r="S231" s="27"/>
      <c r="T231" s="27"/>
      <c r="U231" s="26"/>
      <c r="V231" s="26"/>
      <c r="W231" s="26"/>
      <c r="X231" s="26"/>
      <c r="Y231" s="26"/>
      <c r="Z231" s="26"/>
      <c r="AA231" s="26"/>
      <c r="AB231" s="26"/>
      <c r="AC231" s="26"/>
      <c r="AD231" s="26"/>
    </row>
    <row r="232" spans="2:30">
      <c r="B232" s="26"/>
      <c r="C232" s="26"/>
      <c r="D232" s="26"/>
      <c r="E232" s="26"/>
      <c r="F232" s="26"/>
      <c r="G232" s="26"/>
      <c r="H232" s="26"/>
      <c r="I232" s="26"/>
      <c r="J232" s="26"/>
      <c r="K232" s="26"/>
      <c r="L232" s="26"/>
      <c r="M232" s="26"/>
      <c r="N232" s="27"/>
      <c r="O232" s="27"/>
      <c r="P232" s="27"/>
      <c r="Q232" s="27"/>
      <c r="R232" s="27"/>
      <c r="S232" s="27"/>
      <c r="T232" s="27"/>
      <c r="U232" s="26"/>
      <c r="V232" s="26"/>
      <c r="W232" s="26"/>
      <c r="X232" s="26"/>
      <c r="Y232" s="26"/>
      <c r="Z232" s="26"/>
      <c r="AA232" s="26"/>
      <c r="AB232" s="26"/>
      <c r="AC232" s="26"/>
      <c r="AD232" s="26"/>
    </row>
    <row r="233" spans="2:30">
      <c r="B233" s="26"/>
      <c r="C233" s="26"/>
      <c r="D233" s="26"/>
      <c r="E233" s="26"/>
      <c r="F233" s="26"/>
      <c r="G233" s="26"/>
      <c r="H233" s="26"/>
      <c r="I233" s="26"/>
      <c r="J233" s="26"/>
      <c r="K233" s="26"/>
      <c r="L233" s="26"/>
      <c r="M233" s="26"/>
      <c r="N233" s="27"/>
      <c r="O233" s="27"/>
      <c r="P233" s="27"/>
      <c r="Q233" s="27"/>
      <c r="R233" s="27"/>
      <c r="S233" s="27"/>
      <c r="T233" s="27"/>
      <c r="U233" s="26"/>
      <c r="V233" s="26"/>
      <c r="W233" s="26"/>
      <c r="X233" s="26"/>
      <c r="Y233" s="26"/>
      <c r="Z233" s="26"/>
      <c r="AA233" s="26"/>
      <c r="AB233" s="26"/>
      <c r="AC233" s="26"/>
      <c r="AD233" s="26"/>
    </row>
    <row r="234" spans="2:30">
      <c r="B234" s="26"/>
      <c r="C234" s="26"/>
      <c r="D234" s="26"/>
      <c r="E234" s="26"/>
      <c r="F234" s="26"/>
      <c r="G234" s="26"/>
      <c r="H234" s="26"/>
      <c r="I234" s="26"/>
      <c r="J234" s="26"/>
      <c r="K234" s="26"/>
      <c r="L234" s="26"/>
      <c r="M234" s="26"/>
      <c r="N234" s="27"/>
      <c r="O234" s="27"/>
      <c r="P234" s="27"/>
      <c r="Q234" s="27"/>
      <c r="R234" s="27"/>
      <c r="S234" s="27"/>
      <c r="T234" s="27"/>
      <c r="U234" s="26"/>
      <c r="V234" s="26"/>
      <c r="W234" s="26"/>
      <c r="X234" s="26"/>
      <c r="Y234" s="26"/>
      <c r="Z234" s="26"/>
      <c r="AA234" s="26"/>
      <c r="AB234" s="26"/>
      <c r="AC234" s="26"/>
      <c r="AD234" s="26"/>
    </row>
    <row r="235" spans="2:30">
      <c r="B235" s="26"/>
      <c r="C235" s="26"/>
      <c r="D235" s="26"/>
      <c r="E235" s="26"/>
      <c r="F235" s="26"/>
      <c r="G235" s="26"/>
      <c r="H235" s="26"/>
      <c r="I235" s="26"/>
      <c r="J235" s="26"/>
      <c r="K235" s="26"/>
      <c r="L235" s="26"/>
      <c r="M235" s="26"/>
      <c r="N235" s="27"/>
      <c r="O235" s="27"/>
      <c r="P235" s="27"/>
      <c r="Q235" s="27"/>
      <c r="R235" s="27"/>
      <c r="S235" s="27"/>
      <c r="T235" s="27"/>
      <c r="U235" s="26"/>
      <c r="V235" s="26"/>
      <c r="W235" s="26"/>
      <c r="X235" s="26"/>
      <c r="Y235" s="26"/>
      <c r="Z235" s="26"/>
      <c r="AA235" s="26"/>
      <c r="AB235" s="26"/>
      <c r="AC235" s="26"/>
      <c r="AD235" s="26"/>
    </row>
    <row r="236" spans="2:30">
      <c r="B236" s="26"/>
      <c r="C236" s="26"/>
      <c r="D236" s="26"/>
      <c r="E236" s="26"/>
      <c r="F236" s="26"/>
      <c r="G236" s="26"/>
      <c r="H236" s="26"/>
      <c r="I236" s="26"/>
      <c r="J236" s="26"/>
      <c r="K236" s="26"/>
      <c r="L236" s="26"/>
      <c r="M236" s="26"/>
      <c r="N236" s="27"/>
      <c r="O236" s="27"/>
      <c r="P236" s="27"/>
      <c r="Q236" s="27"/>
      <c r="R236" s="27"/>
      <c r="S236" s="27"/>
      <c r="T236" s="27"/>
      <c r="U236" s="26"/>
      <c r="V236" s="26"/>
      <c r="W236" s="26"/>
      <c r="X236" s="26"/>
      <c r="Y236" s="26"/>
      <c r="Z236" s="26"/>
      <c r="AA236" s="26"/>
      <c r="AB236" s="26"/>
      <c r="AC236" s="26"/>
      <c r="AD236" s="26"/>
    </row>
    <row r="237" spans="2:30">
      <c r="B237" s="26"/>
      <c r="C237" s="26"/>
      <c r="D237" s="26"/>
      <c r="E237" s="26"/>
      <c r="F237" s="26"/>
      <c r="G237" s="26"/>
      <c r="H237" s="26"/>
      <c r="I237" s="26"/>
      <c r="J237" s="26"/>
      <c r="K237" s="26"/>
      <c r="L237" s="26"/>
      <c r="M237" s="26"/>
      <c r="N237" s="27"/>
      <c r="O237" s="27"/>
      <c r="P237" s="27"/>
      <c r="Q237" s="27"/>
      <c r="R237" s="27"/>
      <c r="S237" s="27"/>
      <c r="T237" s="27"/>
      <c r="U237" s="26"/>
      <c r="V237" s="26"/>
      <c r="W237" s="26"/>
      <c r="X237" s="26"/>
      <c r="Y237" s="26"/>
      <c r="Z237" s="26"/>
      <c r="AA237" s="26"/>
      <c r="AB237" s="26"/>
      <c r="AC237" s="26"/>
      <c r="AD237" s="26"/>
    </row>
    <row r="238" spans="2:30">
      <c r="B238" s="26"/>
      <c r="C238" s="26"/>
      <c r="D238" s="26"/>
      <c r="E238" s="26"/>
      <c r="F238" s="26"/>
      <c r="G238" s="26"/>
      <c r="H238" s="26"/>
      <c r="I238" s="26"/>
      <c r="J238" s="26"/>
      <c r="K238" s="26"/>
      <c r="L238" s="26"/>
      <c r="M238" s="26"/>
      <c r="N238" s="27"/>
      <c r="O238" s="27"/>
      <c r="P238" s="27"/>
      <c r="Q238" s="27"/>
      <c r="R238" s="27"/>
      <c r="S238" s="27"/>
      <c r="T238" s="27"/>
      <c r="U238" s="26"/>
      <c r="V238" s="26"/>
      <c r="W238" s="26"/>
      <c r="X238" s="26"/>
      <c r="Y238" s="26"/>
      <c r="Z238" s="26"/>
      <c r="AA238" s="26"/>
      <c r="AB238" s="26"/>
      <c r="AC238" s="26"/>
      <c r="AD238" s="26"/>
    </row>
    <row r="239" spans="2:30">
      <c r="B239" s="26"/>
      <c r="C239" s="26"/>
      <c r="D239" s="26"/>
      <c r="E239" s="26"/>
      <c r="F239" s="26"/>
      <c r="G239" s="26"/>
      <c r="H239" s="26"/>
      <c r="I239" s="26"/>
      <c r="J239" s="26"/>
      <c r="K239" s="26"/>
      <c r="L239" s="26"/>
      <c r="M239" s="26"/>
      <c r="N239" s="27"/>
      <c r="O239" s="27"/>
      <c r="P239" s="27"/>
      <c r="Q239" s="27"/>
      <c r="R239" s="27"/>
      <c r="S239" s="27"/>
      <c r="T239" s="27"/>
      <c r="U239" s="26"/>
      <c r="V239" s="26"/>
      <c r="W239" s="26"/>
      <c r="X239" s="26"/>
      <c r="Y239" s="26"/>
      <c r="Z239" s="26"/>
      <c r="AA239" s="26"/>
      <c r="AB239" s="26"/>
      <c r="AC239" s="26"/>
      <c r="AD239" s="26"/>
    </row>
    <row r="240" spans="2:30">
      <c r="B240" s="26"/>
      <c r="C240" s="26"/>
      <c r="D240" s="26"/>
      <c r="E240" s="26"/>
      <c r="F240" s="26"/>
      <c r="G240" s="26"/>
      <c r="H240" s="26"/>
      <c r="I240" s="26"/>
      <c r="J240" s="26"/>
      <c r="K240" s="26"/>
      <c r="L240" s="26"/>
      <c r="M240" s="26"/>
      <c r="N240" s="27"/>
      <c r="O240" s="27"/>
      <c r="P240" s="27"/>
      <c r="Q240" s="27"/>
      <c r="R240" s="27"/>
      <c r="S240" s="27"/>
      <c r="T240" s="27"/>
      <c r="U240" s="26"/>
      <c r="V240" s="26"/>
      <c r="W240" s="26"/>
      <c r="X240" s="26"/>
      <c r="Y240" s="26"/>
      <c r="Z240" s="26"/>
      <c r="AA240" s="26"/>
      <c r="AB240" s="26"/>
      <c r="AC240" s="26"/>
      <c r="AD240" s="26"/>
    </row>
    <row r="241" spans="2:30">
      <c r="B241" s="26"/>
      <c r="C241" s="26"/>
      <c r="D241" s="26"/>
      <c r="E241" s="26"/>
      <c r="F241" s="26"/>
      <c r="G241" s="26"/>
      <c r="H241" s="26"/>
      <c r="I241" s="26"/>
      <c r="J241" s="26"/>
      <c r="K241" s="26"/>
      <c r="L241" s="26"/>
      <c r="M241" s="26"/>
      <c r="N241" s="27"/>
      <c r="O241" s="27"/>
      <c r="P241" s="27"/>
      <c r="Q241" s="27"/>
      <c r="R241" s="27"/>
      <c r="S241" s="27"/>
      <c r="T241" s="27"/>
      <c r="U241" s="26"/>
      <c r="V241" s="26"/>
      <c r="W241" s="26"/>
      <c r="X241" s="26"/>
      <c r="Y241" s="26"/>
      <c r="Z241" s="26"/>
      <c r="AA241" s="26"/>
      <c r="AB241" s="26"/>
      <c r="AC241" s="26"/>
      <c r="AD241" s="26"/>
    </row>
    <row r="242" spans="2:30">
      <c r="B242" s="26"/>
      <c r="C242" s="26"/>
      <c r="D242" s="26"/>
      <c r="E242" s="26"/>
      <c r="F242" s="26"/>
      <c r="G242" s="26"/>
      <c r="H242" s="26"/>
      <c r="I242" s="26"/>
      <c r="J242" s="26"/>
      <c r="K242" s="26"/>
      <c r="L242" s="26"/>
      <c r="M242" s="26"/>
      <c r="N242" s="27"/>
      <c r="O242" s="27"/>
      <c r="P242" s="27"/>
      <c r="Q242" s="27"/>
      <c r="R242" s="27"/>
      <c r="S242" s="27"/>
      <c r="T242" s="27"/>
      <c r="U242" s="26"/>
      <c r="V242" s="26"/>
      <c r="W242" s="26"/>
      <c r="X242" s="26"/>
      <c r="Y242" s="26"/>
      <c r="Z242" s="26"/>
      <c r="AA242" s="26"/>
      <c r="AB242" s="26"/>
      <c r="AC242" s="26"/>
      <c r="AD242" s="26"/>
    </row>
    <row r="243" spans="2:30">
      <c r="B243" s="26"/>
      <c r="C243" s="26"/>
      <c r="D243" s="26"/>
      <c r="E243" s="26"/>
      <c r="F243" s="26"/>
      <c r="G243" s="26"/>
      <c r="H243" s="26"/>
      <c r="I243" s="26"/>
      <c r="J243" s="26"/>
      <c r="K243" s="26"/>
      <c r="L243" s="26"/>
      <c r="M243" s="26"/>
      <c r="N243" s="27"/>
      <c r="O243" s="27"/>
      <c r="P243" s="27"/>
      <c r="Q243" s="27"/>
      <c r="R243" s="27"/>
      <c r="S243" s="27"/>
      <c r="T243" s="27"/>
      <c r="U243" s="26"/>
      <c r="V243" s="26"/>
      <c r="W243" s="26"/>
      <c r="X243" s="26"/>
      <c r="Y243" s="26"/>
      <c r="Z243" s="26"/>
      <c r="AA243" s="26"/>
      <c r="AB243" s="26"/>
      <c r="AC243" s="26"/>
      <c r="AD243" s="26"/>
    </row>
    <row r="244" spans="2:30">
      <c r="B244" s="26"/>
      <c r="C244" s="26"/>
      <c r="D244" s="26"/>
      <c r="E244" s="26"/>
      <c r="F244" s="26"/>
      <c r="G244" s="26"/>
      <c r="H244" s="26"/>
      <c r="I244" s="26"/>
      <c r="J244" s="26"/>
      <c r="K244" s="26"/>
      <c r="L244" s="26"/>
      <c r="M244" s="26"/>
      <c r="N244" s="27"/>
      <c r="O244" s="27"/>
      <c r="P244" s="27"/>
      <c r="Q244" s="27"/>
      <c r="R244" s="27"/>
      <c r="S244" s="27"/>
      <c r="T244" s="27"/>
      <c r="U244" s="26"/>
      <c r="V244" s="26"/>
      <c r="W244" s="26"/>
      <c r="X244" s="26"/>
      <c r="Y244" s="26"/>
      <c r="Z244" s="26"/>
      <c r="AA244" s="26"/>
      <c r="AB244" s="26"/>
      <c r="AC244" s="26"/>
      <c r="AD244" s="26"/>
    </row>
    <row r="245" spans="2:30">
      <c r="B245" s="26"/>
      <c r="C245" s="26"/>
      <c r="D245" s="26"/>
      <c r="E245" s="26"/>
      <c r="F245" s="26"/>
      <c r="G245" s="26"/>
      <c r="H245" s="26"/>
      <c r="I245" s="26"/>
      <c r="J245" s="26"/>
      <c r="K245" s="26"/>
      <c r="L245" s="26"/>
      <c r="M245" s="26"/>
      <c r="N245" s="27"/>
      <c r="O245" s="27"/>
      <c r="P245" s="27"/>
      <c r="Q245" s="27"/>
      <c r="R245" s="27"/>
      <c r="S245" s="27"/>
      <c r="T245" s="27"/>
      <c r="U245" s="26"/>
      <c r="V245" s="26"/>
      <c r="W245" s="26"/>
      <c r="X245" s="26"/>
      <c r="Y245" s="26"/>
      <c r="Z245" s="26"/>
      <c r="AA245" s="26"/>
      <c r="AB245" s="26"/>
      <c r="AC245" s="26"/>
      <c r="AD245" s="26"/>
    </row>
    <row r="246" spans="2:30">
      <c r="B246" s="26"/>
      <c r="C246" s="26"/>
      <c r="D246" s="26"/>
      <c r="E246" s="26"/>
      <c r="F246" s="26"/>
      <c r="G246" s="26"/>
      <c r="H246" s="26"/>
      <c r="I246" s="26"/>
      <c r="J246" s="26"/>
      <c r="K246" s="26"/>
      <c r="L246" s="26"/>
      <c r="M246" s="26"/>
      <c r="N246" s="27"/>
      <c r="O246" s="27"/>
      <c r="P246" s="27"/>
      <c r="Q246" s="27"/>
      <c r="R246" s="27"/>
      <c r="S246" s="27"/>
      <c r="T246" s="27"/>
      <c r="U246" s="26"/>
      <c r="V246" s="26"/>
      <c r="W246" s="26"/>
      <c r="X246" s="26"/>
      <c r="Y246" s="26"/>
      <c r="Z246" s="26"/>
      <c r="AA246" s="26"/>
      <c r="AB246" s="26"/>
      <c r="AC246" s="26"/>
      <c r="AD246" s="26"/>
    </row>
    <row r="247" spans="2:30">
      <c r="B247" s="26"/>
      <c r="C247" s="26"/>
      <c r="D247" s="26"/>
      <c r="E247" s="26"/>
      <c r="F247" s="26"/>
      <c r="G247" s="26"/>
      <c r="H247" s="26"/>
      <c r="I247" s="26"/>
      <c r="J247" s="26"/>
      <c r="K247" s="26"/>
      <c r="L247" s="26"/>
      <c r="M247" s="26"/>
      <c r="N247" s="27"/>
      <c r="O247" s="27"/>
      <c r="P247" s="27"/>
      <c r="Q247" s="27"/>
      <c r="R247" s="27"/>
      <c r="S247" s="27"/>
      <c r="T247" s="27"/>
      <c r="U247" s="26"/>
      <c r="V247" s="26"/>
      <c r="W247" s="26"/>
      <c r="X247" s="26"/>
      <c r="Y247" s="26"/>
      <c r="Z247" s="26"/>
      <c r="AA247" s="26"/>
      <c r="AB247" s="26"/>
      <c r="AC247" s="26"/>
      <c r="AD247" s="26"/>
    </row>
    <row r="248" spans="2:30">
      <c r="B248" s="26"/>
      <c r="C248" s="26"/>
      <c r="D248" s="26"/>
      <c r="E248" s="26"/>
      <c r="F248" s="26"/>
      <c r="G248" s="26"/>
      <c r="H248" s="26"/>
      <c r="I248" s="26"/>
      <c r="J248" s="26"/>
      <c r="K248" s="26"/>
      <c r="L248" s="26"/>
      <c r="M248" s="26"/>
      <c r="N248" s="27"/>
      <c r="O248" s="27"/>
      <c r="P248" s="27"/>
      <c r="Q248" s="27"/>
      <c r="R248" s="27"/>
      <c r="S248" s="27"/>
      <c r="T248" s="27"/>
      <c r="U248" s="26"/>
      <c r="V248" s="26"/>
      <c r="W248" s="26"/>
      <c r="X248" s="26"/>
      <c r="Y248" s="26"/>
      <c r="Z248" s="26"/>
      <c r="AA248" s="26"/>
      <c r="AB248" s="26"/>
      <c r="AC248" s="26"/>
      <c r="AD248" s="26"/>
    </row>
    <row r="249" spans="2:30">
      <c r="B249" s="26"/>
      <c r="C249" s="26"/>
      <c r="D249" s="26"/>
      <c r="E249" s="26"/>
      <c r="F249" s="26"/>
      <c r="G249" s="26"/>
      <c r="H249" s="26"/>
      <c r="I249" s="26"/>
      <c r="J249" s="26"/>
      <c r="K249" s="26"/>
      <c r="L249" s="26"/>
      <c r="M249" s="26"/>
      <c r="N249" s="27"/>
      <c r="O249" s="27"/>
      <c r="P249" s="27"/>
      <c r="Q249" s="27"/>
      <c r="R249" s="27"/>
      <c r="S249" s="27"/>
      <c r="T249" s="27"/>
      <c r="U249" s="26"/>
      <c r="V249" s="26"/>
      <c r="W249" s="26"/>
      <c r="X249" s="26"/>
      <c r="Y249" s="26"/>
      <c r="Z249" s="26"/>
      <c r="AA249" s="26"/>
      <c r="AB249" s="26"/>
      <c r="AC249" s="26"/>
      <c r="AD249" s="26"/>
    </row>
    <row r="250" spans="2:30">
      <c r="B250" s="26"/>
      <c r="C250" s="26"/>
      <c r="D250" s="26"/>
      <c r="E250" s="26"/>
      <c r="F250" s="26"/>
      <c r="G250" s="26"/>
      <c r="H250" s="26"/>
      <c r="I250" s="26"/>
      <c r="J250" s="26"/>
      <c r="K250" s="26"/>
      <c r="L250" s="26"/>
      <c r="M250" s="26"/>
      <c r="N250" s="27"/>
      <c r="O250" s="27"/>
      <c r="P250" s="27"/>
      <c r="Q250" s="27"/>
      <c r="R250" s="27"/>
      <c r="S250" s="27"/>
      <c r="T250" s="27"/>
      <c r="U250" s="26"/>
      <c r="V250" s="26"/>
      <c r="W250" s="26"/>
      <c r="X250" s="26"/>
      <c r="Y250" s="26"/>
      <c r="Z250" s="26"/>
      <c r="AA250" s="26"/>
      <c r="AB250" s="26"/>
      <c r="AC250" s="26"/>
      <c r="AD250" s="26"/>
    </row>
    <row r="251" spans="2:30">
      <c r="B251" s="26"/>
      <c r="C251" s="26"/>
      <c r="D251" s="26"/>
      <c r="E251" s="26"/>
      <c r="F251" s="26"/>
      <c r="G251" s="26"/>
      <c r="H251" s="26"/>
      <c r="I251" s="26"/>
      <c r="J251" s="26"/>
      <c r="K251" s="26"/>
      <c r="L251" s="26"/>
      <c r="M251" s="26"/>
      <c r="N251" s="27"/>
      <c r="O251" s="27"/>
      <c r="P251" s="27"/>
      <c r="Q251" s="27"/>
      <c r="R251" s="27"/>
      <c r="S251" s="27"/>
      <c r="T251" s="27"/>
      <c r="U251" s="26"/>
      <c r="V251" s="26"/>
      <c r="W251" s="26"/>
      <c r="X251" s="26"/>
      <c r="Y251" s="26"/>
      <c r="Z251" s="26"/>
      <c r="AA251" s="26"/>
      <c r="AB251" s="26"/>
      <c r="AC251" s="26"/>
      <c r="AD251" s="26"/>
    </row>
    <row r="252" spans="2:30">
      <c r="B252" s="26"/>
      <c r="C252" s="26"/>
      <c r="D252" s="26"/>
      <c r="E252" s="26"/>
      <c r="F252" s="26"/>
      <c r="G252" s="26"/>
      <c r="H252" s="26"/>
      <c r="I252" s="26"/>
      <c r="J252" s="26"/>
      <c r="K252" s="26"/>
      <c r="L252" s="26"/>
      <c r="M252" s="26"/>
      <c r="N252" s="27"/>
      <c r="O252" s="27"/>
      <c r="P252" s="27"/>
      <c r="Q252" s="27"/>
      <c r="R252" s="27"/>
      <c r="S252" s="27"/>
      <c r="T252" s="27"/>
      <c r="U252" s="26"/>
      <c r="V252" s="26"/>
      <c r="W252" s="26"/>
      <c r="X252" s="26"/>
      <c r="Y252" s="26"/>
      <c r="Z252" s="26"/>
      <c r="AA252" s="26"/>
      <c r="AB252" s="26"/>
      <c r="AC252" s="26"/>
      <c r="AD252" s="26"/>
    </row>
    <row r="253" spans="2:30">
      <c r="B253" s="26"/>
      <c r="C253" s="26"/>
      <c r="D253" s="26"/>
      <c r="E253" s="26"/>
      <c r="F253" s="26"/>
      <c r="G253" s="26"/>
      <c r="H253" s="26"/>
      <c r="I253" s="26"/>
      <c r="J253" s="26"/>
      <c r="K253" s="26"/>
      <c r="L253" s="26"/>
      <c r="M253" s="26"/>
      <c r="N253" s="27"/>
      <c r="O253" s="27"/>
      <c r="P253" s="27"/>
      <c r="Q253" s="27"/>
      <c r="R253" s="27"/>
      <c r="S253" s="27"/>
      <c r="T253" s="27"/>
      <c r="U253" s="26"/>
      <c r="V253" s="26"/>
      <c r="W253" s="26"/>
      <c r="X253" s="26"/>
      <c r="Y253" s="26"/>
      <c r="Z253" s="26"/>
      <c r="AA253" s="26"/>
      <c r="AB253" s="26"/>
      <c r="AC253" s="26"/>
      <c r="AD253" s="26"/>
    </row>
    <row r="254" spans="2:30">
      <c r="B254" s="26"/>
      <c r="C254" s="26"/>
      <c r="D254" s="26"/>
      <c r="E254" s="26"/>
      <c r="F254" s="26"/>
      <c r="G254" s="26"/>
      <c r="H254" s="26"/>
      <c r="I254" s="26"/>
      <c r="J254" s="26"/>
      <c r="K254" s="26"/>
      <c r="L254" s="26"/>
      <c r="M254" s="26"/>
      <c r="N254" s="27"/>
      <c r="O254" s="27"/>
      <c r="P254" s="27"/>
      <c r="Q254" s="27"/>
      <c r="R254" s="27"/>
      <c r="S254" s="27"/>
      <c r="T254" s="27"/>
      <c r="U254" s="26"/>
      <c r="V254" s="26"/>
      <c r="W254" s="26"/>
      <c r="X254" s="26"/>
      <c r="Y254" s="26"/>
      <c r="Z254" s="26"/>
      <c r="AA254" s="26"/>
      <c r="AB254" s="26"/>
      <c r="AC254" s="26"/>
      <c r="AD254" s="26"/>
    </row>
    <row r="255" spans="2:30">
      <c r="B255" s="26"/>
      <c r="C255" s="26"/>
      <c r="D255" s="26"/>
      <c r="E255" s="26"/>
      <c r="F255" s="26"/>
      <c r="G255" s="26"/>
      <c r="H255" s="26"/>
      <c r="I255" s="26"/>
      <c r="J255" s="26"/>
      <c r="K255" s="26"/>
      <c r="L255" s="26"/>
      <c r="M255" s="26"/>
      <c r="N255" s="27"/>
      <c r="O255" s="27"/>
      <c r="P255" s="27"/>
      <c r="Q255" s="27"/>
      <c r="R255" s="27"/>
      <c r="S255" s="27"/>
      <c r="T255" s="27"/>
      <c r="U255" s="26"/>
      <c r="V255" s="26"/>
      <c r="W255" s="26"/>
      <c r="X255" s="26"/>
      <c r="Y255" s="26"/>
      <c r="Z255" s="26"/>
      <c r="AA255" s="26"/>
      <c r="AB255" s="26"/>
      <c r="AC255" s="26"/>
      <c r="AD255" s="26"/>
    </row>
    <row r="256" spans="2:30">
      <c r="B256" s="26"/>
      <c r="C256" s="26"/>
      <c r="D256" s="26"/>
      <c r="E256" s="26"/>
      <c r="F256" s="26"/>
      <c r="G256" s="26"/>
      <c r="H256" s="26"/>
      <c r="I256" s="26"/>
      <c r="J256" s="26"/>
      <c r="K256" s="26"/>
      <c r="L256" s="26"/>
      <c r="M256" s="26"/>
      <c r="N256" s="27"/>
      <c r="O256" s="27"/>
      <c r="P256" s="27"/>
      <c r="Q256" s="27"/>
      <c r="R256" s="27"/>
      <c r="S256" s="27"/>
      <c r="T256" s="27"/>
      <c r="U256" s="26"/>
      <c r="V256" s="26"/>
      <c r="W256" s="26"/>
      <c r="X256" s="26"/>
      <c r="Y256" s="26"/>
      <c r="Z256" s="26"/>
      <c r="AA256" s="26"/>
      <c r="AB256" s="26"/>
      <c r="AC256" s="26"/>
      <c r="AD256" s="26"/>
    </row>
    <row r="257" spans="2:30">
      <c r="B257" s="26"/>
      <c r="C257" s="26"/>
      <c r="D257" s="26"/>
      <c r="E257" s="26"/>
      <c r="F257" s="26"/>
      <c r="G257" s="26"/>
      <c r="H257" s="26"/>
      <c r="I257" s="26"/>
      <c r="J257" s="26"/>
      <c r="K257" s="26"/>
      <c r="L257" s="26"/>
      <c r="M257" s="26"/>
      <c r="N257" s="27"/>
      <c r="O257" s="27"/>
      <c r="P257" s="27"/>
      <c r="Q257" s="27"/>
      <c r="R257" s="27"/>
      <c r="S257" s="27"/>
      <c r="T257" s="27"/>
      <c r="U257" s="26"/>
      <c r="V257" s="26"/>
      <c r="W257" s="26"/>
      <c r="X257" s="26"/>
      <c r="Y257" s="26"/>
      <c r="Z257" s="26"/>
      <c r="AA257" s="26"/>
      <c r="AB257" s="26"/>
      <c r="AC257" s="26"/>
      <c r="AD257" s="26"/>
    </row>
    <row r="258" spans="2:30">
      <c r="B258" s="26"/>
      <c r="C258" s="26"/>
      <c r="D258" s="26"/>
      <c r="E258" s="26"/>
      <c r="F258" s="26"/>
      <c r="G258" s="26"/>
      <c r="H258" s="26"/>
      <c r="I258" s="26"/>
      <c r="J258" s="26"/>
      <c r="K258" s="26"/>
      <c r="L258" s="26"/>
      <c r="M258" s="26"/>
      <c r="N258" s="27"/>
      <c r="O258" s="27"/>
      <c r="P258" s="27"/>
      <c r="Q258" s="27"/>
      <c r="R258" s="27"/>
      <c r="S258" s="27"/>
      <c r="T258" s="27"/>
      <c r="U258" s="26"/>
      <c r="V258" s="26"/>
      <c r="W258" s="26"/>
      <c r="X258" s="26"/>
      <c r="Y258" s="26"/>
      <c r="Z258" s="26"/>
      <c r="AA258" s="26"/>
      <c r="AB258" s="26"/>
      <c r="AC258" s="26"/>
      <c r="AD258" s="26"/>
    </row>
    <row r="259" spans="2:30">
      <c r="B259" s="26"/>
      <c r="C259" s="26"/>
      <c r="D259" s="26"/>
      <c r="E259" s="26"/>
      <c r="F259" s="26"/>
      <c r="G259" s="26"/>
      <c r="H259" s="26"/>
      <c r="I259" s="26"/>
      <c r="J259" s="26"/>
      <c r="K259" s="26"/>
      <c r="L259" s="26"/>
      <c r="M259" s="26"/>
      <c r="N259" s="27"/>
      <c r="O259" s="27"/>
      <c r="P259" s="27"/>
      <c r="Q259" s="27"/>
      <c r="R259" s="27"/>
      <c r="S259" s="27"/>
      <c r="T259" s="27"/>
      <c r="U259" s="26"/>
      <c r="V259" s="26"/>
      <c r="W259" s="26"/>
      <c r="X259" s="26"/>
      <c r="Y259" s="26"/>
      <c r="Z259" s="26"/>
      <c r="AA259" s="26"/>
      <c r="AB259" s="26"/>
      <c r="AC259" s="26"/>
      <c r="AD259" s="26"/>
    </row>
    <row r="260" spans="2:30">
      <c r="B260" s="26"/>
      <c r="C260" s="26"/>
      <c r="D260" s="26"/>
      <c r="E260" s="26"/>
      <c r="F260" s="26"/>
      <c r="G260" s="26"/>
      <c r="H260" s="26"/>
      <c r="I260" s="26"/>
      <c r="J260" s="26"/>
      <c r="K260" s="26"/>
      <c r="L260" s="26"/>
      <c r="M260" s="26"/>
      <c r="N260" s="27"/>
      <c r="O260" s="27"/>
      <c r="P260" s="27"/>
      <c r="Q260" s="27"/>
      <c r="R260" s="27"/>
      <c r="S260" s="27"/>
      <c r="T260" s="27"/>
      <c r="U260" s="26"/>
      <c r="V260" s="26"/>
      <c r="W260" s="26"/>
      <c r="X260" s="26"/>
      <c r="Y260" s="26"/>
      <c r="Z260" s="26"/>
      <c r="AA260" s="26"/>
      <c r="AB260" s="26"/>
      <c r="AC260" s="26"/>
      <c r="AD260" s="26"/>
    </row>
    <row r="261" spans="2:30">
      <c r="B261" s="26"/>
      <c r="C261" s="26"/>
      <c r="D261" s="26"/>
      <c r="E261" s="26"/>
      <c r="F261" s="26"/>
      <c r="G261" s="26"/>
      <c r="H261" s="26"/>
      <c r="I261" s="26"/>
      <c r="J261" s="26"/>
      <c r="K261" s="26"/>
      <c r="L261" s="26"/>
      <c r="M261" s="26"/>
      <c r="N261" s="27"/>
      <c r="O261" s="27"/>
      <c r="P261" s="27"/>
      <c r="Q261" s="27"/>
      <c r="R261" s="27"/>
      <c r="S261" s="27"/>
      <c r="T261" s="27"/>
      <c r="U261" s="26"/>
      <c r="V261" s="26"/>
      <c r="W261" s="26"/>
      <c r="X261" s="26"/>
      <c r="Y261" s="26"/>
      <c r="Z261" s="26"/>
      <c r="AA261" s="26"/>
      <c r="AB261" s="26"/>
      <c r="AC261" s="26"/>
      <c r="AD261" s="26"/>
    </row>
    <row r="262" spans="2:30">
      <c r="B262" s="26"/>
      <c r="C262" s="26"/>
      <c r="D262" s="26"/>
      <c r="E262" s="26"/>
      <c r="F262" s="26"/>
      <c r="G262" s="26"/>
      <c r="H262" s="26"/>
      <c r="I262" s="26"/>
      <c r="J262" s="26"/>
      <c r="K262" s="26"/>
      <c r="L262" s="26"/>
      <c r="M262" s="26"/>
      <c r="N262" s="27"/>
      <c r="O262" s="27"/>
      <c r="P262" s="27"/>
      <c r="Q262" s="27"/>
      <c r="R262" s="27"/>
      <c r="S262" s="27"/>
      <c r="T262" s="27"/>
      <c r="U262" s="26"/>
      <c r="V262" s="26"/>
      <c r="W262" s="26"/>
      <c r="X262" s="26"/>
      <c r="Y262" s="26"/>
      <c r="Z262" s="26"/>
      <c r="AA262" s="26"/>
      <c r="AB262" s="26"/>
      <c r="AC262" s="26"/>
      <c r="AD262" s="26"/>
    </row>
    <row r="263" spans="2:30">
      <c r="B263" s="26"/>
      <c r="C263" s="26"/>
      <c r="D263" s="26"/>
      <c r="E263" s="26"/>
      <c r="F263" s="26"/>
      <c r="G263" s="26"/>
      <c r="H263" s="26"/>
      <c r="I263" s="26"/>
      <c r="J263" s="26"/>
      <c r="K263" s="26"/>
      <c r="L263" s="26"/>
      <c r="M263" s="26"/>
      <c r="N263" s="27"/>
      <c r="O263" s="27"/>
      <c r="P263" s="27"/>
      <c r="Q263" s="27"/>
      <c r="R263" s="27"/>
      <c r="S263" s="27"/>
      <c r="T263" s="27"/>
      <c r="U263" s="26"/>
      <c r="V263" s="26"/>
      <c r="W263" s="26"/>
      <c r="X263" s="26"/>
      <c r="Y263" s="26"/>
      <c r="Z263" s="26"/>
      <c r="AA263" s="26"/>
      <c r="AB263" s="26"/>
      <c r="AC263" s="26"/>
      <c r="AD263" s="26"/>
    </row>
    <row r="264" spans="2:30">
      <c r="B264" s="26"/>
      <c r="C264" s="26"/>
      <c r="D264" s="26"/>
      <c r="E264" s="26"/>
      <c r="F264" s="26"/>
      <c r="G264" s="26"/>
      <c r="H264" s="26"/>
      <c r="I264" s="26"/>
      <c r="J264" s="26"/>
      <c r="K264" s="26"/>
      <c r="L264" s="26"/>
      <c r="M264" s="26"/>
      <c r="N264" s="27"/>
      <c r="O264" s="27"/>
      <c r="P264" s="27"/>
      <c r="Q264" s="27"/>
      <c r="R264" s="27"/>
      <c r="S264" s="27"/>
      <c r="T264" s="27"/>
      <c r="U264" s="26"/>
      <c r="V264" s="26"/>
      <c r="W264" s="26"/>
      <c r="X264" s="26"/>
      <c r="Y264" s="26"/>
      <c r="Z264" s="26"/>
      <c r="AA264" s="26"/>
      <c r="AB264" s="26"/>
      <c r="AC264" s="26"/>
      <c r="AD264" s="26"/>
    </row>
    <row r="265" spans="2:30">
      <c r="B265" s="26"/>
      <c r="C265" s="26"/>
      <c r="D265" s="26"/>
      <c r="E265" s="26"/>
      <c r="F265" s="26"/>
      <c r="G265" s="26"/>
      <c r="H265" s="26"/>
      <c r="I265" s="26"/>
      <c r="J265" s="26"/>
      <c r="K265" s="26"/>
      <c r="L265" s="26"/>
      <c r="M265" s="26"/>
      <c r="N265" s="27"/>
      <c r="O265" s="27"/>
      <c r="P265" s="27"/>
      <c r="Q265" s="27"/>
      <c r="R265" s="27"/>
      <c r="S265" s="27"/>
      <c r="T265" s="27"/>
      <c r="U265" s="26"/>
      <c r="V265" s="26"/>
      <c r="W265" s="26"/>
      <c r="X265" s="26"/>
      <c r="Y265" s="26"/>
      <c r="Z265" s="26"/>
      <c r="AA265" s="26"/>
      <c r="AB265" s="26"/>
      <c r="AC265" s="26"/>
      <c r="AD265" s="26"/>
    </row>
    <row r="266" spans="2:30">
      <c r="B266" s="26"/>
      <c r="C266" s="26"/>
      <c r="D266" s="26"/>
      <c r="E266" s="26"/>
      <c r="F266" s="26"/>
      <c r="G266" s="26"/>
      <c r="H266" s="26"/>
      <c r="I266" s="26"/>
      <c r="J266" s="26"/>
      <c r="K266" s="26"/>
      <c r="L266" s="26"/>
      <c r="M266" s="26"/>
      <c r="N266" s="27"/>
      <c r="O266" s="27"/>
      <c r="P266" s="27"/>
      <c r="Q266" s="27"/>
      <c r="R266" s="27"/>
      <c r="S266" s="27"/>
      <c r="T266" s="27"/>
      <c r="U266" s="26"/>
      <c r="V266" s="26"/>
      <c r="W266" s="26"/>
      <c r="X266" s="26"/>
      <c r="Y266" s="26"/>
      <c r="Z266" s="26"/>
      <c r="AA266" s="26"/>
      <c r="AB266" s="26"/>
      <c r="AC266" s="26"/>
      <c r="AD266" s="26"/>
    </row>
    <row r="267" spans="2:30">
      <c r="B267" s="26"/>
      <c r="C267" s="26"/>
      <c r="D267" s="26"/>
      <c r="E267" s="26"/>
      <c r="F267" s="26"/>
      <c r="G267" s="26"/>
      <c r="H267" s="26"/>
      <c r="I267" s="26"/>
      <c r="J267" s="26"/>
      <c r="K267" s="26"/>
      <c r="L267" s="26"/>
      <c r="M267" s="26"/>
      <c r="N267" s="27"/>
      <c r="O267" s="27"/>
      <c r="P267" s="27"/>
      <c r="Q267" s="27"/>
      <c r="R267" s="27"/>
      <c r="S267" s="27"/>
      <c r="T267" s="27"/>
      <c r="U267" s="26"/>
      <c r="V267" s="26"/>
      <c r="W267" s="26"/>
      <c r="X267" s="26"/>
      <c r="Y267" s="26"/>
      <c r="Z267" s="26"/>
      <c r="AA267" s="26"/>
      <c r="AB267" s="26"/>
      <c r="AC267" s="26"/>
      <c r="AD267" s="26"/>
    </row>
    <row r="268" spans="2:30">
      <c r="B268" s="26"/>
      <c r="C268" s="26"/>
      <c r="D268" s="26"/>
      <c r="E268" s="26"/>
      <c r="F268" s="26"/>
      <c r="G268" s="26"/>
      <c r="H268" s="26"/>
      <c r="I268" s="26"/>
      <c r="J268" s="26"/>
      <c r="K268" s="26"/>
      <c r="L268" s="26"/>
      <c r="M268" s="26"/>
      <c r="N268" s="27"/>
      <c r="O268" s="27"/>
      <c r="P268" s="27"/>
      <c r="Q268" s="27"/>
      <c r="R268" s="27"/>
      <c r="S268" s="27"/>
      <c r="T268" s="27"/>
      <c r="U268" s="26"/>
      <c r="V268" s="26"/>
      <c r="W268" s="26"/>
      <c r="X268" s="26"/>
      <c r="Y268" s="26"/>
      <c r="Z268" s="26"/>
      <c r="AA268" s="26"/>
      <c r="AB268" s="26"/>
      <c r="AC268" s="26"/>
      <c r="AD268" s="26"/>
    </row>
    <row r="269" spans="2:30">
      <c r="B269" s="26"/>
      <c r="C269" s="26"/>
      <c r="D269" s="26"/>
      <c r="E269" s="26"/>
      <c r="F269" s="26"/>
      <c r="G269" s="26"/>
      <c r="H269" s="26"/>
      <c r="I269" s="26"/>
      <c r="J269" s="26"/>
      <c r="K269" s="26"/>
      <c r="L269" s="26"/>
      <c r="M269" s="26"/>
      <c r="N269" s="27"/>
      <c r="O269" s="27"/>
      <c r="P269" s="27"/>
      <c r="Q269" s="27"/>
      <c r="R269" s="27"/>
      <c r="S269" s="27"/>
      <c r="T269" s="27"/>
      <c r="U269" s="26"/>
      <c r="V269" s="26"/>
      <c r="W269" s="26"/>
      <c r="X269" s="26"/>
      <c r="Y269" s="26"/>
      <c r="Z269" s="26"/>
      <c r="AA269" s="26"/>
      <c r="AB269" s="26"/>
      <c r="AC269" s="26"/>
      <c r="AD269" s="26"/>
    </row>
    <row r="270" spans="2:30">
      <c r="B270" s="26"/>
      <c r="C270" s="26"/>
      <c r="D270" s="26"/>
      <c r="E270" s="26"/>
      <c r="F270" s="26"/>
      <c r="G270" s="26"/>
      <c r="H270" s="26"/>
      <c r="I270" s="26"/>
      <c r="J270" s="26"/>
      <c r="K270" s="26"/>
      <c r="L270" s="26"/>
      <c r="M270" s="26"/>
      <c r="N270" s="27"/>
      <c r="O270" s="27"/>
      <c r="P270" s="27"/>
      <c r="Q270" s="27"/>
      <c r="R270" s="27"/>
      <c r="S270" s="27"/>
      <c r="T270" s="27"/>
      <c r="U270" s="26"/>
      <c r="V270" s="26"/>
      <c r="W270" s="26"/>
      <c r="X270" s="26"/>
      <c r="Y270" s="26"/>
      <c r="Z270" s="26"/>
      <c r="AA270" s="26"/>
      <c r="AB270" s="26"/>
      <c r="AC270" s="26"/>
      <c r="AD270" s="26"/>
    </row>
    <row r="271" spans="2:30">
      <c r="B271" s="26"/>
      <c r="C271" s="26"/>
      <c r="D271" s="26"/>
      <c r="E271" s="26"/>
      <c r="F271" s="26"/>
      <c r="G271" s="26"/>
      <c r="H271" s="26"/>
      <c r="I271" s="26"/>
      <c r="J271" s="26"/>
      <c r="K271" s="26"/>
      <c r="L271" s="26"/>
      <c r="M271" s="26"/>
      <c r="N271" s="27"/>
      <c r="O271" s="27"/>
      <c r="P271" s="27"/>
      <c r="Q271" s="27"/>
      <c r="R271" s="27"/>
      <c r="S271" s="27"/>
      <c r="T271" s="27"/>
      <c r="U271" s="26"/>
      <c r="V271" s="26"/>
      <c r="W271" s="26"/>
      <c r="X271" s="26"/>
      <c r="Y271" s="26"/>
      <c r="Z271" s="26"/>
      <c r="AA271" s="26"/>
      <c r="AB271" s="26"/>
      <c r="AC271" s="26"/>
      <c r="AD271" s="26"/>
    </row>
    <row r="272" spans="2:30">
      <c r="B272" s="26"/>
      <c r="C272" s="26"/>
      <c r="D272" s="26"/>
      <c r="E272" s="26"/>
      <c r="F272" s="26"/>
      <c r="G272" s="26"/>
      <c r="H272" s="26"/>
      <c r="I272" s="26"/>
      <c r="J272" s="26"/>
      <c r="K272" s="26"/>
      <c r="L272" s="26"/>
      <c r="M272" s="26"/>
      <c r="N272" s="27"/>
      <c r="O272" s="27"/>
      <c r="P272" s="27"/>
      <c r="Q272" s="27"/>
      <c r="R272" s="27"/>
      <c r="S272" s="27"/>
      <c r="T272" s="27"/>
      <c r="U272" s="26"/>
      <c r="V272" s="26"/>
      <c r="W272" s="26"/>
      <c r="X272" s="26"/>
      <c r="Y272" s="26"/>
      <c r="Z272" s="26"/>
      <c r="AA272" s="26"/>
      <c r="AB272" s="26"/>
      <c r="AC272" s="26"/>
      <c r="AD272" s="26"/>
    </row>
    <row r="273" spans="2:30">
      <c r="B273" s="26"/>
      <c r="C273" s="26"/>
      <c r="D273" s="26"/>
      <c r="E273" s="26"/>
      <c r="F273" s="26"/>
      <c r="G273" s="26"/>
      <c r="H273" s="26"/>
      <c r="I273" s="26"/>
      <c r="J273" s="26"/>
      <c r="K273" s="26"/>
      <c r="L273" s="26"/>
      <c r="M273" s="26"/>
      <c r="N273" s="27"/>
      <c r="O273" s="27"/>
      <c r="P273" s="27"/>
      <c r="Q273" s="27"/>
      <c r="R273" s="27"/>
      <c r="S273" s="27"/>
      <c r="T273" s="27"/>
      <c r="U273" s="26"/>
      <c r="V273" s="26"/>
      <c r="W273" s="26"/>
      <c r="X273" s="26"/>
      <c r="Y273" s="26"/>
      <c r="Z273" s="26"/>
      <c r="AA273" s="26"/>
      <c r="AB273" s="26"/>
      <c r="AC273" s="26"/>
      <c r="AD273" s="26"/>
    </row>
    <row r="274" spans="2:30">
      <c r="B274" s="26"/>
      <c r="C274" s="26"/>
      <c r="D274" s="26"/>
      <c r="E274" s="26"/>
      <c r="F274" s="26"/>
      <c r="G274" s="26"/>
      <c r="H274" s="26"/>
      <c r="I274" s="26"/>
      <c r="J274" s="26"/>
      <c r="K274" s="26"/>
      <c r="L274" s="26"/>
      <c r="M274" s="26"/>
      <c r="N274" s="27"/>
      <c r="O274" s="27"/>
      <c r="P274" s="27"/>
      <c r="Q274" s="27"/>
      <c r="R274" s="27"/>
      <c r="S274" s="27"/>
      <c r="T274" s="27"/>
      <c r="U274" s="26"/>
      <c r="V274" s="26"/>
      <c r="W274" s="26"/>
      <c r="X274" s="26"/>
      <c r="Y274" s="26"/>
      <c r="Z274" s="26"/>
      <c r="AA274" s="26"/>
      <c r="AB274" s="26"/>
      <c r="AC274" s="26"/>
      <c r="AD274" s="26"/>
    </row>
    <row r="275" spans="2:30">
      <c r="B275" s="26"/>
      <c r="C275" s="26"/>
      <c r="D275" s="26"/>
      <c r="E275" s="26"/>
      <c r="F275" s="26"/>
      <c r="G275" s="26"/>
      <c r="H275" s="26"/>
      <c r="I275" s="26"/>
      <c r="J275" s="26"/>
      <c r="K275" s="26"/>
      <c r="L275" s="26"/>
      <c r="M275" s="26"/>
      <c r="N275" s="27"/>
      <c r="O275" s="27"/>
      <c r="P275" s="27"/>
      <c r="Q275" s="27"/>
      <c r="R275" s="27"/>
      <c r="S275" s="27"/>
      <c r="T275" s="27"/>
      <c r="U275" s="26"/>
      <c r="V275" s="26"/>
      <c r="W275" s="26"/>
      <c r="X275" s="26"/>
      <c r="Y275" s="26"/>
      <c r="Z275" s="26"/>
      <c r="AA275" s="26"/>
      <c r="AB275" s="26"/>
      <c r="AC275" s="26"/>
      <c r="AD275" s="26"/>
    </row>
    <row r="276" spans="2:30">
      <c r="B276" s="26"/>
      <c r="C276" s="26"/>
      <c r="D276" s="26"/>
      <c r="E276" s="26"/>
      <c r="F276" s="26"/>
      <c r="G276" s="26"/>
      <c r="H276" s="26"/>
      <c r="I276" s="26"/>
      <c r="J276" s="26"/>
      <c r="K276" s="26"/>
      <c r="L276" s="26"/>
      <c r="M276" s="26"/>
      <c r="N276" s="27"/>
      <c r="O276" s="27"/>
      <c r="P276" s="27"/>
      <c r="Q276" s="27"/>
      <c r="R276" s="27"/>
      <c r="S276" s="27"/>
      <c r="T276" s="27"/>
      <c r="U276" s="26"/>
      <c r="V276" s="26"/>
      <c r="W276" s="26"/>
      <c r="X276" s="26"/>
      <c r="Y276" s="26"/>
      <c r="Z276" s="26"/>
      <c r="AA276" s="26"/>
      <c r="AB276" s="26"/>
      <c r="AC276" s="26"/>
      <c r="AD276" s="26"/>
    </row>
    <row r="277" spans="2:30">
      <c r="B277" s="26"/>
      <c r="C277" s="26"/>
      <c r="D277" s="26"/>
      <c r="E277" s="26"/>
      <c r="F277" s="26"/>
      <c r="G277" s="26"/>
      <c r="H277" s="26"/>
      <c r="I277" s="26"/>
      <c r="J277" s="26"/>
      <c r="K277" s="26"/>
      <c r="L277" s="26"/>
      <c r="M277" s="26"/>
      <c r="N277" s="27"/>
      <c r="O277" s="27"/>
      <c r="P277" s="27"/>
      <c r="Q277" s="27"/>
      <c r="R277" s="27"/>
      <c r="S277" s="27"/>
      <c r="T277" s="27"/>
      <c r="U277" s="26"/>
      <c r="V277" s="26"/>
      <c r="W277" s="26"/>
      <c r="X277" s="26"/>
      <c r="Y277" s="26"/>
      <c r="Z277" s="26"/>
      <c r="AA277" s="26"/>
      <c r="AB277" s="26"/>
      <c r="AC277" s="26"/>
      <c r="AD277" s="26"/>
    </row>
    <row r="278" spans="2:30">
      <c r="B278" s="26"/>
      <c r="C278" s="26"/>
      <c r="D278" s="26"/>
      <c r="E278" s="26"/>
      <c r="F278" s="26"/>
      <c r="G278" s="26"/>
      <c r="H278" s="26"/>
      <c r="I278" s="26"/>
      <c r="J278" s="26"/>
      <c r="K278" s="26"/>
      <c r="L278" s="26"/>
      <c r="M278" s="26"/>
      <c r="N278" s="27"/>
      <c r="O278" s="27"/>
      <c r="P278" s="27"/>
      <c r="Q278" s="27"/>
      <c r="R278" s="27"/>
      <c r="S278" s="27"/>
      <c r="T278" s="27"/>
      <c r="U278" s="26"/>
      <c r="V278" s="26"/>
      <c r="W278" s="26"/>
      <c r="X278" s="26"/>
      <c r="Y278" s="26"/>
      <c r="Z278" s="26"/>
      <c r="AA278" s="26"/>
      <c r="AB278" s="26"/>
      <c r="AC278" s="26"/>
      <c r="AD278" s="26"/>
    </row>
    <row r="279" spans="2:30">
      <c r="B279" s="26"/>
      <c r="C279" s="26"/>
      <c r="D279" s="26"/>
      <c r="E279" s="26"/>
      <c r="F279" s="26"/>
      <c r="G279" s="26"/>
      <c r="H279" s="26"/>
      <c r="I279" s="26"/>
      <c r="J279" s="26"/>
      <c r="K279" s="26"/>
      <c r="L279" s="26"/>
      <c r="M279" s="26"/>
      <c r="N279" s="27"/>
      <c r="O279" s="27"/>
      <c r="P279" s="27"/>
      <c r="Q279" s="27"/>
      <c r="R279" s="27"/>
      <c r="S279" s="27"/>
      <c r="T279" s="27"/>
      <c r="U279" s="26"/>
      <c r="V279" s="26"/>
      <c r="W279" s="26"/>
      <c r="X279" s="26"/>
      <c r="Y279" s="26"/>
      <c r="Z279" s="26"/>
      <c r="AA279" s="26"/>
      <c r="AB279" s="26"/>
      <c r="AC279" s="26"/>
      <c r="AD279" s="26"/>
    </row>
    <row r="280" spans="2:30">
      <c r="B280" s="26"/>
      <c r="C280" s="26"/>
      <c r="D280" s="26"/>
      <c r="E280" s="26"/>
      <c r="F280" s="26"/>
      <c r="G280" s="26"/>
      <c r="H280" s="26"/>
      <c r="I280" s="26"/>
      <c r="J280" s="26"/>
      <c r="K280" s="26"/>
      <c r="L280" s="26"/>
      <c r="M280" s="26"/>
      <c r="N280" s="27"/>
      <c r="O280" s="27"/>
      <c r="P280" s="27"/>
      <c r="Q280" s="27"/>
      <c r="R280" s="27"/>
      <c r="S280" s="27"/>
      <c r="T280" s="27"/>
      <c r="U280" s="26"/>
      <c r="V280" s="26"/>
      <c r="W280" s="26"/>
      <c r="X280" s="26"/>
      <c r="Y280" s="26"/>
      <c r="Z280" s="26"/>
      <c r="AA280" s="26"/>
      <c r="AB280" s="26"/>
      <c r="AC280" s="26"/>
      <c r="AD280" s="26"/>
    </row>
    <row r="281" spans="2:30">
      <c r="B281" s="26"/>
      <c r="C281" s="26"/>
      <c r="D281" s="26"/>
      <c r="E281" s="26"/>
      <c r="F281" s="26"/>
      <c r="G281" s="26"/>
      <c r="H281" s="26"/>
      <c r="I281" s="26"/>
      <c r="J281" s="26"/>
      <c r="K281" s="26"/>
      <c r="L281" s="26"/>
      <c r="M281" s="26"/>
      <c r="N281" s="27"/>
      <c r="O281" s="27"/>
      <c r="P281" s="27"/>
      <c r="Q281" s="27"/>
      <c r="R281" s="27"/>
      <c r="S281" s="27"/>
      <c r="T281" s="27"/>
      <c r="U281" s="26"/>
      <c r="V281" s="26"/>
      <c r="W281" s="26"/>
      <c r="X281" s="26"/>
      <c r="Y281" s="26"/>
      <c r="Z281" s="26"/>
      <c r="AA281" s="26"/>
      <c r="AB281" s="26"/>
      <c r="AC281" s="26"/>
      <c r="AD281" s="26"/>
    </row>
    <row r="282" spans="2:30">
      <c r="B282" s="26"/>
      <c r="C282" s="26"/>
      <c r="D282" s="26"/>
      <c r="E282" s="26"/>
      <c r="F282" s="26"/>
      <c r="G282" s="26"/>
      <c r="H282" s="26"/>
      <c r="I282" s="26"/>
      <c r="J282" s="26"/>
      <c r="K282" s="26"/>
      <c r="L282" s="26"/>
      <c r="M282" s="26"/>
      <c r="N282" s="27"/>
      <c r="O282" s="27"/>
      <c r="P282" s="27"/>
      <c r="Q282" s="27"/>
      <c r="R282" s="27"/>
      <c r="S282" s="27"/>
      <c r="T282" s="27"/>
      <c r="U282" s="26"/>
      <c r="V282" s="26"/>
      <c r="W282" s="26"/>
      <c r="X282" s="26"/>
      <c r="Y282" s="26"/>
      <c r="Z282" s="26"/>
      <c r="AA282" s="26"/>
      <c r="AB282" s="26"/>
      <c r="AC282" s="26"/>
      <c r="AD282" s="26"/>
    </row>
    <row r="283" spans="2:30">
      <c r="B283" s="26"/>
      <c r="C283" s="26"/>
      <c r="D283" s="26"/>
      <c r="E283" s="26"/>
      <c r="F283" s="26"/>
      <c r="G283" s="26"/>
      <c r="H283" s="26"/>
      <c r="I283" s="26"/>
      <c r="J283" s="26"/>
      <c r="K283" s="26"/>
      <c r="L283" s="26"/>
      <c r="M283" s="26"/>
      <c r="N283" s="27"/>
      <c r="O283" s="27"/>
      <c r="P283" s="27"/>
      <c r="Q283" s="27"/>
      <c r="R283" s="27"/>
      <c r="S283" s="27"/>
      <c r="T283" s="27"/>
      <c r="U283" s="26"/>
      <c r="V283" s="26"/>
      <c r="W283" s="26"/>
      <c r="X283" s="26"/>
      <c r="Y283" s="26"/>
      <c r="Z283" s="26"/>
      <c r="AA283" s="26"/>
      <c r="AB283" s="26"/>
      <c r="AC283" s="26"/>
      <c r="AD283" s="26"/>
    </row>
    <row r="284" spans="2:30">
      <c r="B284" s="26"/>
      <c r="C284" s="26"/>
      <c r="D284" s="26"/>
      <c r="E284" s="26"/>
      <c r="F284" s="26"/>
      <c r="G284" s="26"/>
      <c r="H284" s="26"/>
      <c r="I284" s="26"/>
      <c r="J284" s="26"/>
      <c r="K284" s="26"/>
      <c r="L284" s="26"/>
      <c r="M284" s="26"/>
      <c r="N284" s="27"/>
      <c r="O284" s="27"/>
      <c r="P284" s="27"/>
      <c r="Q284" s="27"/>
      <c r="R284" s="27"/>
      <c r="S284" s="27"/>
      <c r="T284" s="27"/>
      <c r="U284" s="26"/>
      <c r="V284" s="26"/>
      <c r="W284" s="26"/>
      <c r="X284" s="26"/>
      <c r="Y284" s="26"/>
      <c r="Z284" s="26"/>
      <c r="AA284" s="26"/>
      <c r="AB284" s="26"/>
      <c r="AC284" s="26"/>
      <c r="AD284" s="26"/>
    </row>
    <row r="285" spans="2:30">
      <c r="B285" s="26"/>
      <c r="C285" s="26"/>
      <c r="D285" s="26"/>
      <c r="E285" s="26"/>
      <c r="F285" s="26"/>
      <c r="G285" s="26"/>
      <c r="H285" s="26"/>
      <c r="I285" s="26"/>
      <c r="J285" s="26"/>
      <c r="K285" s="26"/>
      <c r="L285" s="26"/>
      <c r="M285" s="26"/>
      <c r="N285" s="27"/>
      <c r="O285" s="27"/>
      <c r="P285" s="27"/>
      <c r="Q285" s="27"/>
      <c r="R285" s="27"/>
      <c r="S285" s="27"/>
      <c r="T285" s="27"/>
      <c r="U285" s="26"/>
      <c r="V285" s="26"/>
      <c r="W285" s="26"/>
      <c r="X285" s="26"/>
      <c r="Y285" s="26"/>
      <c r="Z285" s="26"/>
      <c r="AA285" s="26"/>
      <c r="AB285" s="26"/>
      <c r="AC285" s="26"/>
      <c r="AD285" s="26"/>
    </row>
    <row r="286" spans="2:30">
      <c r="B286" s="26"/>
      <c r="C286" s="26"/>
      <c r="D286" s="26"/>
      <c r="E286" s="26"/>
      <c r="F286" s="26"/>
      <c r="G286" s="26"/>
      <c r="H286" s="26"/>
      <c r="I286" s="26"/>
      <c r="J286" s="26"/>
      <c r="K286" s="26"/>
      <c r="L286" s="26"/>
      <c r="M286" s="26"/>
      <c r="N286" s="27"/>
      <c r="O286" s="27"/>
      <c r="P286" s="27"/>
      <c r="Q286" s="27"/>
      <c r="R286" s="27"/>
      <c r="S286" s="27"/>
      <c r="T286" s="27"/>
      <c r="U286" s="26"/>
      <c r="V286" s="26"/>
      <c r="W286" s="26"/>
      <c r="X286" s="26"/>
      <c r="Y286" s="26"/>
      <c r="Z286" s="26"/>
      <c r="AA286" s="26"/>
      <c r="AB286" s="26"/>
      <c r="AC286" s="26"/>
      <c r="AD286" s="26"/>
    </row>
    <row r="287" spans="2:30">
      <c r="B287" s="26"/>
      <c r="C287" s="26"/>
      <c r="D287" s="26"/>
      <c r="E287" s="26"/>
      <c r="F287" s="26"/>
      <c r="G287" s="26"/>
      <c r="H287" s="26"/>
      <c r="I287" s="26"/>
      <c r="J287" s="26"/>
      <c r="K287" s="26"/>
      <c r="L287" s="26"/>
      <c r="M287" s="26"/>
      <c r="N287" s="27"/>
      <c r="O287" s="27"/>
      <c r="P287" s="27"/>
      <c r="Q287" s="27"/>
      <c r="R287" s="27"/>
      <c r="S287" s="27"/>
      <c r="T287" s="27"/>
      <c r="U287" s="26"/>
      <c r="V287" s="26"/>
      <c r="W287" s="26"/>
      <c r="X287" s="26"/>
      <c r="Y287" s="26"/>
      <c r="Z287" s="26"/>
      <c r="AA287" s="26"/>
      <c r="AB287" s="26"/>
      <c r="AC287" s="26"/>
      <c r="AD287" s="26"/>
    </row>
    <row r="288" spans="2:30">
      <c r="B288" s="26"/>
      <c r="C288" s="26"/>
      <c r="D288" s="26"/>
      <c r="E288" s="26"/>
      <c r="F288" s="26"/>
      <c r="G288" s="26"/>
      <c r="H288" s="26"/>
      <c r="I288" s="26"/>
      <c r="J288" s="26"/>
      <c r="K288" s="26"/>
      <c r="L288" s="26"/>
      <c r="M288" s="26"/>
      <c r="N288" s="27"/>
      <c r="O288" s="27"/>
      <c r="P288" s="27"/>
      <c r="Q288" s="27"/>
      <c r="R288" s="27"/>
      <c r="S288" s="27"/>
      <c r="T288" s="27"/>
      <c r="U288" s="26"/>
      <c r="V288" s="26"/>
      <c r="W288" s="26"/>
      <c r="X288" s="26"/>
      <c r="Y288" s="26"/>
      <c r="Z288" s="26"/>
      <c r="AA288" s="26"/>
      <c r="AB288" s="26"/>
      <c r="AC288" s="26"/>
      <c r="AD288" s="26"/>
    </row>
    <row r="289" spans="2:30">
      <c r="B289" s="26"/>
      <c r="C289" s="26"/>
      <c r="D289" s="26"/>
      <c r="E289" s="26"/>
      <c r="F289" s="26"/>
      <c r="G289" s="26"/>
      <c r="H289" s="26"/>
      <c r="I289" s="26"/>
      <c r="J289" s="26"/>
      <c r="K289" s="26"/>
      <c r="L289" s="26"/>
      <c r="M289" s="26"/>
      <c r="N289" s="27"/>
      <c r="O289" s="27"/>
      <c r="P289" s="27"/>
      <c r="Q289" s="27"/>
      <c r="R289" s="27"/>
      <c r="S289" s="27"/>
      <c r="T289" s="27"/>
      <c r="U289" s="26"/>
      <c r="V289" s="26"/>
      <c r="W289" s="26"/>
      <c r="X289" s="26"/>
      <c r="Y289" s="26"/>
      <c r="Z289" s="26"/>
      <c r="AA289" s="26"/>
      <c r="AB289" s="26"/>
      <c r="AC289" s="26"/>
      <c r="AD289" s="26"/>
    </row>
    <row r="290" spans="2:30">
      <c r="B290" s="26"/>
      <c r="C290" s="26"/>
      <c r="D290" s="26"/>
      <c r="E290" s="26"/>
      <c r="F290" s="26"/>
      <c r="G290" s="26"/>
      <c r="H290" s="26"/>
      <c r="I290" s="26"/>
      <c r="J290" s="26"/>
      <c r="K290" s="26"/>
      <c r="L290" s="26"/>
      <c r="M290" s="26"/>
      <c r="N290" s="27"/>
      <c r="O290" s="27"/>
      <c r="P290" s="27"/>
      <c r="Q290" s="27"/>
      <c r="R290" s="27"/>
      <c r="S290" s="27"/>
      <c r="T290" s="27"/>
      <c r="U290" s="26"/>
      <c r="V290" s="26"/>
      <c r="W290" s="26"/>
      <c r="X290" s="26"/>
      <c r="Y290" s="26"/>
      <c r="Z290" s="26"/>
      <c r="AA290" s="26"/>
      <c r="AB290" s="26"/>
      <c r="AC290" s="26"/>
      <c r="AD290" s="26"/>
    </row>
    <row r="291" spans="2:30">
      <c r="B291" s="26"/>
      <c r="C291" s="26"/>
      <c r="D291" s="26"/>
      <c r="E291" s="26"/>
      <c r="F291" s="26"/>
      <c r="G291" s="26"/>
      <c r="H291" s="26"/>
      <c r="I291" s="26"/>
      <c r="J291" s="26"/>
      <c r="K291" s="26"/>
      <c r="L291" s="26"/>
      <c r="M291" s="26"/>
      <c r="N291" s="27"/>
      <c r="O291" s="27"/>
      <c r="P291" s="27"/>
      <c r="Q291" s="27"/>
      <c r="R291" s="27"/>
      <c r="S291" s="27"/>
      <c r="T291" s="27"/>
      <c r="U291" s="26"/>
      <c r="V291" s="26"/>
      <c r="W291" s="26"/>
      <c r="X291" s="26"/>
      <c r="Y291" s="26"/>
      <c r="Z291" s="26"/>
      <c r="AA291" s="26"/>
      <c r="AB291" s="26"/>
      <c r="AC291" s="26"/>
      <c r="AD291" s="26"/>
    </row>
    <row r="292" spans="2:30">
      <c r="B292" s="26"/>
      <c r="C292" s="26"/>
      <c r="D292" s="26"/>
      <c r="E292" s="26"/>
      <c r="F292" s="26"/>
      <c r="G292" s="26"/>
      <c r="H292" s="26"/>
      <c r="I292" s="26"/>
      <c r="J292" s="26"/>
      <c r="K292" s="26"/>
      <c r="L292" s="26"/>
      <c r="M292" s="26"/>
      <c r="N292" s="27"/>
      <c r="O292" s="27"/>
      <c r="P292" s="27"/>
      <c r="Q292" s="27"/>
      <c r="R292" s="27"/>
      <c r="S292" s="27"/>
      <c r="T292" s="27"/>
      <c r="U292" s="26"/>
      <c r="V292" s="26"/>
      <c r="W292" s="26"/>
      <c r="X292" s="26"/>
      <c r="Y292" s="26"/>
      <c r="Z292" s="26"/>
      <c r="AA292" s="26"/>
      <c r="AB292" s="26"/>
      <c r="AC292" s="26"/>
      <c r="AD292" s="26"/>
    </row>
    <row r="293" spans="2:30">
      <c r="B293" s="26"/>
      <c r="C293" s="26"/>
      <c r="D293" s="26"/>
      <c r="E293" s="26"/>
      <c r="F293" s="26"/>
      <c r="G293" s="26"/>
      <c r="H293" s="26"/>
      <c r="I293" s="26"/>
      <c r="J293" s="26"/>
      <c r="K293" s="26"/>
      <c r="L293" s="26"/>
      <c r="M293" s="26"/>
      <c r="N293" s="27"/>
      <c r="O293" s="27"/>
      <c r="P293" s="27"/>
      <c r="Q293" s="27"/>
      <c r="R293" s="27"/>
      <c r="S293" s="27"/>
      <c r="T293" s="27"/>
      <c r="U293" s="26"/>
      <c r="V293" s="26"/>
      <c r="W293" s="26"/>
      <c r="X293" s="26"/>
      <c r="Y293" s="26"/>
      <c r="Z293" s="26"/>
      <c r="AA293" s="26"/>
      <c r="AB293" s="26"/>
      <c r="AC293" s="26"/>
      <c r="AD293" s="26"/>
    </row>
    <row r="294" spans="2:30">
      <c r="B294" s="26"/>
      <c r="C294" s="26"/>
      <c r="D294" s="26"/>
      <c r="E294" s="26"/>
      <c r="F294" s="26"/>
      <c r="G294" s="26"/>
      <c r="H294" s="26"/>
      <c r="I294" s="26"/>
      <c r="J294" s="26"/>
      <c r="K294" s="26"/>
      <c r="L294" s="26"/>
      <c r="M294" s="26"/>
      <c r="N294" s="27"/>
      <c r="O294" s="27"/>
      <c r="P294" s="27"/>
      <c r="Q294" s="27"/>
      <c r="R294" s="27"/>
      <c r="S294" s="27"/>
      <c r="T294" s="27"/>
      <c r="U294" s="26"/>
      <c r="V294" s="26"/>
      <c r="W294" s="26"/>
      <c r="X294" s="26"/>
      <c r="Y294" s="26"/>
      <c r="Z294" s="26"/>
      <c r="AA294" s="26"/>
      <c r="AB294" s="26"/>
      <c r="AC294" s="26"/>
      <c r="AD294" s="26"/>
    </row>
    <row r="295" spans="2:30">
      <c r="B295" s="26"/>
      <c r="C295" s="26"/>
      <c r="D295" s="26"/>
      <c r="E295" s="26"/>
      <c r="F295" s="26"/>
      <c r="G295" s="26"/>
      <c r="H295" s="26"/>
      <c r="I295" s="26"/>
      <c r="J295" s="26"/>
      <c r="K295" s="26"/>
      <c r="L295" s="26"/>
      <c r="M295" s="26"/>
      <c r="N295" s="27"/>
      <c r="O295" s="27"/>
      <c r="P295" s="27"/>
      <c r="Q295" s="27"/>
      <c r="R295" s="27"/>
      <c r="S295" s="27"/>
      <c r="T295" s="27"/>
      <c r="U295" s="26"/>
      <c r="V295" s="26"/>
      <c r="W295" s="26"/>
      <c r="X295" s="26"/>
      <c r="Y295" s="26"/>
      <c r="Z295" s="26"/>
      <c r="AA295" s="26"/>
      <c r="AB295" s="26"/>
      <c r="AC295" s="26"/>
      <c r="AD295" s="26"/>
    </row>
    <row r="296" spans="2:30">
      <c r="B296" s="26"/>
      <c r="C296" s="26"/>
      <c r="D296" s="26"/>
      <c r="E296" s="26"/>
      <c r="F296" s="26"/>
      <c r="G296" s="26"/>
      <c r="H296" s="26"/>
      <c r="I296" s="26"/>
      <c r="J296" s="26"/>
      <c r="K296" s="26"/>
      <c r="L296" s="26"/>
      <c r="M296" s="26"/>
      <c r="N296" s="27"/>
      <c r="O296" s="27"/>
      <c r="P296" s="27"/>
      <c r="Q296" s="27"/>
      <c r="R296" s="27"/>
      <c r="S296" s="27"/>
      <c r="T296" s="27"/>
      <c r="U296" s="26"/>
      <c r="V296" s="26"/>
      <c r="W296" s="26"/>
      <c r="X296" s="26"/>
      <c r="Y296" s="26"/>
      <c r="Z296" s="26"/>
      <c r="AA296" s="26"/>
      <c r="AB296" s="26"/>
      <c r="AC296" s="26"/>
      <c r="AD296" s="26"/>
    </row>
    <row r="297" spans="2:30">
      <c r="B297" s="26"/>
      <c r="C297" s="26"/>
      <c r="D297" s="26"/>
      <c r="E297" s="26"/>
      <c r="F297" s="26"/>
      <c r="G297" s="26"/>
      <c r="H297" s="26"/>
      <c r="I297" s="26"/>
      <c r="J297" s="26"/>
      <c r="K297" s="26"/>
      <c r="L297" s="26"/>
      <c r="M297" s="26"/>
      <c r="N297" s="27"/>
      <c r="O297" s="27"/>
      <c r="P297" s="27"/>
      <c r="Q297" s="27"/>
      <c r="R297" s="27"/>
      <c r="S297" s="27"/>
      <c r="T297" s="27"/>
      <c r="U297" s="26"/>
      <c r="V297" s="26"/>
      <c r="W297" s="26"/>
      <c r="X297" s="26"/>
      <c r="Y297" s="26"/>
      <c r="Z297" s="26"/>
      <c r="AA297" s="26"/>
      <c r="AB297" s="26"/>
      <c r="AC297" s="26"/>
      <c r="AD297" s="26"/>
    </row>
    <row r="298" spans="2:30">
      <c r="B298" s="26"/>
      <c r="C298" s="26"/>
      <c r="D298" s="26"/>
      <c r="E298" s="26"/>
      <c r="F298" s="26"/>
      <c r="G298" s="26"/>
      <c r="H298" s="26"/>
      <c r="I298" s="26"/>
      <c r="J298" s="26"/>
      <c r="K298" s="26"/>
      <c r="L298" s="26"/>
      <c r="M298" s="26"/>
      <c r="N298" s="27"/>
      <c r="O298" s="27"/>
      <c r="P298" s="27"/>
      <c r="Q298" s="27"/>
      <c r="R298" s="27"/>
      <c r="S298" s="27"/>
      <c r="T298" s="27"/>
      <c r="U298" s="26"/>
      <c r="V298" s="26"/>
      <c r="W298" s="26"/>
      <c r="X298" s="26"/>
      <c r="Y298" s="26"/>
      <c r="Z298" s="26"/>
      <c r="AA298" s="26"/>
      <c r="AB298" s="26"/>
      <c r="AC298" s="26"/>
      <c r="AD298" s="26"/>
    </row>
    <row r="299" spans="2:30">
      <c r="B299" s="26"/>
      <c r="C299" s="26"/>
      <c r="D299" s="26"/>
      <c r="E299" s="26"/>
      <c r="F299" s="26"/>
      <c r="G299" s="26"/>
      <c r="H299" s="26"/>
      <c r="I299" s="26"/>
      <c r="J299" s="26"/>
      <c r="K299" s="26"/>
      <c r="L299" s="26"/>
      <c r="M299" s="26"/>
      <c r="N299" s="27"/>
      <c r="O299" s="27"/>
      <c r="P299" s="27"/>
      <c r="Q299" s="27"/>
      <c r="R299" s="27"/>
      <c r="S299" s="27"/>
      <c r="T299" s="27"/>
      <c r="U299" s="26"/>
      <c r="V299" s="26"/>
      <c r="W299" s="26"/>
      <c r="X299" s="26"/>
      <c r="Y299" s="26"/>
      <c r="Z299" s="26"/>
      <c r="AA299" s="26"/>
      <c r="AB299" s="26"/>
      <c r="AC299" s="26"/>
      <c r="AD299" s="26"/>
    </row>
    <row r="300" spans="2:30">
      <c r="B300" s="26"/>
      <c r="C300" s="26"/>
      <c r="D300" s="26"/>
      <c r="E300" s="26"/>
      <c r="F300" s="26"/>
      <c r="G300" s="26"/>
      <c r="H300" s="26"/>
      <c r="I300" s="26"/>
      <c r="J300" s="26"/>
      <c r="K300" s="26"/>
      <c r="L300" s="26"/>
      <c r="M300" s="26"/>
      <c r="N300" s="27"/>
      <c r="O300" s="27"/>
      <c r="P300" s="27"/>
      <c r="Q300" s="27"/>
      <c r="R300" s="27"/>
      <c r="S300" s="27"/>
      <c r="T300" s="27"/>
      <c r="U300" s="26"/>
      <c r="V300" s="26"/>
      <c r="W300" s="26"/>
      <c r="X300" s="26"/>
      <c r="Y300" s="26"/>
      <c r="Z300" s="26"/>
      <c r="AA300" s="26"/>
      <c r="AB300" s="26"/>
      <c r="AC300" s="26"/>
      <c r="AD300" s="26"/>
    </row>
    <row r="301" spans="2:30">
      <c r="B301" s="26"/>
      <c r="C301" s="26"/>
      <c r="D301" s="26"/>
      <c r="E301" s="26"/>
      <c r="F301" s="26"/>
      <c r="G301" s="26"/>
      <c r="H301" s="26"/>
      <c r="I301" s="26"/>
      <c r="J301" s="26"/>
      <c r="K301" s="26"/>
      <c r="L301" s="26"/>
      <c r="M301" s="26"/>
      <c r="N301" s="27"/>
      <c r="O301" s="27"/>
      <c r="P301" s="27"/>
      <c r="Q301" s="27"/>
      <c r="R301" s="27"/>
      <c r="S301" s="27"/>
      <c r="T301" s="27"/>
      <c r="U301" s="26"/>
      <c r="V301" s="26"/>
      <c r="W301" s="26"/>
      <c r="X301" s="26"/>
      <c r="Y301" s="26"/>
      <c r="Z301" s="26"/>
      <c r="AA301" s="26"/>
      <c r="AB301" s="26"/>
      <c r="AC301" s="26"/>
      <c r="AD301" s="26"/>
    </row>
    <row r="302" spans="2:30">
      <c r="B302" s="26"/>
      <c r="C302" s="26"/>
      <c r="D302" s="26"/>
      <c r="E302" s="26"/>
      <c r="F302" s="26"/>
      <c r="G302" s="26"/>
      <c r="H302" s="26"/>
      <c r="I302" s="26"/>
      <c r="J302" s="26"/>
      <c r="K302" s="26"/>
      <c r="L302" s="26"/>
      <c r="M302" s="26"/>
      <c r="N302" s="27"/>
      <c r="O302" s="27"/>
      <c r="P302" s="27"/>
      <c r="Q302" s="27"/>
      <c r="R302" s="27"/>
      <c r="S302" s="27"/>
      <c r="T302" s="27"/>
      <c r="U302" s="26"/>
      <c r="V302" s="26"/>
      <c r="W302" s="26"/>
      <c r="X302" s="26"/>
      <c r="Y302" s="26"/>
      <c r="Z302" s="26"/>
      <c r="AA302" s="26"/>
      <c r="AB302" s="26"/>
      <c r="AC302" s="26"/>
      <c r="AD302" s="26"/>
    </row>
    <row r="303" spans="2:30">
      <c r="B303" s="26"/>
      <c r="C303" s="26"/>
      <c r="D303" s="26"/>
      <c r="E303" s="26"/>
      <c r="F303" s="26"/>
      <c r="G303" s="26"/>
      <c r="H303" s="26"/>
      <c r="I303" s="26"/>
      <c r="J303" s="26"/>
      <c r="K303" s="26"/>
      <c r="L303" s="26"/>
      <c r="M303" s="26"/>
      <c r="N303" s="27"/>
      <c r="O303" s="27"/>
      <c r="P303" s="27"/>
      <c r="Q303" s="27"/>
      <c r="R303" s="27"/>
      <c r="S303" s="27"/>
      <c r="T303" s="27"/>
      <c r="U303" s="26"/>
      <c r="V303" s="26"/>
      <c r="W303" s="26"/>
      <c r="X303" s="26"/>
      <c r="Y303" s="26"/>
      <c r="Z303" s="26"/>
      <c r="AA303" s="26"/>
      <c r="AB303" s="26"/>
      <c r="AC303" s="26"/>
      <c r="AD303" s="26"/>
    </row>
    <row r="304" spans="2:30">
      <c r="B304" s="26"/>
      <c r="C304" s="26"/>
      <c r="D304" s="26"/>
      <c r="E304" s="26"/>
      <c r="F304" s="26"/>
      <c r="G304" s="26"/>
      <c r="H304" s="26"/>
      <c r="I304" s="26"/>
      <c r="J304" s="26"/>
      <c r="K304" s="26"/>
      <c r="L304" s="26"/>
      <c r="M304" s="26"/>
      <c r="N304" s="27"/>
      <c r="O304" s="27"/>
      <c r="P304" s="27"/>
      <c r="Q304" s="27"/>
      <c r="R304" s="27"/>
      <c r="S304" s="27"/>
      <c r="T304" s="27"/>
      <c r="U304" s="26"/>
      <c r="V304" s="26"/>
      <c r="W304" s="26"/>
      <c r="X304" s="26"/>
      <c r="Y304" s="26"/>
      <c r="Z304" s="26"/>
      <c r="AA304" s="26"/>
      <c r="AB304" s="26"/>
      <c r="AC304" s="26"/>
      <c r="AD304" s="26"/>
    </row>
    <row r="305" spans="2:30">
      <c r="B305" s="26"/>
      <c r="C305" s="26"/>
      <c r="D305" s="26"/>
      <c r="E305" s="26"/>
      <c r="F305" s="26"/>
      <c r="G305" s="26"/>
      <c r="H305" s="26"/>
      <c r="I305" s="26"/>
      <c r="J305" s="26"/>
      <c r="K305" s="26"/>
      <c r="L305" s="26"/>
      <c r="M305" s="26"/>
      <c r="N305" s="27"/>
      <c r="O305" s="27"/>
      <c r="P305" s="27"/>
      <c r="Q305" s="27"/>
      <c r="R305" s="27"/>
      <c r="S305" s="27"/>
      <c r="T305" s="27"/>
      <c r="U305" s="26"/>
      <c r="V305" s="26"/>
      <c r="W305" s="26"/>
      <c r="X305" s="26"/>
      <c r="Y305" s="26"/>
      <c r="Z305" s="26"/>
      <c r="AA305" s="26"/>
      <c r="AB305" s="26"/>
      <c r="AC305" s="26"/>
      <c r="AD305" s="26"/>
    </row>
    <row r="306" spans="2:30">
      <c r="B306" s="26"/>
      <c r="C306" s="26"/>
      <c r="D306" s="26"/>
      <c r="E306" s="26"/>
      <c r="F306" s="26"/>
      <c r="G306" s="26"/>
      <c r="H306" s="26"/>
      <c r="I306" s="26"/>
      <c r="J306" s="26"/>
      <c r="K306" s="26"/>
      <c r="L306" s="26"/>
      <c r="M306" s="26"/>
      <c r="N306" s="27"/>
      <c r="O306" s="27"/>
      <c r="P306" s="27"/>
      <c r="Q306" s="27"/>
      <c r="R306" s="27"/>
      <c r="S306" s="27"/>
      <c r="T306" s="27"/>
      <c r="U306" s="26"/>
      <c r="V306" s="26"/>
      <c r="W306" s="26"/>
      <c r="X306" s="26"/>
      <c r="Y306" s="26"/>
      <c r="Z306" s="26"/>
      <c r="AA306" s="26"/>
      <c r="AB306" s="26"/>
      <c r="AC306" s="26"/>
      <c r="AD306" s="26"/>
    </row>
    <row r="307" spans="2:30">
      <c r="B307" s="26"/>
      <c r="C307" s="26"/>
      <c r="D307" s="26"/>
      <c r="E307" s="26"/>
      <c r="F307" s="26"/>
      <c r="G307" s="26"/>
      <c r="H307" s="26"/>
      <c r="I307" s="26"/>
      <c r="J307" s="26"/>
      <c r="K307" s="26"/>
      <c r="L307" s="26"/>
      <c r="M307" s="26"/>
      <c r="N307" s="27"/>
      <c r="O307" s="27"/>
      <c r="P307" s="27"/>
      <c r="Q307" s="27"/>
      <c r="R307" s="27"/>
      <c r="S307" s="27"/>
      <c r="T307" s="27"/>
      <c r="U307" s="26"/>
      <c r="V307" s="26"/>
      <c r="W307" s="26"/>
      <c r="X307" s="26"/>
      <c r="Y307" s="26"/>
      <c r="Z307" s="26"/>
      <c r="AA307" s="26"/>
      <c r="AB307" s="26"/>
      <c r="AC307" s="26"/>
      <c r="AD307" s="26"/>
    </row>
    <row r="308" spans="2:30">
      <c r="B308" s="26"/>
      <c r="C308" s="26"/>
      <c r="D308" s="26"/>
      <c r="E308" s="26"/>
      <c r="F308" s="26"/>
      <c r="G308" s="26"/>
      <c r="H308" s="26"/>
      <c r="I308" s="26"/>
      <c r="J308" s="26"/>
      <c r="K308" s="26"/>
      <c r="L308" s="26"/>
      <c r="M308" s="26"/>
      <c r="N308" s="27"/>
      <c r="O308" s="27"/>
      <c r="P308" s="27"/>
      <c r="Q308" s="27"/>
      <c r="R308" s="27"/>
      <c r="S308" s="27"/>
      <c r="T308" s="27"/>
      <c r="U308" s="26"/>
      <c r="V308" s="26"/>
      <c r="W308" s="26"/>
      <c r="X308" s="26"/>
      <c r="Y308" s="26"/>
      <c r="Z308" s="26"/>
      <c r="AA308" s="26"/>
      <c r="AB308" s="26"/>
      <c r="AC308" s="26"/>
      <c r="AD308" s="26"/>
    </row>
    <row r="309" spans="2:30">
      <c r="B309" s="26"/>
      <c r="C309" s="26"/>
      <c r="D309" s="26"/>
      <c r="E309" s="26"/>
      <c r="F309" s="26"/>
      <c r="G309" s="26"/>
      <c r="H309" s="26"/>
      <c r="I309" s="26"/>
      <c r="J309" s="26"/>
      <c r="K309" s="26"/>
      <c r="L309" s="26"/>
      <c r="M309" s="26"/>
      <c r="N309" s="27"/>
      <c r="O309" s="27"/>
      <c r="P309" s="27"/>
      <c r="Q309" s="27"/>
      <c r="R309" s="27"/>
      <c r="S309" s="27"/>
      <c r="T309" s="27"/>
      <c r="U309" s="26"/>
      <c r="V309" s="26"/>
      <c r="W309" s="26"/>
      <c r="X309" s="26"/>
      <c r="Y309" s="26"/>
      <c r="Z309" s="26"/>
      <c r="AA309" s="26"/>
      <c r="AB309" s="26"/>
      <c r="AC309" s="26"/>
      <c r="AD309" s="26"/>
    </row>
    <row r="310" spans="2:30">
      <c r="B310" s="26"/>
      <c r="C310" s="26"/>
      <c r="D310" s="26"/>
      <c r="E310" s="26"/>
      <c r="F310" s="26"/>
      <c r="G310" s="26"/>
      <c r="H310" s="26"/>
      <c r="I310" s="26"/>
      <c r="J310" s="26"/>
      <c r="K310" s="26"/>
      <c r="L310" s="26"/>
      <c r="M310" s="26"/>
      <c r="N310" s="27"/>
      <c r="O310" s="27"/>
      <c r="P310" s="27"/>
      <c r="Q310" s="27"/>
      <c r="R310" s="27"/>
      <c r="S310" s="27"/>
      <c r="T310" s="27"/>
      <c r="U310" s="26"/>
      <c r="V310" s="26"/>
      <c r="W310" s="26"/>
      <c r="X310" s="26"/>
      <c r="Y310" s="26"/>
      <c r="Z310" s="26"/>
      <c r="AA310" s="26"/>
      <c r="AB310" s="26"/>
      <c r="AC310" s="26"/>
      <c r="AD310" s="26"/>
    </row>
    <row r="311" spans="2:30">
      <c r="B311" s="26"/>
      <c r="C311" s="26"/>
      <c r="D311" s="26"/>
      <c r="E311" s="26"/>
      <c r="F311" s="26"/>
      <c r="G311" s="26"/>
      <c r="H311" s="26"/>
      <c r="I311" s="26"/>
      <c r="J311" s="26"/>
      <c r="K311" s="26"/>
      <c r="L311" s="26"/>
      <c r="M311" s="26"/>
      <c r="N311" s="27"/>
      <c r="O311" s="27"/>
      <c r="P311" s="27"/>
      <c r="Q311" s="27"/>
      <c r="R311" s="27"/>
      <c r="S311" s="27"/>
      <c r="T311" s="27"/>
      <c r="U311" s="26"/>
      <c r="V311" s="26"/>
      <c r="W311" s="26"/>
      <c r="X311" s="26"/>
      <c r="Y311" s="26"/>
      <c r="Z311" s="26"/>
      <c r="AA311" s="26"/>
      <c r="AB311" s="26"/>
      <c r="AC311" s="26"/>
      <c r="AD311" s="26"/>
    </row>
    <row r="312" spans="2:30">
      <c r="B312" s="26"/>
      <c r="C312" s="26"/>
      <c r="D312" s="26"/>
      <c r="E312" s="26"/>
      <c r="F312" s="26"/>
      <c r="G312" s="26"/>
      <c r="H312" s="26"/>
      <c r="I312" s="26"/>
      <c r="J312" s="26"/>
      <c r="K312" s="26"/>
      <c r="L312" s="26"/>
      <c r="M312" s="26"/>
      <c r="N312" s="27"/>
      <c r="O312" s="27"/>
      <c r="P312" s="27"/>
      <c r="Q312" s="27"/>
      <c r="R312" s="27"/>
      <c r="S312" s="27"/>
      <c r="T312" s="27"/>
      <c r="U312" s="26"/>
      <c r="V312" s="26"/>
      <c r="W312" s="26"/>
      <c r="X312" s="26"/>
      <c r="Y312" s="26"/>
      <c r="Z312" s="26"/>
      <c r="AA312" s="26"/>
      <c r="AB312" s="26"/>
      <c r="AC312" s="26"/>
      <c r="AD312" s="26"/>
    </row>
    <row r="313" spans="2:30">
      <c r="B313" s="26"/>
      <c r="C313" s="26"/>
      <c r="D313" s="26"/>
      <c r="E313" s="26"/>
      <c r="F313" s="26"/>
      <c r="G313" s="26"/>
      <c r="H313" s="26"/>
      <c r="I313" s="26"/>
      <c r="J313" s="26"/>
      <c r="K313" s="26"/>
      <c r="L313" s="26"/>
      <c r="M313" s="26"/>
      <c r="N313" s="27"/>
      <c r="O313" s="27"/>
      <c r="P313" s="27"/>
      <c r="Q313" s="27"/>
      <c r="R313" s="27"/>
      <c r="S313" s="27"/>
      <c r="T313" s="27"/>
      <c r="U313" s="26"/>
      <c r="V313" s="26"/>
      <c r="W313" s="26"/>
      <c r="X313" s="26"/>
      <c r="Y313" s="26"/>
      <c r="Z313" s="26"/>
      <c r="AA313" s="26"/>
      <c r="AB313" s="26"/>
      <c r="AC313" s="26"/>
      <c r="AD313" s="26"/>
    </row>
    <row r="314" spans="2:30">
      <c r="B314" s="26"/>
      <c r="C314" s="26"/>
      <c r="D314" s="26"/>
      <c r="E314" s="26"/>
      <c r="F314" s="26"/>
      <c r="G314" s="26"/>
      <c r="H314" s="26"/>
      <c r="I314" s="26"/>
      <c r="J314" s="26"/>
      <c r="K314" s="26"/>
      <c r="L314" s="26"/>
      <c r="M314" s="26"/>
      <c r="N314" s="27"/>
      <c r="O314" s="27"/>
      <c r="P314" s="27"/>
      <c r="Q314" s="27"/>
      <c r="R314" s="27"/>
      <c r="S314" s="27"/>
      <c r="T314" s="27"/>
      <c r="U314" s="26"/>
      <c r="V314" s="26"/>
      <c r="W314" s="26"/>
      <c r="X314" s="26"/>
      <c r="Y314" s="26"/>
      <c r="Z314" s="26"/>
      <c r="AA314" s="26"/>
      <c r="AB314" s="26"/>
      <c r="AC314" s="26"/>
      <c r="AD314" s="26"/>
    </row>
    <row r="315" spans="2:30">
      <c r="B315" s="26"/>
      <c r="C315" s="26"/>
      <c r="D315" s="26"/>
      <c r="E315" s="26"/>
      <c r="F315" s="26"/>
      <c r="G315" s="26"/>
      <c r="H315" s="26"/>
      <c r="I315" s="26"/>
      <c r="J315" s="26"/>
      <c r="K315" s="26"/>
      <c r="L315" s="26"/>
      <c r="M315" s="26"/>
      <c r="N315" s="27"/>
      <c r="O315" s="27"/>
      <c r="P315" s="27"/>
      <c r="Q315" s="27"/>
      <c r="R315" s="27"/>
      <c r="S315" s="27"/>
      <c r="T315" s="27"/>
      <c r="U315" s="26"/>
      <c r="V315" s="26"/>
      <c r="W315" s="26"/>
      <c r="X315" s="26"/>
      <c r="Y315" s="26"/>
      <c r="Z315" s="26"/>
      <c r="AA315" s="26"/>
      <c r="AB315" s="26"/>
      <c r="AC315" s="26"/>
      <c r="AD315" s="26"/>
    </row>
    <row r="316" spans="2:30">
      <c r="B316" s="26"/>
      <c r="C316" s="26"/>
      <c r="D316" s="26"/>
      <c r="E316" s="26"/>
      <c r="F316" s="26"/>
      <c r="G316" s="26"/>
      <c r="H316" s="26"/>
      <c r="I316" s="26"/>
      <c r="J316" s="26"/>
      <c r="K316" s="26"/>
      <c r="L316" s="26"/>
      <c r="M316" s="26"/>
      <c r="N316" s="27"/>
      <c r="O316" s="27"/>
      <c r="P316" s="27"/>
      <c r="Q316" s="27"/>
      <c r="R316" s="27"/>
      <c r="S316" s="27"/>
      <c r="T316" s="27"/>
      <c r="U316" s="26"/>
      <c r="V316" s="26"/>
      <c r="W316" s="26"/>
      <c r="X316" s="26"/>
      <c r="Y316" s="26"/>
      <c r="Z316" s="26"/>
      <c r="AA316" s="26"/>
      <c r="AB316" s="26"/>
      <c r="AC316" s="26"/>
      <c r="AD316" s="26"/>
    </row>
    <row r="317" spans="2:30">
      <c r="B317" s="26"/>
      <c r="C317" s="26"/>
      <c r="D317" s="26"/>
      <c r="E317" s="26"/>
      <c r="F317" s="26"/>
      <c r="G317" s="26"/>
      <c r="H317" s="26"/>
      <c r="I317" s="26"/>
      <c r="J317" s="26"/>
      <c r="K317" s="26"/>
      <c r="L317" s="26"/>
      <c r="M317" s="26"/>
      <c r="N317" s="27"/>
      <c r="O317" s="27"/>
      <c r="P317" s="27"/>
      <c r="Q317" s="27"/>
      <c r="R317" s="27"/>
      <c r="S317" s="27"/>
      <c r="T317" s="27"/>
      <c r="U317" s="26"/>
      <c r="V317" s="26"/>
      <c r="W317" s="26"/>
      <c r="X317" s="26"/>
      <c r="Y317" s="26"/>
      <c r="Z317" s="26"/>
      <c r="AA317" s="26"/>
      <c r="AB317" s="26"/>
      <c r="AC317" s="26"/>
      <c r="AD317" s="26"/>
    </row>
    <row r="318" spans="2:30">
      <c r="B318" s="26"/>
      <c r="C318" s="26"/>
      <c r="D318" s="26"/>
      <c r="E318" s="26"/>
      <c r="F318" s="26"/>
      <c r="G318" s="26"/>
      <c r="H318" s="26"/>
      <c r="I318" s="26"/>
      <c r="J318" s="26"/>
      <c r="K318" s="26"/>
      <c r="L318" s="26"/>
      <c r="M318" s="26"/>
      <c r="N318" s="27"/>
      <c r="O318" s="27"/>
      <c r="P318" s="27"/>
      <c r="Q318" s="27"/>
      <c r="R318" s="27"/>
      <c r="S318" s="27"/>
      <c r="T318" s="27"/>
      <c r="U318" s="26"/>
      <c r="V318" s="26"/>
      <c r="W318" s="26"/>
      <c r="X318" s="26"/>
      <c r="Y318" s="26"/>
      <c r="Z318" s="26"/>
      <c r="AA318" s="26"/>
      <c r="AB318" s="26"/>
      <c r="AC318" s="26"/>
      <c r="AD318" s="26"/>
    </row>
    <row r="319" spans="2:30">
      <c r="B319" s="26"/>
      <c r="C319" s="26"/>
      <c r="D319" s="26"/>
      <c r="E319" s="26"/>
      <c r="F319" s="26"/>
      <c r="G319" s="26"/>
      <c r="H319" s="26"/>
      <c r="I319" s="26"/>
      <c r="J319" s="26"/>
      <c r="K319" s="26"/>
      <c r="L319" s="26"/>
      <c r="M319" s="26"/>
      <c r="N319" s="27"/>
      <c r="O319" s="27"/>
      <c r="P319" s="27"/>
      <c r="Q319" s="27"/>
      <c r="R319" s="27"/>
      <c r="S319" s="27"/>
      <c r="T319" s="27"/>
      <c r="U319" s="26"/>
      <c r="V319" s="26"/>
      <c r="W319" s="26"/>
      <c r="X319" s="26"/>
      <c r="Y319" s="26"/>
      <c r="Z319" s="26"/>
      <c r="AA319" s="26"/>
      <c r="AB319" s="26"/>
      <c r="AC319" s="26"/>
      <c r="AD319" s="26"/>
    </row>
    <row r="320" spans="2:30">
      <c r="B320" s="26"/>
      <c r="C320" s="26"/>
      <c r="D320" s="26"/>
      <c r="E320" s="26"/>
      <c r="F320" s="26"/>
      <c r="G320" s="26"/>
      <c r="H320" s="26"/>
      <c r="I320" s="26"/>
      <c r="J320" s="26"/>
      <c r="K320" s="26"/>
      <c r="L320" s="26"/>
      <c r="M320" s="26"/>
      <c r="N320" s="27"/>
      <c r="O320" s="27"/>
      <c r="P320" s="27"/>
      <c r="Q320" s="27"/>
      <c r="R320" s="27"/>
      <c r="S320" s="27"/>
      <c r="T320" s="27"/>
      <c r="U320" s="26"/>
      <c r="V320" s="26"/>
      <c r="W320" s="26"/>
      <c r="X320" s="26"/>
      <c r="Y320" s="26"/>
      <c r="Z320" s="26"/>
      <c r="AA320" s="26"/>
      <c r="AB320" s="26"/>
      <c r="AC320" s="26"/>
      <c r="AD320" s="26"/>
    </row>
    <row r="321" spans="2:30">
      <c r="B321" s="26"/>
      <c r="C321" s="26"/>
      <c r="D321" s="26"/>
      <c r="E321" s="26"/>
      <c r="F321" s="26"/>
      <c r="G321" s="26"/>
      <c r="H321" s="26"/>
      <c r="I321" s="26"/>
      <c r="J321" s="26"/>
      <c r="K321" s="26"/>
      <c r="L321" s="26"/>
      <c r="M321" s="26"/>
      <c r="N321" s="27"/>
      <c r="O321" s="27"/>
      <c r="P321" s="27"/>
      <c r="Q321" s="27"/>
      <c r="R321" s="27"/>
      <c r="S321" s="27"/>
      <c r="T321" s="27"/>
      <c r="U321" s="26"/>
      <c r="V321" s="26"/>
      <c r="W321" s="26"/>
      <c r="X321" s="26"/>
      <c r="Y321" s="26"/>
      <c r="Z321" s="26"/>
      <c r="AA321" s="26"/>
      <c r="AB321" s="26"/>
      <c r="AC321" s="26"/>
      <c r="AD321" s="26"/>
    </row>
    <row r="322" spans="2:30">
      <c r="B322" s="26"/>
      <c r="C322" s="26"/>
      <c r="D322" s="26"/>
      <c r="E322" s="26"/>
      <c r="F322" s="26"/>
      <c r="G322" s="26"/>
      <c r="H322" s="26"/>
      <c r="I322" s="26"/>
      <c r="J322" s="26"/>
      <c r="K322" s="26"/>
      <c r="L322" s="26"/>
      <c r="M322" s="26"/>
      <c r="N322" s="27"/>
      <c r="O322" s="27"/>
      <c r="P322" s="27"/>
      <c r="Q322" s="27"/>
      <c r="R322" s="27"/>
      <c r="S322" s="27"/>
      <c r="T322" s="27"/>
      <c r="U322" s="26"/>
      <c r="V322" s="26"/>
      <c r="W322" s="26"/>
      <c r="X322" s="26"/>
      <c r="Y322" s="26"/>
      <c r="Z322" s="26"/>
      <c r="AA322" s="26"/>
      <c r="AB322" s="26"/>
      <c r="AC322" s="26"/>
      <c r="AD322" s="26"/>
    </row>
    <row r="323" spans="2:30">
      <c r="B323" s="26"/>
      <c r="C323" s="26"/>
      <c r="D323" s="26"/>
      <c r="E323" s="26"/>
      <c r="F323" s="26"/>
      <c r="G323" s="26"/>
      <c r="H323" s="26"/>
      <c r="I323" s="26"/>
      <c r="J323" s="26"/>
      <c r="K323" s="26"/>
      <c r="L323" s="26"/>
      <c r="M323" s="26"/>
      <c r="N323" s="27"/>
      <c r="O323" s="27"/>
      <c r="P323" s="27"/>
      <c r="Q323" s="27"/>
      <c r="R323" s="27"/>
      <c r="S323" s="27"/>
      <c r="T323" s="27"/>
      <c r="U323" s="26"/>
      <c r="V323" s="26"/>
      <c r="W323" s="26"/>
      <c r="X323" s="26"/>
      <c r="Y323" s="26"/>
      <c r="Z323" s="26"/>
      <c r="AA323" s="26"/>
      <c r="AB323" s="26"/>
      <c r="AC323" s="26"/>
      <c r="AD323" s="26"/>
    </row>
    <row r="324" spans="2:30">
      <c r="B324" s="26"/>
      <c r="C324" s="26"/>
      <c r="D324" s="26"/>
      <c r="E324" s="26"/>
      <c r="F324" s="26"/>
      <c r="G324" s="26"/>
      <c r="H324" s="26"/>
      <c r="I324" s="26"/>
      <c r="J324" s="26"/>
      <c r="K324" s="26"/>
      <c r="L324" s="26"/>
      <c r="M324" s="26"/>
      <c r="N324" s="27"/>
      <c r="O324" s="27"/>
      <c r="P324" s="27"/>
      <c r="Q324" s="27"/>
      <c r="R324" s="27"/>
      <c r="S324" s="27"/>
      <c r="T324" s="27"/>
      <c r="U324" s="26"/>
      <c r="V324" s="26"/>
      <c r="W324" s="26"/>
      <c r="X324" s="26"/>
      <c r="Y324" s="26"/>
      <c r="Z324" s="26"/>
      <c r="AA324" s="26"/>
      <c r="AB324" s="26"/>
      <c r="AC324" s="26"/>
      <c r="AD324" s="26"/>
    </row>
    <row r="325" spans="2:30">
      <c r="B325" s="26"/>
      <c r="C325" s="26"/>
      <c r="D325" s="26"/>
      <c r="E325" s="26"/>
      <c r="F325" s="26"/>
      <c r="G325" s="26"/>
      <c r="H325" s="26"/>
      <c r="I325" s="26"/>
      <c r="J325" s="26"/>
      <c r="K325" s="26"/>
      <c r="L325" s="26"/>
      <c r="M325" s="26"/>
      <c r="N325" s="27"/>
      <c r="O325" s="27"/>
      <c r="P325" s="27"/>
      <c r="Q325" s="27"/>
      <c r="R325" s="27"/>
      <c r="S325" s="27"/>
      <c r="T325" s="27"/>
      <c r="U325" s="26"/>
      <c r="V325" s="26"/>
      <c r="W325" s="26"/>
      <c r="X325" s="26"/>
      <c r="Y325" s="26"/>
      <c r="Z325" s="26"/>
      <c r="AA325" s="26"/>
      <c r="AB325" s="26"/>
      <c r="AC325" s="26"/>
      <c r="AD325" s="26"/>
    </row>
    <row r="326" spans="2:30">
      <c r="B326" s="26"/>
      <c r="C326" s="26"/>
      <c r="D326" s="26"/>
      <c r="E326" s="26"/>
      <c r="F326" s="26"/>
      <c r="G326" s="26"/>
      <c r="H326" s="26"/>
      <c r="I326" s="26"/>
      <c r="J326" s="26"/>
      <c r="K326" s="26"/>
      <c r="L326" s="26"/>
      <c r="M326" s="26"/>
      <c r="N326" s="27"/>
      <c r="O326" s="27"/>
      <c r="P326" s="27"/>
      <c r="Q326" s="27"/>
      <c r="R326" s="27"/>
      <c r="S326" s="27"/>
      <c r="T326" s="27"/>
      <c r="U326" s="26"/>
      <c r="V326" s="26"/>
      <c r="W326" s="26"/>
      <c r="X326" s="26"/>
      <c r="Y326" s="26"/>
      <c r="Z326" s="26"/>
      <c r="AA326" s="26"/>
      <c r="AB326" s="26"/>
      <c r="AC326" s="26"/>
      <c r="AD326" s="26"/>
    </row>
    <row r="327" spans="2:30">
      <c r="B327" s="26"/>
      <c r="C327" s="26"/>
      <c r="D327" s="26"/>
      <c r="E327" s="26"/>
      <c r="F327" s="26"/>
      <c r="G327" s="26"/>
      <c r="H327" s="26"/>
      <c r="I327" s="26"/>
      <c r="J327" s="26"/>
      <c r="K327" s="26"/>
      <c r="L327" s="26"/>
      <c r="M327" s="26"/>
      <c r="N327" s="27"/>
      <c r="O327" s="27"/>
      <c r="P327" s="27"/>
      <c r="Q327" s="27"/>
      <c r="R327" s="27"/>
      <c r="S327" s="27"/>
      <c r="T327" s="27"/>
      <c r="U327" s="26"/>
      <c r="V327" s="26"/>
      <c r="W327" s="26"/>
      <c r="X327" s="26"/>
      <c r="Y327" s="26"/>
      <c r="Z327" s="26"/>
      <c r="AA327" s="26"/>
      <c r="AB327" s="26"/>
      <c r="AC327" s="26"/>
      <c r="AD327" s="26"/>
    </row>
    <row r="328" spans="2:30">
      <c r="B328" s="26"/>
      <c r="C328" s="26"/>
      <c r="D328" s="26"/>
      <c r="E328" s="26"/>
      <c r="F328" s="26"/>
      <c r="G328" s="26"/>
      <c r="H328" s="26"/>
      <c r="I328" s="26"/>
      <c r="J328" s="26"/>
      <c r="K328" s="26"/>
      <c r="L328" s="26"/>
      <c r="M328" s="26"/>
      <c r="N328" s="27"/>
      <c r="O328" s="27"/>
      <c r="P328" s="27"/>
      <c r="Q328" s="27"/>
      <c r="R328" s="27"/>
      <c r="S328" s="27"/>
      <c r="T328" s="27"/>
      <c r="U328" s="26"/>
      <c r="V328" s="26"/>
      <c r="W328" s="26"/>
      <c r="X328" s="26"/>
      <c r="Y328" s="26"/>
      <c r="Z328" s="26"/>
      <c r="AA328" s="26"/>
      <c r="AB328" s="26"/>
      <c r="AC328" s="26"/>
      <c r="AD328" s="26"/>
    </row>
    <row r="329" spans="2:30">
      <c r="B329" s="26"/>
      <c r="C329" s="26"/>
      <c r="D329" s="26"/>
      <c r="E329" s="26"/>
      <c r="F329" s="26"/>
      <c r="G329" s="26"/>
      <c r="H329" s="26"/>
      <c r="I329" s="26"/>
      <c r="J329" s="26"/>
      <c r="K329" s="26"/>
      <c r="L329" s="26"/>
      <c r="M329" s="26"/>
      <c r="N329" s="27"/>
      <c r="O329" s="27"/>
      <c r="P329" s="27"/>
      <c r="Q329" s="27"/>
      <c r="R329" s="27"/>
      <c r="S329" s="27"/>
      <c r="T329" s="27"/>
      <c r="U329" s="26"/>
      <c r="V329" s="26"/>
      <c r="W329" s="26"/>
      <c r="X329" s="26"/>
      <c r="Y329" s="26"/>
      <c r="Z329" s="26"/>
      <c r="AA329" s="26"/>
      <c r="AB329" s="26"/>
      <c r="AC329" s="26"/>
      <c r="AD329" s="26"/>
    </row>
    <row r="330" spans="2:30">
      <c r="B330" s="26"/>
      <c r="C330" s="26"/>
      <c r="D330" s="26"/>
      <c r="E330" s="26"/>
      <c r="F330" s="26"/>
      <c r="G330" s="26"/>
      <c r="H330" s="26"/>
      <c r="I330" s="26"/>
      <c r="J330" s="26"/>
      <c r="K330" s="26"/>
      <c r="L330" s="26"/>
      <c r="M330" s="26"/>
      <c r="N330" s="27"/>
      <c r="O330" s="27"/>
      <c r="P330" s="27"/>
      <c r="Q330" s="27"/>
      <c r="R330" s="27"/>
      <c r="S330" s="27"/>
      <c r="T330" s="27"/>
      <c r="U330" s="26"/>
      <c r="V330" s="26"/>
      <c r="W330" s="26"/>
      <c r="X330" s="26"/>
      <c r="Y330" s="26"/>
      <c r="Z330" s="26"/>
      <c r="AA330" s="26"/>
      <c r="AB330" s="26"/>
      <c r="AC330" s="26"/>
      <c r="AD330" s="26"/>
    </row>
    <row r="331" spans="2:30">
      <c r="B331" s="26"/>
      <c r="C331" s="26"/>
      <c r="D331" s="26"/>
      <c r="E331" s="26"/>
      <c r="F331" s="26"/>
      <c r="G331" s="26"/>
      <c r="H331" s="26"/>
      <c r="I331" s="26"/>
      <c r="J331" s="26"/>
      <c r="K331" s="26"/>
      <c r="L331" s="26"/>
      <c r="M331" s="26"/>
      <c r="N331" s="27"/>
      <c r="O331" s="27"/>
      <c r="P331" s="27"/>
      <c r="Q331" s="27"/>
      <c r="R331" s="27"/>
      <c r="S331" s="27"/>
      <c r="T331" s="27"/>
      <c r="U331" s="26"/>
      <c r="V331" s="26"/>
      <c r="W331" s="26"/>
      <c r="X331" s="26"/>
      <c r="Y331" s="26"/>
      <c r="Z331" s="26"/>
      <c r="AA331" s="26"/>
      <c r="AB331" s="26"/>
      <c r="AC331" s="26"/>
      <c r="AD331" s="26"/>
    </row>
    <row r="332" spans="2:30">
      <c r="B332" s="26"/>
      <c r="C332" s="26"/>
      <c r="D332" s="26"/>
      <c r="E332" s="26"/>
      <c r="F332" s="26"/>
      <c r="G332" s="26"/>
      <c r="H332" s="26"/>
      <c r="I332" s="26"/>
      <c r="J332" s="26"/>
      <c r="K332" s="26"/>
      <c r="L332" s="26"/>
      <c r="M332" s="26"/>
      <c r="N332" s="27"/>
      <c r="O332" s="27"/>
      <c r="P332" s="27"/>
      <c r="Q332" s="27"/>
      <c r="R332" s="27"/>
      <c r="S332" s="27"/>
      <c r="T332" s="27"/>
      <c r="U332" s="26"/>
      <c r="V332" s="26"/>
      <c r="W332" s="26"/>
      <c r="X332" s="26"/>
      <c r="Y332" s="26"/>
      <c r="Z332" s="26"/>
      <c r="AA332" s="26"/>
      <c r="AB332" s="26"/>
      <c r="AC332" s="26"/>
      <c r="AD332" s="26"/>
    </row>
    <row r="333" spans="2:30">
      <c r="B333" s="26"/>
      <c r="C333" s="26"/>
      <c r="D333" s="26"/>
      <c r="E333" s="26"/>
      <c r="F333" s="26"/>
      <c r="G333" s="26"/>
      <c r="H333" s="26"/>
      <c r="I333" s="26"/>
      <c r="J333" s="26"/>
      <c r="K333" s="26"/>
      <c r="L333" s="26"/>
      <c r="M333" s="26"/>
      <c r="N333" s="27"/>
      <c r="O333" s="27"/>
      <c r="P333" s="27"/>
      <c r="Q333" s="27"/>
      <c r="R333" s="27"/>
      <c r="S333" s="27"/>
      <c r="T333" s="27"/>
      <c r="U333" s="26"/>
      <c r="V333" s="26"/>
      <c r="W333" s="26"/>
      <c r="X333" s="26"/>
      <c r="Y333" s="26"/>
      <c r="Z333" s="26"/>
      <c r="AA333" s="26"/>
      <c r="AB333" s="26"/>
      <c r="AC333" s="26"/>
      <c r="AD333" s="26"/>
    </row>
    <row r="334" spans="2:30">
      <c r="B334" s="26"/>
      <c r="C334" s="26"/>
      <c r="D334" s="26"/>
      <c r="E334" s="26"/>
      <c r="F334" s="26"/>
      <c r="G334" s="26"/>
      <c r="H334" s="26"/>
      <c r="I334" s="26"/>
      <c r="J334" s="26"/>
      <c r="K334" s="26"/>
      <c r="L334" s="26"/>
      <c r="M334" s="26"/>
      <c r="N334" s="27"/>
      <c r="O334" s="27"/>
      <c r="P334" s="27"/>
      <c r="Q334" s="27"/>
      <c r="R334" s="27"/>
      <c r="S334" s="27"/>
      <c r="T334" s="27"/>
      <c r="U334" s="26"/>
      <c r="V334" s="26"/>
      <c r="W334" s="26"/>
      <c r="X334" s="26"/>
      <c r="Y334" s="26"/>
      <c r="Z334" s="26"/>
      <c r="AA334" s="26"/>
      <c r="AB334" s="26"/>
      <c r="AC334" s="26"/>
      <c r="AD334" s="26"/>
    </row>
    <row r="335" spans="2:30">
      <c r="B335" s="26"/>
      <c r="C335" s="26"/>
      <c r="D335" s="26"/>
      <c r="E335" s="26"/>
      <c r="F335" s="26"/>
      <c r="G335" s="26"/>
      <c r="H335" s="26"/>
      <c r="I335" s="26"/>
      <c r="J335" s="26"/>
      <c r="K335" s="26"/>
      <c r="L335" s="26"/>
      <c r="M335" s="26"/>
      <c r="N335" s="27"/>
      <c r="O335" s="27"/>
      <c r="P335" s="27"/>
      <c r="Q335" s="27"/>
      <c r="R335" s="27"/>
      <c r="S335" s="27"/>
      <c r="T335" s="27"/>
      <c r="U335" s="26"/>
      <c r="V335" s="26"/>
      <c r="W335" s="26"/>
      <c r="X335" s="26"/>
      <c r="Y335" s="26"/>
      <c r="Z335" s="26"/>
      <c r="AA335" s="26"/>
      <c r="AB335" s="26"/>
      <c r="AC335" s="26"/>
      <c r="AD335" s="26"/>
    </row>
    <row r="336" spans="2:30">
      <c r="B336" s="26"/>
      <c r="C336" s="26"/>
      <c r="D336" s="26"/>
      <c r="E336" s="26"/>
      <c r="F336" s="26"/>
      <c r="G336" s="26"/>
      <c r="H336" s="26"/>
      <c r="I336" s="26"/>
      <c r="J336" s="26"/>
      <c r="K336" s="26"/>
      <c r="L336" s="26"/>
      <c r="M336" s="26"/>
      <c r="N336" s="27"/>
      <c r="O336" s="27"/>
      <c r="P336" s="27"/>
      <c r="Q336" s="27"/>
      <c r="R336" s="27"/>
      <c r="S336" s="27"/>
      <c r="T336" s="27"/>
      <c r="U336" s="26"/>
      <c r="V336" s="26"/>
      <c r="W336" s="26"/>
      <c r="X336" s="26"/>
      <c r="Y336" s="26"/>
      <c r="Z336" s="26"/>
      <c r="AA336" s="26"/>
      <c r="AB336" s="26"/>
      <c r="AC336" s="26"/>
      <c r="AD336" s="26"/>
    </row>
    <row r="337" spans="2:30">
      <c r="B337" s="26"/>
      <c r="C337" s="26"/>
      <c r="D337" s="26"/>
      <c r="E337" s="26"/>
      <c r="F337" s="26"/>
      <c r="G337" s="26"/>
      <c r="H337" s="26"/>
      <c r="I337" s="26"/>
      <c r="J337" s="26"/>
      <c r="K337" s="26"/>
      <c r="L337" s="26"/>
      <c r="M337" s="26"/>
      <c r="N337" s="27"/>
      <c r="O337" s="27"/>
      <c r="P337" s="27"/>
      <c r="Q337" s="27"/>
      <c r="R337" s="27"/>
      <c r="S337" s="27"/>
      <c r="T337" s="27"/>
      <c r="U337" s="26"/>
      <c r="V337" s="26"/>
      <c r="W337" s="26"/>
      <c r="X337" s="26"/>
      <c r="Y337" s="26"/>
      <c r="Z337" s="26"/>
      <c r="AA337" s="26"/>
      <c r="AB337" s="26"/>
      <c r="AC337" s="26"/>
      <c r="AD337" s="26"/>
    </row>
    <row r="338" spans="2:30">
      <c r="B338" s="26"/>
      <c r="C338" s="26"/>
      <c r="D338" s="26"/>
      <c r="E338" s="26"/>
      <c r="F338" s="26"/>
      <c r="G338" s="26"/>
      <c r="H338" s="26"/>
      <c r="I338" s="26"/>
      <c r="J338" s="26"/>
      <c r="K338" s="26"/>
      <c r="L338" s="26"/>
      <c r="M338" s="26"/>
      <c r="N338" s="27"/>
      <c r="O338" s="27"/>
      <c r="P338" s="27"/>
      <c r="Q338" s="27"/>
      <c r="R338" s="27"/>
      <c r="S338" s="27"/>
      <c r="T338" s="27"/>
      <c r="U338" s="26"/>
      <c r="V338" s="26"/>
      <c r="W338" s="26"/>
      <c r="X338" s="26"/>
      <c r="Y338" s="26"/>
      <c r="Z338" s="26"/>
      <c r="AA338" s="26"/>
      <c r="AB338" s="26"/>
      <c r="AC338" s="26"/>
      <c r="AD338" s="26"/>
    </row>
    <row r="339" spans="2:30">
      <c r="B339" s="26"/>
      <c r="C339" s="26"/>
      <c r="D339" s="26"/>
      <c r="E339" s="26"/>
      <c r="F339" s="26"/>
      <c r="G339" s="26"/>
      <c r="H339" s="26"/>
      <c r="I339" s="26"/>
      <c r="J339" s="26"/>
      <c r="K339" s="26"/>
      <c r="L339" s="26"/>
      <c r="M339" s="26"/>
      <c r="N339" s="27"/>
      <c r="O339" s="27"/>
      <c r="P339" s="27"/>
      <c r="Q339" s="27"/>
      <c r="R339" s="27"/>
      <c r="S339" s="27"/>
      <c r="T339" s="27"/>
      <c r="U339" s="26"/>
      <c r="V339" s="26"/>
      <c r="W339" s="26"/>
      <c r="X339" s="26"/>
      <c r="Y339" s="26"/>
      <c r="Z339" s="26"/>
      <c r="AA339" s="26"/>
      <c r="AB339" s="26"/>
      <c r="AC339" s="26"/>
      <c r="AD339" s="26"/>
    </row>
    <row r="340" spans="2:30">
      <c r="B340" s="26"/>
      <c r="C340" s="26"/>
      <c r="D340" s="26"/>
      <c r="E340" s="26"/>
      <c r="F340" s="26"/>
      <c r="G340" s="26"/>
      <c r="H340" s="26"/>
      <c r="I340" s="26"/>
      <c r="J340" s="26"/>
      <c r="K340" s="26"/>
      <c r="L340" s="26"/>
      <c r="M340" s="26"/>
      <c r="N340" s="27"/>
      <c r="O340" s="27"/>
      <c r="P340" s="27"/>
      <c r="Q340" s="27"/>
      <c r="R340" s="27"/>
      <c r="S340" s="27"/>
      <c r="T340" s="27"/>
      <c r="U340" s="26"/>
      <c r="V340" s="26"/>
      <c r="W340" s="26"/>
      <c r="X340" s="26"/>
      <c r="Y340" s="26"/>
      <c r="Z340" s="26"/>
      <c r="AA340" s="26"/>
      <c r="AB340" s="26"/>
      <c r="AC340" s="26"/>
      <c r="AD340" s="26"/>
    </row>
    <row r="341" spans="2:30">
      <c r="B341" s="26"/>
      <c r="C341" s="26"/>
      <c r="D341" s="26"/>
      <c r="E341" s="26"/>
      <c r="F341" s="26"/>
      <c r="G341" s="26"/>
      <c r="H341" s="26"/>
      <c r="I341" s="26"/>
      <c r="J341" s="26"/>
      <c r="K341" s="26"/>
      <c r="L341" s="26"/>
      <c r="M341" s="26"/>
      <c r="N341" s="27"/>
      <c r="O341" s="27"/>
      <c r="P341" s="27"/>
      <c r="Q341" s="27"/>
      <c r="R341" s="27"/>
      <c r="S341" s="27"/>
      <c r="T341" s="27"/>
      <c r="U341" s="26"/>
      <c r="V341" s="26"/>
      <c r="W341" s="26"/>
      <c r="X341" s="26"/>
      <c r="Y341" s="26"/>
      <c r="Z341" s="26"/>
      <c r="AA341" s="26"/>
      <c r="AB341" s="26"/>
      <c r="AC341" s="26"/>
      <c r="AD341" s="26"/>
    </row>
    <row r="342" spans="2:30">
      <c r="B342" s="26"/>
      <c r="C342" s="26"/>
      <c r="D342" s="26"/>
      <c r="E342" s="26"/>
      <c r="F342" s="26"/>
      <c r="G342" s="26"/>
      <c r="H342" s="26"/>
      <c r="I342" s="26"/>
      <c r="J342" s="26"/>
      <c r="K342" s="26"/>
      <c r="L342" s="26"/>
      <c r="M342" s="26"/>
      <c r="N342" s="27"/>
      <c r="O342" s="27"/>
      <c r="P342" s="27"/>
      <c r="Q342" s="27"/>
      <c r="R342" s="27"/>
      <c r="S342" s="27"/>
      <c r="T342" s="27"/>
      <c r="U342" s="26"/>
      <c r="V342" s="26"/>
      <c r="W342" s="26"/>
      <c r="X342" s="26"/>
      <c r="Y342" s="26"/>
      <c r="Z342" s="26"/>
      <c r="AA342" s="26"/>
      <c r="AB342" s="26"/>
      <c r="AC342" s="26"/>
      <c r="AD342" s="26"/>
    </row>
    <row r="343" spans="2:30">
      <c r="B343" s="26"/>
      <c r="C343" s="26"/>
      <c r="D343" s="26"/>
      <c r="E343" s="26"/>
      <c r="F343" s="26"/>
      <c r="G343" s="26"/>
      <c r="H343" s="26"/>
      <c r="I343" s="26"/>
      <c r="J343" s="26"/>
      <c r="K343" s="26"/>
      <c r="L343" s="26"/>
      <c r="M343" s="26"/>
      <c r="N343" s="27"/>
      <c r="O343" s="27"/>
      <c r="P343" s="27"/>
      <c r="Q343" s="27"/>
      <c r="R343" s="27"/>
      <c r="S343" s="27"/>
      <c r="T343" s="27"/>
      <c r="U343" s="26"/>
      <c r="V343" s="26"/>
      <c r="W343" s="26"/>
      <c r="X343" s="26"/>
      <c r="Y343" s="26"/>
      <c r="Z343" s="26"/>
      <c r="AA343" s="26"/>
      <c r="AB343" s="26"/>
      <c r="AC343" s="26"/>
      <c r="AD343" s="26"/>
    </row>
    <row r="344" spans="2:30">
      <c r="B344" s="26"/>
      <c r="C344" s="26"/>
      <c r="D344" s="26"/>
      <c r="E344" s="26"/>
      <c r="F344" s="26"/>
      <c r="G344" s="26"/>
      <c r="H344" s="26"/>
      <c r="I344" s="26"/>
      <c r="J344" s="26"/>
      <c r="K344" s="26"/>
      <c r="L344" s="26"/>
      <c r="M344" s="26"/>
      <c r="N344" s="27"/>
      <c r="O344" s="27"/>
      <c r="P344" s="27"/>
      <c r="Q344" s="27"/>
      <c r="R344" s="27"/>
      <c r="S344" s="27"/>
      <c r="T344" s="27"/>
      <c r="U344" s="26"/>
      <c r="V344" s="26"/>
      <c r="W344" s="26"/>
      <c r="X344" s="26"/>
      <c r="Y344" s="26"/>
      <c r="Z344" s="26"/>
      <c r="AA344" s="26"/>
      <c r="AB344" s="26"/>
      <c r="AC344" s="26"/>
      <c r="AD344" s="26"/>
    </row>
    <row r="345" spans="2:30">
      <c r="B345" s="26"/>
      <c r="C345" s="26"/>
      <c r="D345" s="26"/>
      <c r="E345" s="26"/>
      <c r="F345" s="26"/>
      <c r="G345" s="26"/>
      <c r="H345" s="26"/>
      <c r="I345" s="26"/>
      <c r="J345" s="26"/>
      <c r="K345" s="26"/>
      <c r="L345" s="26"/>
      <c r="M345" s="26"/>
      <c r="N345" s="27"/>
      <c r="O345" s="27"/>
      <c r="P345" s="27"/>
      <c r="Q345" s="27"/>
      <c r="R345" s="27"/>
      <c r="S345" s="27"/>
      <c r="T345" s="27"/>
      <c r="U345" s="26"/>
      <c r="V345" s="26"/>
      <c r="W345" s="26"/>
      <c r="X345" s="26"/>
      <c r="Y345" s="26"/>
      <c r="Z345" s="26"/>
      <c r="AA345" s="26"/>
      <c r="AB345" s="26"/>
      <c r="AC345" s="26"/>
      <c r="AD345" s="26"/>
    </row>
    <row r="346" spans="2:30">
      <c r="B346" s="26"/>
      <c r="C346" s="26"/>
      <c r="D346" s="26"/>
      <c r="E346" s="26"/>
      <c r="F346" s="26"/>
      <c r="G346" s="26"/>
      <c r="H346" s="26"/>
      <c r="I346" s="26"/>
      <c r="J346" s="26"/>
      <c r="K346" s="26"/>
      <c r="L346" s="26"/>
      <c r="M346" s="26"/>
      <c r="N346" s="27"/>
      <c r="O346" s="27"/>
      <c r="P346" s="27"/>
      <c r="Q346" s="27"/>
      <c r="R346" s="27"/>
      <c r="S346" s="27"/>
      <c r="T346" s="27"/>
      <c r="U346" s="26"/>
      <c r="V346" s="26"/>
      <c r="W346" s="26"/>
      <c r="X346" s="26"/>
      <c r="Y346" s="26"/>
      <c r="Z346" s="26"/>
      <c r="AA346" s="26"/>
      <c r="AB346" s="26"/>
      <c r="AC346" s="26"/>
      <c r="AD346" s="26"/>
    </row>
    <row r="347" spans="2:30">
      <c r="B347" s="26"/>
      <c r="C347" s="26"/>
      <c r="D347" s="26"/>
      <c r="E347" s="26"/>
      <c r="F347" s="26"/>
      <c r="G347" s="26"/>
      <c r="H347" s="26"/>
      <c r="I347" s="26"/>
      <c r="J347" s="26"/>
      <c r="K347" s="26"/>
      <c r="L347" s="26"/>
      <c r="M347" s="26"/>
      <c r="N347" s="27"/>
      <c r="O347" s="27"/>
      <c r="P347" s="27"/>
      <c r="Q347" s="27"/>
      <c r="R347" s="27"/>
      <c r="S347" s="27"/>
      <c r="T347" s="27"/>
      <c r="U347" s="26"/>
      <c r="V347" s="26"/>
      <c r="W347" s="26"/>
      <c r="X347" s="26"/>
      <c r="Y347" s="26"/>
      <c r="Z347" s="26"/>
      <c r="AA347" s="26"/>
      <c r="AB347" s="26"/>
      <c r="AC347" s="26"/>
      <c r="AD347" s="26"/>
    </row>
    <row r="348" spans="2:30">
      <c r="B348" s="26"/>
      <c r="C348" s="26"/>
      <c r="D348" s="26"/>
      <c r="E348" s="26"/>
      <c r="F348" s="26"/>
      <c r="G348" s="26"/>
      <c r="H348" s="26"/>
      <c r="I348" s="26"/>
      <c r="J348" s="26"/>
      <c r="K348" s="26"/>
      <c r="L348" s="26"/>
      <c r="M348" s="26"/>
      <c r="N348" s="27"/>
      <c r="O348" s="27"/>
      <c r="P348" s="27"/>
      <c r="Q348" s="27"/>
      <c r="R348" s="27"/>
      <c r="S348" s="27"/>
      <c r="T348" s="27"/>
      <c r="U348" s="26"/>
      <c r="V348" s="26"/>
      <c r="W348" s="26"/>
      <c r="X348" s="26"/>
      <c r="Y348" s="26"/>
      <c r="Z348" s="26"/>
      <c r="AA348" s="26"/>
      <c r="AB348" s="26"/>
      <c r="AC348" s="26"/>
      <c r="AD348" s="26"/>
    </row>
    <row r="349" spans="2:30">
      <c r="B349" s="26"/>
      <c r="C349" s="26"/>
      <c r="D349" s="26"/>
      <c r="E349" s="26"/>
      <c r="F349" s="26"/>
      <c r="G349" s="26"/>
      <c r="H349" s="26"/>
      <c r="I349" s="26"/>
      <c r="J349" s="26"/>
      <c r="K349" s="26"/>
      <c r="L349" s="26"/>
      <c r="M349" s="26"/>
      <c r="N349" s="27"/>
      <c r="O349" s="27"/>
      <c r="P349" s="27"/>
      <c r="Q349" s="27"/>
      <c r="R349" s="27"/>
      <c r="S349" s="27"/>
      <c r="T349" s="27"/>
      <c r="U349" s="26"/>
      <c r="V349" s="26"/>
      <c r="W349" s="26"/>
      <c r="X349" s="26"/>
      <c r="Y349" s="26"/>
      <c r="Z349" s="26"/>
      <c r="AA349" s="26"/>
      <c r="AB349" s="26"/>
      <c r="AC349" s="26"/>
      <c r="AD349" s="26"/>
    </row>
    <row r="350" spans="2:30">
      <c r="B350" s="26"/>
      <c r="C350" s="26"/>
      <c r="D350" s="26"/>
      <c r="E350" s="26"/>
      <c r="F350" s="26"/>
      <c r="G350" s="26"/>
      <c r="H350" s="26"/>
      <c r="I350" s="26"/>
      <c r="J350" s="26"/>
      <c r="K350" s="26"/>
      <c r="L350" s="26"/>
      <c r="M350" s="26"/>
      <c r="N350" s="27"/>
      <c r="O350" s="27"/>
      <c r="P350" s="27"/>
      <c r="Q350" s="27"/>
      <c r="R350" s="27"/>
      <c r="S350" s="27"/>
      <c r="T350" s="27"/>
      <c r="U350" s="26"/>
      <c r="V350" s="26"/>
      <c r="W350" s="26"/>
      <c r="X350" s="26"/>
      <c r="Y350" s="26"/>
      <c r="Z350" s="26"/>
      <c r="AA350" s="26"/>
      <c r="AB350" s="26"/>
      <c r="AC350" s="26"/>
      <c r="AD350" s="26"/>
    </row>
    <row r="351" spans="2:30">
      <c r="B351" s="26"/>
      <c r="C351" s="26"/>
      <c r="D351" s="26"/>
      <c r="E351" s="26"/>
      <c r="F351" s="26"/>
      <c r="G351" s="26"/>
      <c r="H351" s="26"/>
      <c r="I351" s="26"/>
      <c r="J351" s="26"/>
      <c r="K351" s="26"/>
      <c r="L351" s="26"/>
      <c r="M351" s="26"/>
      <c r="N351" s="27"/>
      <c r="O351" s="27"/>
      <c r="P351" s="27"/>
      <c r="Q351" s="27"/>
      <c r="R351" s="27"/>
      <c r="S351" s="27"/>
      <c r="T351" s="27"/>
      <c r="U351" s="26"/>
      <c r="V351" s="26"/>
      <c r="W351" s="26"/>
      <c r="X351" s="26"/>
      <c r="Y351" s="26"/>
      <c r="Z351" s="26"/>
      <c r="AA351" s="26"/>
      <c r="AB351" s="26"/>
      <c r="AC351" s="26"/>
      <c r="AD351" s="26"/>
    </row>
    <row r="352" spans="2:30">
      <c r="B352" s="26"/>
      <c r="C352" s="26"/>
      <c r="D352" s="26"/>
      <c r="E352" s="26"/>
      <c r="F352" s="26"/>
      <c r="G352" s="26"/>
      <c r="H352" s="26"/>
      <c r="I352" s="26"/>
      <c r="J352" s="26"/>
      <c r="K352" s="26"/>
      <c r="L352" s="26"/>
      <c r="M352" s="26"/>
      <c r="N352" s="27"/>
      <c r="O352" s="27"/>
      <c r="P352" s="27"/>
      <c r="Q352" s="27"/>
      <c r="R352" s="27"/>
      <c r="S352" s="27"/>
      <c r="T352" s="27"/>
      <c r="U352" s="26"/>
      <c r="V352" s="26"/>
      <c r="W352" s="26"/>
      <c r="X352" s="26"/>
      <c r="Y352" s="26"/>
      <c r="Z352" s="26"/>
      <c r="AA352" s="26"/>
      <c r="AB352" s="26"/>
      <c r="AC352" s="26"/>
      <c r="AD352" s="26"/>
    </row>
    <row r="353" spans="2:30">
      <c r="B353" s="26"/>
      <c r="C353" s="26"/>
      <c r="D353" s="26"/>
      <c r="E353" s="26"/>
      <c r="F353" s="26"/>
      <c r="G353" s="26"/>
      <c r="H353" s="26"/>
      <c r="I353" s="26"/>
      <c r="J353" s="26"/>
      <c r="K353" s="26"/>
      <c r="L353" s="26"/>
      <c r="M353" s="26"/>
      <c r="N353" s="27"/>
      <c r="O353" s="27"/>
      <c r="P353" s="27"/>
      <c r="Q353" s="27"/>
      <c r="R353" s="27"/>
      <c r="S353" s="27"/>
      <c r="T353" s="27"/>
      <c r="U353" s="26"/>
      <c r="V353" s="26"/>
      <c r="W353" s="26"/>
      <c r="X353" s="26"/>
      <c r="Y353" s="26"/>
      <c r="Z353" s="26"/>
      <c r="AA353" s="26"/>
      <c r="AB353" s="26"/>
      <c r="AC353" s="26"/>
      <c r="AD353" s="26"/>
    </row>
    <row r="354" spans="2:30">
      <c r="B354" s="26"/>
      <c r="C354" s="26"/>
      <c r="D354" s="26"/>
      <c r="E354" s="26"/>
      <c r="F354" s="26"/>
      <c r="G354" s="26"/>
      <c r="H354" s="26"/>
      <c r="I354" s="26"/>
      <c r="J354" s="26"/>
      <c r="K354" s="26"/>
      <c r="L354" s="26"/>
      <c r="M354" s="26"/>
      <c r="N354" s="27"/>
      <c r="O354" s="27"/>
      <c r="P354" s="27"/>
      <c r="Q354" s="27"/>
      <c r="R354" s="27"/>
      <c r="S354" s="27"/>
      <c r="T354" s="27"/>
      <c r="U354" s="26"/>
      <c r="V354" s="26"/>
      <c r="W354" s="26"/>
      <c r="X354" s="26"/>
      <c r="Y354" s="26"/>
      <c r="Z354" s="26"/>
      <c r="AA354" s="26"/>
      <c r="AB354" s="26"/>
      <c r="AC354" s="26"/>
      <c r="AD354" s="26"/>
    </row>
    <row r="355" spans="2:30">
      <c r="B355" s="26"/>
      <c r="C355" s="26"/>
      <c r="D355" s="26"/>
      <c r="E355" s="26"/>
      <c r="F355" s="26"/>
      <c r="G355" s="26"/>
      <c r="H355" s="26"/>
      <c r="I355" s="26"/>
      <c r="J355" s="26"/>
      <c r="K355" s="26"/>
      <c r="L355" s="26"/>
      <c r="M355" s="26"/>
      <c r="N355" s="27"/>
      <c r="O355" s="27"/>
      <c r="P355" s="27"/>
      <c r="Q355" s="27"/>
      <c r="R355" s="27"/>
      <c r="S355" s="27"/>
      <c r="T355" s="27"/>
      <c r="U355" s="26"/>
      <c r="V355" s="26"/>
      <c r="W355" s="26"/>
      <c r="X355" s="26"/>
      <c r="Y355" s="26"/>
      <c r="Z355" s="26"/>
      <c r="AA355" s="26"/>
      <c r="AB355" s="26"/>
      <c r="AC355" s="26"/>
      <c r="AD355" s="26"/>
    </row>
    <row r="356" spans="2:30">
      <c r="B356" s="26"/>
      <c r="C356" s="26"/>
      <c r="D356" s="26"/>
      <c r="E356" s="26"/>
      <c r="F356" s="26"/>
      <c r="G356" s="26"/>
      <c r="H356" s="26"/>
      <c r="I356" s="26"/>
      <c r="J356" s="26"/>
      <c r="K356" s="26"/>
      <c r="L356" s="26"/>
      <c r="M356" s="26"/>
      <c r="N356" s="27"/>
      <c r="O356" s="27"/>
      <c r="P356" s="27"/>
      <c r="Q356" s="27"/>
      <c r="R356" s="27"/>
      <c r="S356" s="27"/>
      <c r="T356" s="27"/>
      <c r="U356" s="26"/>
      <c r="V356" s="26"/>
      <c r="W356" s="26"/>
      <c r="X356" s="26"/>
      <c r="Y356" s="26"/>
      <c r="Z356" s="26"/>
      <c r="AA356" s="26"/>
      <c r="AB356" s="26"/>
      <c r="AC356" s="26"/>
      <c r="AD356" s="26"/>
    </row>
    <row r="357" spans="2:30">
      <c r="B357" s="26"/>
      <c r="C357" s="26"/>
      <c r="D357" s="26"/>
      <c r="E357" s="26"/>
      <c r="F357" s="26"/>
      <c r="G357" s="26"/>
      <c r="H357" s="26"/>
      <c r="I357" s="26"/>
      <c r="J357" s="26"/>
      <c r="K357" s="26"/>
      <c r="L357" s="26"/>
      <c r="M357" s="26"/>
      <c r="N357" s="27"/>
      <c r="O357" s="27"/>
      <c r="P357" s="27"/>
      <c r="Q357" s="27"/>
      <c r="R357" s="27"/>
      <c r="S357" s="27"/>
      <c r="T357" s="27"/>
      <c r="U357" s="26"/>
      <c r="V357" s="26"/>
      <c r="W357" s="26"/>
      <c r="X357" s="26"/>
      <c r="Y357" s="26"/>
      <c r="Z357" s="26"/>
      <c r="AA357" s="26"/>
      <c r="AB357" s="26"/>
      <c r="AC357" s="26"/>
      <c r="AD357" s="26"/>
    </row>
    <row r="358" spans="2:30">
      <c r="B358" s="26"/>
      <c r="C358" s="26"/>
      <c r="D358" s="26"/>
      <c r="E358" s="26"/>
      <c r="F358" s="26"/>
      <c r="G358" s="26"/>
      <c r="H358" s="26"/>
      <c r="I358" s="26"/>
      <c r="J358" s="26"/>
      <c r="K358" s="26"/>
      <c r="L358" s="26"/>
      <c r="M358" s="26"/>
      <c r="N358" s="27"/>
      <c r="O358" s="27"/>
      <c r="P358" s="27"/>
      <c r="Q358" s="27"/>
      <c r="R358" s="27"/>
      <c r="S358" s="27"/>
      <c r="T358" s="27"/>
      <c r="U358" s="26"/>
      <c r="V358" s="26"/>
      <c r="W358" s="26"/>
      <c r="X358" s="26"/>
      <c r="Y358" s="26"/>
      <c r="Z358" s="26"/>
      <c r="AA358" s="26"/>
      <c r="AB358" s="26"/>
      <c r="AC358" s="26"/>
      <c r="AD358" s="26"/>
    </row>
    <row r="359" spans="2:30">
      <c r="B359" s="26"/>
      <c r="C359" s="26"/>
      <c r="D359" s="26"/>
      <c r="E359" s="26"/>
      <c r="F359" s="26"/>
      <c r="G359" s="26"/>
      <c r="H359" s="26"/>
      <c r="I359" s="26"/>
      <c r="J359" s="26"/>
      <c r="K359" s="26"/>
      <c r="L359" s="26"/>
      <c r="M359" s="26"/>
      <c r="N359" s="27"/>
      <c r="O359" s="27"/>
      <c r="P359" s="27"/>
      <c r="Q359" s="27"/>
      <c r="R359" s="27"/>
      <c r="S359" s="27"/>
      <c r="T359" s="27"/>
      <c r="U359" s="26"/>
      <c r="V359" s="26"/>
      <c r="W359" s="26"/>
      <c r="X359" s="26"/>
      <c r="Y359" s="26"/>
      <c r="Z359" s="26"/>
      <c r="AA359" s="26"/>
      <c r="AB359" s="26"/>
      <c r="AC359" s="26"/>
      <c r="AD359" s="26"/>
    </row>
    <row r="360" spans="2:30">
      <c r="B360" s="26"/>
      <c r="C360" s="26"/>
      <c r="D360" s="26"/>
      <c r="E360" s="26"/>
      <c r="F360" s="26"/>
      <c r="G360" s="26"/>
      <c r="H360" s="26"/>
      <c r="I360" s="26"/>
      <c r="J360" s="26"/>
      <c r="K360" s="26"/>
      <c r="L360" s="26"/>
      <c r="M360" s="26"/>
      <c r="N360" s="27"/>
      <c r="O360" s="27"/>
      <c r="P360" s="27"/>
      <c r="Q360" s="27"/>
      <c r="R360" s="27"/>
      <c r="S360" s="27"/>
      <c r="T360" s="27"/>
      <c r="U360" s="26"/>
      <c r="V360" s="26"/>
      <c r="W360" s="26"/>
      <c r="X360" s="26"/>
      <c r="Y360" s="26"/>
      <c r="Z360" s="26"/>
      <c r="AA360" s="26"/>
      <c r="AB360" s="26"/>
      <c r="AC360" s="26"/>
      <c r="AD360" s="26"/>
    </row>
    <row r="361" spans="2:30">
      <c r="B361" s="26"/>
      <c r="C361" s="26"/>
      <c r="D361" s="26"/>
      <c r="E361" s="26"/>
      <c r="F361" s="26"/>
      <c r="G361" s="26"/>
      <c r="H361" s="26"/>
      <c r="I361" s="26"/>
      <c r="J361" s="26"/>
      <c r="K361" s="26"/>
      <c r="L361" s="26"/>
      <c r="M361" s="26"/>
      <c r="N361" s="27"/>
      <c r="O361" s="27"/>
      <c r="P361" s="27"/>
      <c r="Q361" s="27"/>
      <c r="R361" s="27"/>
      <c r="S361" s="27"/>
      <c r="T361" s="27"/>
      <c r="U361" s="26"/>
      <c r="V361" s="26"/>
      <c r="W361" s="26"/>
      <c r="X361" s="26"/>
      <c r="Y361" s="26"/>
      <c r="Z361" s="26"/>
      <c r="AA361" s="26"/>
      <c r="AB361" s="26"/>
      <c r="AC361" s="26"/>
      <c r="AD361" s="26"/>
    </row>
    <row r="362" spans="2:30">
      <c r="B362" s="26"/>
      <c r="C362" s="26"/>
      <c r="D362" s="26"/>
      <c r="E362" s="26"/>
      <c r="F362" s="26"/>
      <c r="G362" s="26"/>
      <c r="H362" s="26"/>
      <c r="I362" s="26"/>
      <c r="J362" s="26"/>
      <c r="K362" s="26"/>
      <c r="L362" s="26"/>
      <c r="M362" s="26"/>
      <c r="N362" s="27"/>
      <c r="O362" s="27"/>
      <c r="P362" s="27"/>
      <c r="Q362" s="27"/>
      <c r="R362" s="27"/>
      <c r="S362" s="27"/>
      <c r="T362" s="27"/>
      <c r="U362" s="26"/>
      <c r="V362" s="26"/>
      <c r="W362" s="26"/>
      <c r="X362" s="26"/>
      <c r="Y362" s="26"/>
      <c r="Z362" s="26"/>
      <c r="AA362" s="26"/>
      <c r="AB362" s="26"/>
      <c r="AC362" s="26"/>
      <c r="AD362" s="26"/>
    </row>
    <row r="363" spans="2:30">
      <c r="B363" s="26"/>
      <c r="C363" s="26"/>
      <c r="D363" s="26"/>
      <c r="E363" s="26"/>
      <c r="F363" s="26"/>
      <c r="G363" s="26"/>
      <c r="H363" s="26"/>
      <c r="I363" s="26"/>
      <c r="J363" s="26"/>
      <c r="K363" s="26"/>
      <c r="L363" s="26"/>
      <c r="M363" s="26"/>
      <c r="N363" s="27"/>
      <c r="O363" s="27"/>
      <c r="P363" s="27"/>
      <c r="Q363" s="27"/>
      <c r="R363" s="27"/>
      <c r="S363" s="27"/>
      <c r="T363" s="27"/>
      <c r="U363" s="26"/>
      <c r="V363" s="26"/>
      <c r="W363" s="26"/>
      <c r="X363" s="26"/>
      <c r="Y363" s="26"/>
      <c r="Z363" s="26"/>
      <c r="AA363" s="26"/>
      <c r="AB363" s="26"/>
      <c r="AC363" s="26"/>
      <c r="AD363" s="26"/>
    </row>
    <row r="364" spans="2:30">
      <c r="B364" s="26"/>
      <c r="C364" s="26"/>
      <c r="D364" s="26"/>
      <c r="E364" s="26"/>
      <c r="F364" s="26"/>
      <c r="G364" s="26"/>
      <c r="H364" s="26"/>
      <c r="I364" s="26"/>
      <c r="J364" s="26"/>
      <c r="K364" s="26"/>
      <c r="L364" s="26"/>
      <c r="M364" s="26"/>
      <c r="N364" s="27"/>
      <c r="O364" s="27"/>
      <c r="P364" s="27"/>
      <c r="Q364" s="27"/>
      <c r="R364" s="27"/>
      <c r="S364" s="27"/>
      <c r="T364" s="27"/>
      <c r="U364" s="26"/>
      <c r="V364" s="26"/>
      <c r="W364" s="26"/>
      <c r="X364" s="26"/>
      <c r="Y364" s="26"/>
      <c r="Z364" s="26"/>
      <c r="AA364" s="26"/>
      <c r="AB364" s="26"/>
      <c r="AC364" s="26"/>
      <c r="AD364" s="26"/>
    </row>
    <row r="365" spans="2:30">
      <c r="B365" s="26"/>
      <c r="C365" s="26"/>
      <c r="D365" s="26"/>
      <c r="E365" s="26"/>
      <c r="F365" s="26"/>
      <c r="G365" s="26"/>
      <c r="H365" s="26"/>
      <c r="I365" s="26"/>
      <c r="J365" s="26"/>
      <c r="K365" s="26"/>
      <c r="L365" s="26"/>
      <c r="M365" s="26"/>
      <c r="N365" s="27"/>
      <c r="O365" s="27"/>
      <c r="P365" s="27"/>
      <c r="Q365" s="27"/>
      <c r="R365" s="27"/>
      <c r="S365" s="27"/>
      <c r="T365" s="27"/>
      <c r="U365" s="26"/>
      <c r="V365" s="26"/>
      <c r="W365" s="26"/>
      <c r="X365" s="26"/>
      <c r="Y365" s="26"/>
      <c r="Z365" s="26"/>
      <c r="AA365" s="26"/>
      <c r="AB365" s="26"/>
      <c r="AC365" s="26"/>
      <c r="AD365" s="26"/>
    </row>
    <row r="366" spans="2:30">
      <c r="B366" s="26"/>
      <c r="C366" s="26"/>
      <c r="D366" s="26"/>
      <c r="E366" s="26"/>
      <c r="F366" s="26"/>
      <c r="G366" s="26"/>
      <c r="H366" s="26"/>
      <c r="I366" s="26"/>
      <c r="J366" s="26"/>
      <c r="K366" s="26"/>
      <c r="L366" s="26"/>
      <c r="M366" s="26"/>
      <c r="N366" s="27"/>
      <c r="O366" s="27"/>
      <c r="P366" s="27"/>
      <c r="Q366" s="27"/>
      <c r="R366" s="27"/>
      <c r="S366" s="27"/>
      <c r="T366" s="27"/>
      <c r="U366" s="26"/>
      <c r="V366" s="26"/>
      <c r="W366" s="26"/>
      <c r="X366" s="26"/>
      <c r="Y366" s="26"/>
      <c r="Z366" s="26"/>
      <c r="AA366" s="26"/>
      <c r="AB366" s="26"/>
      <c r="AC366" s="26"/>
      <c r="AD366" s="26"/>
    </row>
    <row r="367" spans="2:30">
      <c r="B367" s="26"/>
      <c r="C367" s="26"/>
      <c r="D367" s="26"/>
      <c r="E367" s="26"/>
      <c r="F367" s="26"/>
      <c r="G367" s="26"/>
      <c r="H367" s="26"/>
      <c r="I367" s="26"/>
      <c r="J367" s="26"/>
      <c r="K367" s="26"/>
      <c r="L367" s="26"/>
      <c r="M367" s="26"/>
      <c r="N367" s="27"/>
      <c r="O367" s="27"/>
      <c r="P367" s="27"/>
      <c r="Q367" s="27"/>
      <c r="R367" s="27"/>
      <c r="S367" s="27"/>
      <c r="T367" s="27"/>
      <c r="U367" s="26"/>
      <c r="V367" s="26"/>
      <c r="W367" s="26"/>
      <c r="X367" s="26"/>
      <c r="Y367" s="26"/>
      <c r="Z367" s="26"/>
      <c r="AA367" s="26"/>
      <c r="AB367" s="26"/>
      <c r="AC367" s="26"/>
      <c r="AD367" s="26"/>
    </row>
    <row r="368" spans="2:30">
      <c r="B368" s="26"/>
      <c r="C368" s="26"/>
      <c r="D368" s="26"/>
      <c r="E368" s="26"/>
      <c r="F368" s="26"/>
      <c r="G368" s="26"/>
      <c r="H368" s="26"/>
      <c r="I368" s="26"/>
      <c r="J368" s="26"/>
      <c r="K368" s="26"/>
      <c r="L368" s="26"/>
      <c r="M368" s="26"/>
      <c r="N368" s="27"/>
      <c r="O368" s="27"/>
      <c r="P368" s="27"/>
      <c r="Q368" s="27"/>
      <c r="R368" s="27"/>
      <c r="S368" s="27"/>
      <c r="T368" s="27"/>
      <c r="U368" s="26"/>
      <c r="V368" s="26"/>
      <c r="W368" s="26"/>
      <c r="X368" s="26"/>
      <c r="Y368" s="26"/>
      <c r="Z368" s="26"/>
      <c r="AA368" s="26"/>
      <c r="AB368" s="26"/>
      <c r="AC368" s="26"/>
      <c r="AD368" s="26"/>
    </row>
    <row r="369" spans="2:30">
      <c r="B369" s="26"/>
      <c r="C369" s="26"/>
      <c r="D369" s="26"/>
      <c r="E369" s="26"/>
      <c r="F369" s="26"/>
      <c r="G369" s="26"/>
      <c r="H369" s="26"/>
      <c r="I369" s="26"/>
      <c r="J369" s="26"/>
      <c r="K369" s="26"/>
      <c r="L369" s="26"/>
      <c r="M369" s="26"/>
      <c r="N369" s="27"/>
      <c r="O369" s="27"/>
      <c r="P369" s="27"/>
      <c r="Q369" s="27"/>
      <c r="R369" s="27"/>
      <c r="S369" s="27"/>
      <c r="T369" s="27"/>
      <c r="U369" s="26"/>
      <c r="V369" s="26"/>
      <c r="W369" s="26"/>
      <c r="X369" s="26"/>
      <c r="Y369" s="26"/>
      <c r="Z369" s="26"/>
      <c r="AA369" s="26"/>
      <c r="AB369" s="26"/>
      <c r="AC369" s="26"/>
      <c r="AD369" s="26"/>
    </row>
    <row r="370" spans="2:30">
      <c r="B370" s="26"/>
      <c r="C370" s="26"/>
      <c r="D370" s="26"/>
      <c r="E370" s="26"/>
      <c r="F370" s="26"/>
      <c r="G370" s="26"/>
      <c r="H370" s="26"/>
      <c r="I370" s="26"/>
      <c r="J370" s="26"/>
      <c r="K370" s="26"/>
      <c r="L370" s="26"/>
      <c r="M370" s="26"/>
      <c r="N370" s="27"/>
      <c r="O370" s="27"/>
      <c r="P370" s="27"/>
      <c r="Q370" s="27"/>
      <c r="R370" s="27"/>
      <c r="S370" s="27"/>
      <c r="T370" s="27"/>
      <c r="U370" s="26"/>
      <c r="V370" s="26"/>
      <c r="W370" s="26"/>
      <c r="X370" s="26"/>
      <c r="Y370" s="26"/>
      <c r="Z370" s="26"/>
      <c r="AA370" s="26"/>
      <c r="AB370" s="26"/>
      <c r="AC370" s="26"/>
      <c r="AD370" s="26"/>
    </row>
    <row r="371" spans="2:30">
      <c r="B371" s="26"/>
      <c r="C371" s="26"/>
      <c r="D371" s="26"/>
      <c r="E371" s="26"/>
      <c r="F371" s="26"/>
      <c r="G371" s="26"/>
      <c r="H371" s="26"/>
      <c r="I371" s="26"/>
      <c r="J371" s="26"/>
      <c r="K371" s="26"/>
      <c r="L371" s="26"/>
      <c r="M371" s="26"/>
      <c r="N371" s="27"/>
      <c r="O371" s="27"/>
      <c r="P371" s="27"/>
      <c r="Q371" s="27"/>
      <c r="R371" s="27"/>
      <c r="S371" s="27"/>
      <c r="T371" s="27"/>
      <c r="U371" s="26"/>
      <c r="V371" s="26"/>
      <c r="W371" s="26"/>
      <c r="X371" s="26"/>
      <c r="Y371" s="26"/>
      <c r="Z371" s="26"/>
      <c r="AA371" s="26"/>
      <c r="AB371" s="26"/>
      <c r="AC371" s="26"/>
      <c r="AD371" s="26"/>
    </row>
    <row r="372" spans="2:30">
      <c r="B372" s="26"/>
      <c r="C372" s="26"/>
      <c r="D372" s="26"/>
      <c r="E372" s="26"/>
      <c r="F372" s="26"/>
      <c r="G372" s="26"/>
      <c r="H372" s="26"/>
      <c r="I372" s="26"/>
      <c r="J372" s="26"/>
      <c r="K372" s="26"/>
      <c r="L372" s="26"/>
      <c r="M372" s="26"/>
      <c r="N372" s="27"/>
      <c r="O372" s="27"/>
      <c r="P372" s="27"/>
      <c r="Q372" s="27"/>
      <c r="R372" s="27"/>
      <c r="S372" s="27"/>
      <c r="T372" s="27"/>
      <c r="U372" s="26"/>
      <c r="V372" s="26"/>
      <c r="W372" s="26"/>
      <c r="X372" s="26"/>
      <c r="Y372" s="26"/>
      <c r="Z372" s="26"/>
      <c r="AA372" s="26"/>
      <c r="AB372" s="26"/>
      <c r="AC372" s="26"/>
      <c r="AD372" s="26"/>
    </row>
    <row r="373" spans="2:30">
      <c r="B373" s="26"/>
      <c r="C373" s="26"/>
      <c r="D373" s="26"/>
      <c r="E373" s="26"/>
      <c r="F373" s="26"/>
      <c r="G373" s="26"/>
      <c r="H373" s="26"/>
      <c r="I373" s="26"/>
      <c r="J373" s="26"/>
      <c r="K373" s="26"/>
      <c r="L373" s="26"/>
      <c r="M373" s="26"/>
      <c r="N373" s="27"/>
      <c r="O373" s="27"/>
      <c r="P373" s="27"/>
      <c r="Q373" s="27"/>
      <c r="R373" s="27"/>
      <c r="S373" s="27"/>
      <c r="T373" s="27"/>
      <c r="U373" s="26"/>
      <c r="V373" s="26"/>
      <c r="W373" s="26"/>
      <c r="X373" s="26"/>
      <c r="Y373" s="26"/>
      <c r="Z373" s="26"/>
      <c r="AA373" s="26"/>
      <c r="AB373" s="26"/>
      <c r="AC373" s="26"/>
      <c r="AD373" s="26"/>
    </row>
    <row r="374" spans="2:30">
      <c r="B374" s="26"/>
      <c r="C374" s="26"/>
      <c r="D374" s="26"/>
      <c r="E374" s="26"/>
      <c r="F374" s="26"/>
      <c r="G374" s="26"/>
      <c r="H374" s="26"/>
      <c r="I374" s="26"/>
      <c r="J374" s="26"/>
      <c r="K374" s="26"/>
      <c r="L374" s="26"/>
      <c r="M374" s="26"/>
      <c r="N374" s="27"/>
      <c r="O374" s="27"/>
      <c r="P374" s="27"/>
      <c r="Q374" s="27"/>
      <c r="R374" s="27"/>
      <c r="S374" s="27"/>
      <c r="T374" s="27"/>
      <c r="U374" s="26"/>
      <c r="V374" s="26"/>
      <c r="W374" s="26"/>
      <c r="X374" s="26"/>
      <c r="Y374" s="26"/>
      <c r="Z374" s="26"/>
      <c r="AA374" s="26"/>
      <c r="AB374" s="26"/>
      <c r="AC374" s="26"/>
      <c r="AD374" s="26"/>
    </row>
    <row r="375" spans="2:30">
      <c r="B375" s="26"/>
      <c r="C375" s="26"/>
      <c r="D375" s="26"/>
      <c r="E375" s="26"/>
      <c r="F375" s="26"/>
      <c r="G375" s="26"/>
      <c r="H375" s="26"/>
      <c r="I375" s="26"/>
      <c r="J375" s="26"/>
      <c r="K375" s="26"/>
      <c r="L375" s="26"/>
      <c r="M375" s="26"/>
      <c r="N375" s="27"/>
      <c r="O375" s="27"/>
      <c r="P375" s="27"/>
      <c r="Q375" s="27"/>
      <c r="R375" s="27"/>
      <c r="S375" s="27"/>
      <c r="T375" s="27"/>
      <c r="U375" s="26"/>
      <c r="V375" s="26"/>
      <c r="W375" s="26"/>
      <c r="X375" s="26"/>
      <c r="Y375" s="26"/>
      <c r="Z375" s="26"/>
      <c r="AA375" s="26"/>
      <c r="AB375" s="26"/>
      <c r="AC375" s="26"/>
      <c r="AD375" s="26"/>
    </row>
    <row r="376" spans="2:30">
      <c r="B376" s="26"/>
      <c r="C376" s="26"/>
      <c r="D376" s="26"/>
      <c r="E376" s="26"/>
      <c r="F376" s="26"/>
      <c r="G376" s="26"/>
      <c r="H376" s="26"/>
      <c r="I376" s="26"/>
      <c r="J376" s="26"/>
      <c r="K376" s="26"/>
      <c r="L376" s="26"/>
      <c r="M376" s="26"/>
      <c r="N376" s="27"/>
      <c r="O376" s="27"/>
      <c r="P376" s="27"/>
      <c r="Q376" s="27"/>
      <c r="R376" s="27"/>
      <c r="S376" s="27"/>
      <c r="T376" s="27"/>
      <c r="U376" s="26"/>
      <c r="V376" s="26"/>
      <c r="W376" s="26"/>
      <c r="X376" s="26"/>
      <c r="Y376" s="26"/>
      <c r="Z376" s="26"/>
      <c r="AA376" s="26"/>
      <c r="AB376" s="26"/>
      <c r="AC376" s="26"/>
      <c r="AD376" s="26"/>
    </row>
    <row r="377" spans="2:30">
      <c r="B377" s="26"/>
      <c r="C377" s="26"/>
      <c r="D377" s="26"/>
      <c r="E377" s="26"/>
      <c r="F377" s="26"/>
      <c r="G377" s="26"/>
      <c r="H377" s="26"/>
      <c r="I377" s="26"/>
      <c r="J377" s="26"/>
      <c r="K377" s="26"/>
      <c r="L377" s="26"/>
      <c r="M377" s="26"/>
      <c r="N377" s="27"/>
      <c r="O377" s="27"/>
      <c r="P377" s="27"/>
      <c r="Q377" s="27"/>
      <c r="R377" s="27"/>
      <c r="S377" s="27"/>
      <c r="T377" s="27"/>
      <c r="U377" s="26"/>
      <c r="V377" s="26"/>
      <c r="W377" s="26"/>
      <c r="X377" s="26"/>
      <c r="Y377" s="26"/>
      <c r="Z377" s="26"/>
      <c r="AA377" s="26"/>
      <c r="AB377" s="26"/>
      <c r="AC377" s="26"/>
      <c r="AD377" s="26"/>
    </row>
    <row r="378" spans="2:30">
      <c r="B378" s="26"/>
      <c r="C378" s="26"/>
      <c r="D378" s="26"/>
      <c r="E378" s="26"/>
      <c r="F378" s="26"/>
      <c r="G378" s="26"/>
      <c r="H378" s="26"/>
      <c r="I378" s="26"/>
      <c r="J378" s="26"/>
      <c r="K378" s="26"/>
      <c r="L378" s="26"/>
      <c r="M378" s="26"/>
      <c r="N378" s="27"/>
      <c r="O378" s="27"/>
      <c r="P378" s="27"/>
      <c r="Q378" s="27"/>
      <c r="R378" s="27"/>
      <c r="S378" s="27"/>
      <c r="T378" s="27"/>
      <c r="U378" s="26"/>
      <c r="V378" s="26"/>
      <c r="W378" s="26"/>
      <c r="X378" s="26"/>
      <c r="Y378" s="26"/>
      <c r="Z378" s="26"/>
      <c r="AA378" s="26"/>
      <c r="AB378" s="26"/>
      <c r="AC378" s="26"/>
      <c r="AD378" s="26"/>
    </row>
    <row r="379" spans="2:30">
      <c r="B379" s="26"/>
      <c r="C379" s="26"/>
      <c r="D379" s="26"/>
      <c r="E379" s="26"/>
      <c r="F379" s="26"/>
      <c r="G379" s="26"/>
      <c r="H379" s="26"/>
      <c r="I379" s="26"/>
      <c r="J379" s="26"/>
      <c r="K379" s="26"/>
      <c r="L379" s="26"/>
      <c r="M379" s="26"/>
      <c r="N379" s="27"/>
      <c r="O379" s="27"/>
      <c r="P379" s="27"/>
      <c r="Q379" s="27"/>
      <c r="R379" s="27"/>
      <c r="S379" s="27"/>
      <c r="T379" s="27"/>
      <c r="U379" s="26"/>
      <c r="V379" s="26"/>
      <c r="W379" s="26"/>
      <c r="X379" s="26"/>
      <c r="Y379" s="26"/>
      <c r="Z379" s="26"/>
      <c r="AA379" s="26"/>
      <c r="AB379" s="26"/>
      <c r="AC379" s="26"/>
      <c r="AD379" s="26"/>
    </row>
    <row r="380" spans="2:30">
      <c r="B380" s="26"/>
      <c r="C380" s="26"/>
      <c r="D380" s="26"/>
      <c r="E380" s="26"/>
      <c r="F380" s="26"/>
      <c r="G380" s="26"/>
      <c r="H380" s="26"/>
      <c r="I380" s="26"/>
      <c r="J380" s="26"/>
      <c r="K380" s="26"/>
      <c r="L380" s="26"/>
      <c r="M380" s="26"/>
      <c r="N380" s="27"/>
      <c r="O380" s="27"/>
      <c r="P380" s="27"/>
      <c r="Q380" s="27"/>
      <c r="R380" s="27"/>
      <c r="S380" s="27"/>
      <c r="T380" s="27"/>
      <c r="U380" s="26"/>
      <c r="V380" s="26"/>
      <c r="W380" s="26"/>
      <c r="X380" s="26"/>
      <c r="Y380" s="26"/>
      <c r="Z380" s="26"/>
      <c r="AA380" s="26"/>
      <c r="AB380" s="26"/>
      <c r="AC380" s="26"/>
      <c r="AD380" s="26"/>
    </row>
    <row r="381" spans="2:30">
      <c r="B381" s="26"/>
      <c r="C381" s="26"/>
      <c r="D381" s="26"/>
      <c r="E381" s="26"/>
      <c r="F381" s="26"/>
      <c r="G381" s="26"/>
      <c r="H381" s="26"/>
      <c r="I381" s="26"/>
      <c r="J381" s="26"/>
      <c r="K381" s="26"/>
      <c r="L381" s="26"/>
      <c r="M381" s="26"/>
      <c r="N381" s="27"/>
      <c r="O381" s="27"/>
      <c r="P381" s="27"/>
      <c r="Q381" s="27"/>
      <c r="R381" s="27"/>
      <c r="S381" s="27"/>
      <c r="T381" s="27"/>
      <c r="U381" s="26"/>
      <c r="V381" s="26"/>
      <c r="W381" s="26"/>
      <c r="X381" s="26"/>
      <c r="Y381" s="26"/>
      <c r="Z381" s="26"/>
      <c r="AA381" s="26"/>
      <c r="AB381" s="26"/>
      <c r="AC381" s="26"/>
      <c r="AD381" s="26"/>
    </row>
    <row r="382" spans="2:30">
      <c r="B382" s="26"/>
      <c r="C382" s="26"/>
      <c r="D382" s="26"/>
      <c r="E382" s="26"/>
      <c r="F382" s="26"/>
      <c r="G382" s="26"/>
      <c r="H382" s="26"/>
      <c r="I382" s="26"/>
      <c r="J382" s="26"/>
      <c r="K382" s="26"/>
      <c r="L382" s="26"/>
      <c r="M382" s="26"/>
      <c r="N382" s="27"/>
      <c r="O382" s="27"/>
      <c r="P382" s="27"/>
      <c r="Q382" s="27"/>
      <c r="R382" s="27"/>
      <c r="S382" s="27"/>
      <c r="T382" s="27"/>
      <c r="U382" s="26"/>
      <c r="V382" s="26"/>
      <c r="W382" s="26"/>
      <c r="X382" s="26"/>
      <c r="Y382" s="26"/>
      <c r="Z382" s="26"/>
      <c r="AA382" s="26"/>
      <c r="AB382" s="26"/>
      <c r="AC382" s="26"/>
      <c r="AD382" s="26"/>
    </row>
    <row r="383" spans="2:30">
      <c r="B383" s="26"/>
      <c r="C383" s="26"/>
      <c r="D383" s="26"/>
      <c r="E383" s="26"/>
      <c r="F383" s="26"/>
      <c r="G383" s="26"/>
      <c r="H383" s="26"/>
      <c r="I383" s="26"/>
      <c r="J383" s="26"/>
      <c r="K383" s="26"/>
      <c r="L383" s="26"/>
      <c r="M383" s="26"/>
      <c r="N383" s="27"/>
      <c r="O383" s="27"/>
      <c r="P383" s="27"/>
      <c r="Q383" s="27"/>
      <c r="R383" s="27"/>
      <c r="S383" s="27"/>
      <c r="T383" s="27"/>
      <c r="U383" s="26"/>
      <c r="V383" s="26"/>
      <c r="W383" s="26"/>
      <c r="X383" s="26"/>
      <c r="Y383" s="26"/>
      <c r="Z383" s="26"/>
      <c r="AA383" s="26"/>
      <c r="AB383" s="26"/>
      <c r="AC383" s="26"/>
      <c r="AD383" s="26"/>
    </row>
    <row r="384" spans="2:30">
      <c r="B384" s="26"/>
      <c r="C384" s="26"/>
      <c r="D384" s="26"/>
      <c r="E384" s="26"/>
      <c r="F384" s="26"/>
      <c r="G384" s="26"/>
      <c r="H384" s="26"/>
      <c r="I384" s="26"/>
      <c r="J384" s="26"/>
      <c r="K384" s="26"/>
      <c r="L384" s="26"/>
      <c r="M384" s="26"/>
      <c r="N384" s="27"/>
      <c r="O384" s="27"/>
      <c r="P384" s="27"/>
      <c r="Q384" s="27"/>
      <c r="R384" s="27"/>
      <c r="S384" s="27"/>
      <c r="T384" s="27"/>
      <c r="U384" s="26"/>
      <c r="V384" s="26"/>
      <c r="W384" s="26"/>
      <c r="X384" s="26"/>
      <c r="Y384" s="26"/>
      <c r="Z384" s="26"/>
      <c r="AA384" s="26"/>
      <c r="AB384" s="26"/>
      <c r="AC384" s="26"/>
      <c r="AD384" s="26"/>
    </row>
    <row r="385" spans="2:30">
      <c r="B385" s="26"/>
      <c r="C385" s="26"/>
      <c r="D385" s="26"/>
      <c r="E385" s="26"/>
      <c r="F385" s="26"/>
      <c r="G385" s="26"/>
      <c r="H385" s="26"/>
      <c r="I385" s="26"/>
      <c r="J385" s="26"/>
      <c r="K385" s="26"/>
      <c r="L385" s="26"/>
      <c r="M385" s="26"/>
      <c r="N385" s="27"/>
      <c r="O385" s="27"/>
      <c r="P385" s="27"/>
      <c r="Q385" s="27"/>
      <c r="R385" s="27"/>
      <c r="S385" s="27"/>
      <c r="T385" s="27"/>
      <c r="U385" s="26"/>
      <c r="V385" s="26"/>
      <c r="W385" s="26"/>
      <c r="X385" s="26"/>
      <c r="Y385" s="26"/>
      <c r="Z385" s="26"/>
      <c r="AA385" s="26"/>
      <c r="AB385" s="26"/>
      <c r="AC385" s="26"/>
      <c r="AD385" s="26"/>
    </row>
    <row r="386" spans="2:30">
      <c r="B386" s="26"/>
      <c r="C386" s="26"/>
      <c r="D386" s="26"/>
      <c r="E386" s="26"/>
      <c r="F386" s="26"/>
      <c r="G386" s="26"/>
      <c r="H386" s="26"/>
      <c r="I386" s="26"/>
      <c r="J386" s="26"/>
      <c r="K386" s="26"/>
      <c r="L386" s="26"/>
      <c r="M386" s="26"/>
      <c r="N386" s="27"/>
      <c r="O386" s="27"/>
      <c r="P386" s="27"/>
      <c r="Q386" s="27"/>
      <c r="R386" s="27"/>
      <c r="S386" s="27"/>
      <c r="T386" s="27"/>
      <c r="U386" s="26"/>
      <c r="V386" s="26"/>
      <c r="W386" s="26"/>
      <c r="X386" s="26"/>
      <c r="Y386" s="26"/>
      <c r="Z386" s="26"/>
      <c r="AA386" s="26"/>
      <c r="AB386" s="26"/>
      <c r="AC386" s="26"/>
      <c r="AD386" s="26"/>
    </row>
    <row r="387" spans="2:30">
      <c r="B387" s="26"/>
      <c r="C387" s="26"/>
      <c r="D387" s="26"/>
      <c r="E387" s="26"/>
      <c r="F387" s="26"/>
      <c r="G387" s="26"/>
      <c r="H387" s="26"/>
      <c r="I387" s="26"/>
      <c r="J387" s="26"/>
      <c r="K387" s="26"/>
      <c r="L387" s="26"/>
      <c r="M387" s="26"/>
      <c r="N387" s="27"/>
      <c r="O387" s="27"/>
      <c r="P387" s="27"/>
      <c r="Q387" s="27"/>
      <c r="R387" s="27"/>
      <c r="S387" s="27"/>
      <c r="T387" s="27"/>
      <c r="U387" s="26"/>
      <c r="V387" s="26"/>
      <c r="W387" s="26"/>
      <c r="X387" s="26"/>
      <c r="Y387" s="26"/>
      <c r="Z387" s="26"/>
      <c r="AA387" s="26"/>
      <c r="AB387" s="26"/>
      <c r="AC387" s="26"/>
      <c r="AD387" s="26"/>
    </row>
    <row r="388" spans="2:30">
      <c r="B388" s="26"/>
      <c r="C388" s="26"/>
      <c r="D388" s="26"/>
      <c r="E388" s="26"/>
      <c r="F388" s="26"/>
      <c r="G388" s="26"/>
      <c r="H388" s="26"/>
      <c r="I388" s="26"/>
      <c r="J388" s="26"/>
      <c r="K388" s="26"/>
      <c r="L388" s="26"/>
      <c r="M388" s="26"/>
      <c r="N388" s="27"/>
      <c r="O388" s="27"/>
      <c r="P388" s="27"/>
      <c r="Q388" s="27"/>
      <c r="R388" s="27"/>
      <c r="S388" s="27"/>
      <c r="T388" s="27"/>
      <c r="U388" s="26"/>
      <c r="V388" s="26"/>
      <c r="W388" s="26"/>
      <c r="X388" s="26"/>
      <c r="Y388" s="26"/>
      <c r="Z388" s="26"/>
      <c r="AA388" s="26"/>
      <c r="AB388" s="26"/>
      <c r="AC388" s="26"/>
      <c r="AD388" s="26"/>
    </row>
    <row r="389" spans="2:30">
      <c r="B389" s="26"/>
      <c r="C389" s="26"/>
      <c r="D389" s="26"/>
      <c r="E389" s="26"/>
      <c r="F389" s="26"/>
      <c r="G389" s="26"/>
      <c r="H389" s="26"/>
      <c r="I389" s="26"/>
      <c r="J389" s="26"/>
      <c r="K389" s="26"/>
      <c r="L389" s="26"/>
      <c r="M389" s="26"/>
      <c r="N389" s="27"/>
      <c r="O389" s="27"/>
      <c r="P389" s="27"/>
      <c r="Q389" s="27"/>
      <c r="R389" s="27"/>
      <c r="S389" s="27"/>
      <c r="T389" s="27"/>
      <c r="U389" s="26"/>
      <c r="V389" s="26"/>
      <c r="W389" s="26"/>
      <c r="X389" s="26"/>
      <c r="Y389" s="26"/>
      <c r="Z389" s="26"/>
      <c r="AA389" s="26"/>
      <c r="AB389" s="26"/>
      <c r="AC389" s="26"/>
      <c r="AD389" s="26"/>
    </row>
    <row r="390" spans="2:30">
      <c r="B390" s="26"/>
      <c r="C390" s="26"/>
      <c r="D390" s="26"/>
      <c r="G390" s="26"/>
      <c r="H390" s="26"/>
      <c r="I390" s="26"/>
      <c r="J390" s="26"/>
      <c r="K390" s="26"/>
      <c r="L390" s="26"/>
      <c r="M390" s="26"/>
      <c r="N390" s="27"/>
      <c r="O390" s="27"/>
      <c r="P390" s="27"/>
      <c r="Q390" s="27"/>
      <c r="R390" s="27"/>
      <c r="S390" s="27"/>
      <c r="T390" s="27"/>
      <c r="U390" s="26"/>
      <c r="V390" s="26"/>
      <c r="W390" s="26"/>
      <c r="X390" s="26"/>
      <c r="Y390" s="26"/>
      <c r="Z390" s="26"/>
      <c r="AA390" s="26"/>
      <c r="AB390" s="26"/>
      <c r="AC390" s="26"/>
      <c r="AD390" s="26"/>
    </row>
  </sheetData>
  <dataValidations count="5">
    <dataValidation type="list" allowBlank="1" showInputMessage="1" showErrorMessage="1" sqref="C59:L59" xr:uid="{00000000-0002-0000-3500-000006000000}">
      <formula1>$N$19:$AQ$19</formula1>
    </dataValidation>
    <dataValidation type="list" allowBlank="1" showInputMessage="1" showErrorMessage="1" sqref="E11:E20" xr:uid="{00000000-0002-0000-3500-000005000000}">
      <formula1>$N$16:$O$16</formula1>
    </dataValidation>
    <dataValidation type="list" allowBlank="1" showInputMessage="1" showErrorMessage="1" sqref="D11:D20" xr:uid="{00000000-0002-0000-3500-000004000000}">
      <formula1>$N$22:$AE$22</formula1>
    </dataValidation>
    <dataValidation type="list" allowBlank="1" showInputMessage="1" showErrorMessage="1" sqref="B11:C20" xr:uid="{00000000-0002-0000-3500-000003000000}">
      <formula1>$N$7:$Q$7</formula1>
    </dataValidation>
    <dataValidation type="list" allowBlank="1" showInputMessage="1" showErrorMessage="1" sqref="D7" xr:uid="{00000000-0002-0000-3500-000002000000}">
      <formula1>$N$11:$O$11</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D2F92-D468-4655-A7FA-35B6AA96CE8F}">
  <sheetPr codeName="Sheet298">
    <tabColor indexed="14"/>
  </sheetPr>
  <dimension ref="A1:AQ132"/>
  <sheetViews>
    <sheetView topLeftCell="A48" zoomScaleNormal="10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Level 2 EV Charger</v>
      </c>
      <c r="C7" s="98" t="s">
        <v>441</v>
      </c>
      <c r="D7" s="97" t="s">
        <v>212</v>
      </c>
      <c r="E7" s="250">
        <f>C110</f>
        <v>10</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Level 2 EV Charger_Res, E - Plug (MD)</v>
      </c>
      <c r="J11" s="83" t="str">
        <f t="shared" ref="J11:J20" si="3">IF(B11="","",CONCATENATE($C$7,IF(C11="","",CONCATENATE(" with ",C11," Secondary Fuel"))))</f>
        <v>Level 2 Electric Vehicle Charger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Level 2 EV Charger_Res,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Level 2 EV Charger_Res,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Level 2 EV Charger_Res,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2308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2307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G126</f>
        <v>34.774349999999998</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04" t="s">
        <v>9</v>
      </c>
      <c r="C68" s="70">
        <f>F126</f>
        <v>65.5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04" t="s">
        <v>81</v>
      </c>
      <c r="C69" s="70">
        <f>L126</f>
        <v>5.0318554178796697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Level 2 Electric Vehicle Charger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04"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04"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04"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440</v>
      </c>
    </row>
    <row r="106" spans="1:22">
      <c r="B106" s="1" t="s">
        <v>439</v>
      </c>
    </row>
    <row r="107" spans="1:22" s="63" customFormat="1" ht="15.75" thickBot="1">
      <c r="B107" s="63" t="s">
        <v>50</v>
      </c>
    </row>
    <row r="109" spans="1:22">
      <c r="B109" s="58" t="s">
        <v>46</v>
      </c>
      <c r="C109" s="58" t="s">
        <v>45</v>
      </c>
      <c r="D109" s="58" t="s">
        <v>44</v>
      </c>
      <c r="E109" s="58" t="s">
        <v>43</v>
      </c>
    </row>
    <row r="110" spans="1:22">
      <c r="B110" s="57" t="s">
        <v>305</v>
      </c>
      <c r="C110" s="57">
        <v>10</v>
      </c>
      <c r="D110" s="57" t="s">
        <v>426</v>
      </c>
    </row>
    <row r="111" spans="1:22">
      <c r="B111" s="57" t="s">
        <v>9</v>
      </c>
      <c r="C111" s="180" t="s">
        <v>35</v>
      </c>
      <c r="D111" s="57" t="s">
        <v>426</v>
      </c>
      <c r="E111" s="57" t="s">
        <v>438</v>
      </c>
    </row>
    <row r="112" spans="1:22">
      <c r="B112" s="57" t="s">
        <v>437</v>
      </c>
      <c r="C112" s="249">
        <f>C118-C117</f>
        <v>3233</v>
      </c>
      <c r="D112" s="57" t="s">
        <v>426</v>
      </c>
      <c r="E112" s="53" t="s">
        <v>436</v>
      </c>
    </row>
    <row r="113" spans="2:17">
      <c r="B113" s="57" t="s">
        <v>435</v>
      </c>
      <c r="C113" s="249">
        <f>8760-C118</f>
        <v>5249</v>
      </c>
      <c r="D113" s="57" t="s">
        <v>426</v>
      </c>
      <c r="E113" s="53" t="s">
        <v>434</v>
      </c>
    </row>
    <row r="114" spans="2:17">
      <c r="B114" s="57" t="s">
        <v>423</v>
      </c>
      <c r="C114" s="249" t="s">
        <v>35</v>
      </c>
      <c r="D114" s="57" t="s">
        <v>426</v>
      </c>
      <c r="E114" s="53" t="s">
        <v>433</v>
      </c>
    </row>
    <row r="115" spans="2:17">
      <c r="B115" s="57" t="s">
        <v>422</v>
      </c>
      <c r="C115" s="249" t="s">
        <v>35</v>
      </c>
      <c r="D115" s="57" t="s">
        <v>426</v>
      </c>
      <c r="E115" s="57" t="s">
        <v>432</v>
      </c>
    </row>
    <row r="116" spans="2:17">
      <c r="B116" s="57" t="s">
        <v>421</v>
      </c>
      <c r="C116" s="249" t="s">
        <v>35</v>
      </c>
      <c r="D116" s="57" t="s">
        <v>426</v>
      </c>
      <c r="E116" s="57" t="s">
        <v>431</v>
      </c>
    </row>
    <row r="117" spans="2:17">
      <c r="B117" s="57" t="s">
        <v>430</v>
      </c>
      <c r="C117" s="249">
        <v>278</v>
      </c>
      <c r="D117" s="57" t="s">
        <v>426</v>
      </c>
      <c r="E117" s="53" t="s">
        <v>429</v>
      </c>
    </row>
    <row r="118" spans="2:17">
      <c r="B118" s="57" t="s">
        <v>428</v>
      </c>
      <c r="C118" s="249">
        <v>3511</v>
      </c>
      <c r="D118" s="57" t="s">
        <v>426</v>
      </c>
      <c r="E118" s="53" t="s">
        <v>427</v>
      </c>
    </row>
    <row r="119" spans="2:17">
      <c r="B119" s="57" t="s">
        <v>34</v>
      </c>
      <c r="C119" s="248">
        <v>1</v>
      </c>
      <c r="D119" s="57" t="s">
        <v>426</v>
      </c>
      <c r="E119" s="57" t="s">
        <v>425</v>
      </c>
    </row>
    <row r="120" spans="2:17">
      <c r="B120" s="57"/>
      <c r="C120" s="180"/>
      <c r="D120" s="57"/>
      <c r="E120" s="57"/>
    </row>
    <row r="121" spans="2:17">
      <c r="B121" s="58"/>
      <c r="C121" s="58"/>
      <c r="D121" s="58"/>
      <c r="E121" s="58"/>
    </row>
    <row r="122" spans="2:17">
      <c r="B122" s="21" t="s">
        <v>251</v>
      </c>
      <c r="C122" s="21"/>
      <c r="D122" s="21"/>
      <c r="E122" s="21"/>
      <c r="F122" s="21"/>
      <c r="G122" s="21"/>
      <c r="H122" s="21"/>
      <c r="I122" s="21"/>
      <c r="J122" s="21"/>
      <c r="K122" s="21"/>
      <c r="L122" s="21"/>
      <c r="Q122" s="27"/>
    </row>
    <row r="123" spans="2:17" ht="26.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c r="B127" s="26"/>
      <c r="C127" s="26"/>
      <c r="D127" s="26"/>
      <c r="E127" s="26"/>
      <c r="F127" s="26"/>
      <c r="G127" s="26"/>
      <c r="H127" s="26"/>
      <c r="I127" s="26"/>
      <c r="J127" s="26"/>
      <c r="K127" s="26"/>
      <c r="L127" s="26"/>
      <c r="M127" s="26"/>
      <c r="N127" s="26"/>
      <c r="O127" s="27"/>
      <c r="P127" s="27"/>
      <c r="Q127" s="27"/>
    </row>
    <row r="128" spans="2:17">
      <c r="B128" s="26"/>
      <c r="C128" s="26"/>
      <c r="D128" s="26"/>
      <c r="E128" s="26"/>
      <c r="F128" s="26"/>
      <c r="G128" s="26"/>
      <c r="H128" s="26"/>
      <c r="I128" s="26"/>
      <c r="J128" s="26"/>
      <c r="K128" s="26"/>
      <c r="L128" s="26"/>
      <c r="M128" s="26"/>
      <c r="N128" s="26"/>
      <c r="O128" s="27"/>
      <c r="P128" s="27"/>
      <c r="Q128" s="27"/>
    </row>
    <row r="129" spans="2:17">
      <c r="B129" s="26"/>
      <c r="C129" s="26"/>
      <c r="D129" s="26"/>
      <c r="E129" s="26"/>
      <c r="F129" s="26"/>
      <c r="G129" s="26"/>
      <c r="H129" s="26"/>
      <c r="I129" s="26"/>
      <c r="J129" s="26"/>
      <c r="K129" s="26"/>
      <c r="L129" s="26"/>
      <c r="M129" s="26"/>
      <c r="N129" s="26"/>
      <c r="O129" s="27"/>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D7" xr:uid="{DD5A8B13-1274-4850-9D1B-C7BFB3AF1D8A}">
      <formula1>$N$11:$O$11</formula1>
    </dataValidation>
    <dataValidation type="list" allowBlank="1" showInputMessage="1" showErrorMessage="1" sqref="B11:C20" xr:uid="{5B8093E0-4EFD-41CD-B50C-4C3A58FB3627}">
      <formula1>$N$7:$Q$7</formula1>
    </dataValidation>
    <dataValidation type="list" allowBlank="1" showInputMessage="1" showErrorMessage="1" sqref="D11:D20" xr:uid="{F3C8CA7D-1855-4EC2-8B0F-721661A4C484}">
      <formula1>$N$22:$AE$22</formula1>
    </dataValidation>
    <dataValidation type="list" allowBlank="1" showInputMessage="1" showErrorMessage="1" sqref="E11:E20" xr:uid="{406BAE0C-E9B3-4EC1-8A99-88857DB0C412}">
      <formula1>$N$16:$O$16</formula1>
    </dataValidation>
    <dataValidation type="list" allowBlank="1" showInputMessage="1" showErrorMessage="1" sqref="C59:L59" xr:uid="{C7713A0E-1527-4110-9C53-534FE891D1CB}">
      <formula1>$N$19:$AQ$19</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93A8-4364-4266-9C22-0988CF78B6B1}">
  <sheetPr codeName="Sheet39">
    <tabColor indexed="14"/>
  </sheetPr>
  <dimension ref="A1:AQ133"/>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Tier 2 Power Strip</v>
      </c>
      <c r="C7" s="98" t="s">
        <v>462</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Tier 2 Power Strip_Res, E - Plug (RET)</v>
      </c>
      <c r="J11" s="83" t="str">
        <f t="shared" ref="J11:J20" si="3">IF(B11="","",CONCATENATE($C$7,IF(C11="","",CONCATENATE(" with ",C11," Secondary Fuel"))))</f>
        <v>Advanced Tier 2 Power Strips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C129</f>
        <v>116.3835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v>20</v>
      </c>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F129</f>
        <v>0</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Advanced Tier 2 Power Strips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7</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C76*2/3</f>
        <v>4.666666666666667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v>20</v>
      </c>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f>C78/C64</f>
        <v>0.17184566540789717</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458</v>
      </c>
      <c r="E109" s="62"/>
    </row>
    <row r="110" spans="1:22">
      <c r="B110" s="62" t="s">
        <v>457</v>
      </c>
      <c r="E110" s="62"/>
    </row>
    <row r="111" spans="1:22">
      <c r="G111" s="62"/>
    </row>
    <row r="112" spans="1:22">
      <c r="B112" s="58" t="s">
        <v>46</v>
      </c>
      <c r="C112" s="58" t="s">
        <v>45</v>
      </c>
      <c r="D112" s="58" t="s">
        <v>44</v>
      </c>
      <c r="E112" s="58" t="s">
        <v>43</v>
      </c>
    </row>
    <row r="113" spans="2:17">
      <c r="B113" s="57" t="s">
        <v>456</v>
      </c>
      <c r="C113" s="57">
        <v>466</v>
      </c>
      <c r="D113" s="28" t="s">
        <v>449</v>
      </c>
      <c r="E113" s="57" t="s">
        <v>455</v>
      </c>
    </row>
    <row r="114" spans="2:17">
      <c r="B114" s="57" t="s">
        <v>448</v>
      </c>
      <c r="C114" s="57" t="s">
        <v>35</v>
      </c>
      <c r="D114" s="28" t="s">
        <v>449</v>
      </c>
      <c r="E114" s="57" t="s">
        <v>454</v>
      </c>
    </row>
    <row r="115" spans="2:17">
      <c r="B115" s="57" t="s">
        <v>447</v>
      </c>
      <c r="C115" s="57" t="s">
        <v>35</v>
      </c>
      <c r="D115" s="28" t="s">
        <v>449</v>
      </c>
      <c r="E115" s="57" t="s">
        <v>453</v>
      </c>
    </row>
    <row r="116" spans="2:17">
      <c r="B116" s="57" t="s">
        <v>309</v>
      </c>
      <c r="C116" s="57">
        <v>4380</v>
      </c>
      <c r="D116" s="28" t="s">
        <v>449</v>
      </c>
      <c r="E116" s="57" t="s">
        <v>452</v>
      </c>
    </row>
    <row r="117" spans="2:17">
      <c r="B117" s="57" t="s">
        <v>451</v>
      </c>
      <c r="C117" s="57">
        <v>7</v>
      </c>
      <c r="D117" s="28" t="s">
        <v>449</v>
      </c>
      <c r="E117" s="57" t="s">
        <v>450</v>
      </c>
      <c r="F117" s="62"/>
    </row>
    <row r="118" spans="2:17">
      <c r="B118" s="57" t="s">
        <v>9</v>
      </c>
      <c r="C118" s="258"/>
      <c r="D118" s="28" t="s">
        <v>449</v>
      </c>
      <c r="E118" s="57"/>
    </row>
    <row r="119" spans="2:17">
      <c r="B119" s="57" t="s">
        <v>34</v>
      </c>
      <c r="C119" s="257">
        <v>0.8</v>
      </c>
      <c r="D119" s="28" t="s">
        <v>449</v>
      </c>
      <c r="E119" s="57"/>
    </row>
    <row r="120" spans="2:17">
      <c r="B120" s="57"/>
      <c r="C120" s="57"/>
      <c r="D120" s="57"/>
      <c r="E120" s="57"/>
    </row>
    <row r="121" spans="2:17">
      <c r="B121" s="21" t="s">
        <v>445</v>
      </c>
      <c r="C121" s="21" t="s">
        <v>448</v>
      </c>
      <c r="D121" s="21" t="s">
        <v>447</v>
      </c>
      <c r="E121" s="21" t="s">
        <v>9</v>
      </c>
    </row>
    <row r="122" spans="2:17">
      <c r="B122" s="19" t="s">
        <v>443</v>
      </c>
      <c r="C122" s="224">
        <v>0.4</v>
      </c>
      <c r="D122" s="256">
        <v>0.73</v>
      </c>
      <c r="E122" s="256" t="s">
        <v>446</v>
      </c>
    </row>
    <row r="123" spans="2:17">
      <c r="B123" s="19" t="s">
        <v>442</v>
      </c>
      <c r="C123" s="224">
        <v>0.25</v>
      </c>
      <c r="D123" s="256">
        <v>0.83</v>
      </c>
      <c r="E123" s="256" t="s">
        <v>446</v>
      </c>
    </row>
    <row r="124" spans="2:17">
      <c r="B124" s="28"/>
      <c r="C124" s="28"/>
      <c r="D124" s="28"/>
      <c r="E124" s="28"/>
    </row>
    <row r="125" spans="2:17">
      <c r="B125" s="21" t="s">
        <v>251</v>
      </c>
      <c r="C125" s="21"/>
      <c r="D125" s="21"/>
      <c r="E125" s="21"/>
      <c r="F125" s="21"/>
    </row>
    <row r="126" spans="2:17">
      <c r="B126" s="21" t="s">
        <v>445</v>
      </c>
      <c r="C126" s="21" t="s">
        <v>444</v>
      </c>
      <c r="D126" s="21" t="s">
        <v>10</v>
      </c>
      <c r="E126" s="21" t="s">
        <v>244</v>
      </c>
      <c r="F126" s="21" t="s">
        <v>8</v>
      </c>
      <c r="G126" s="114" t="s">
        <v>7</v>
      </c>
      <c r="H126" s="2"/>
      <c r="I126" s="2"/>
      <c r="J126" s="2"/>
      <c r="K126" s="2"/>
      <c r="L126" s="2"/>
      <c r="Q126" s="27"/>
    </row>
    <row r="127" spans="2:17">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6"/>
      <c r="F132" s="26"/>
      <c r="G132" s="26"/>
      <c r="H132" s="26"/>
      <c r="I132" s="26"/>
      <c r="J132" s="26"/>
      <c r="K132" s="26"/>
      <c r="L132" s="26"/>
      <c r="M132" s="26"/>
      <c r="N132" s="26"/>
      <c r="O132" s="27"/>
      <c r="P132" s="27"/>
      <c r="Q132" s="27"/>
    </row>
    <row r="133" spans="2:17">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C59:L59" xr:uid="{00000000-0002-0000-3900-000004000000}">
      <formula1>$N$19:$AQ$19</formula1>
    </dataValidation>
    <dataValidation type="list" allowBlank="1" showInputMessage="1" showErrorMessage="1" sqref="E11:E20" xr:uid="{00000000-0002-0000-3900-000003000000}">
      <formula1>$N$16:$O$16</formula1>
    </dataValidation>
    <dataValidation type="list" allowBlank="1" showInputMessage="1" showErrorMessage="1" sqref="D11:D20" xr:uid="{00000000-0002-0000-3900-000002000000}">
      <formula1>$N$22:$AE$22</formula1>
    </dataValidation>
    <dataValidation type="list" allowBlank="1" showInputMessage="1" showErrorMessage="1" sqref="B11:C20" xr:uid="{00000000-0002-0000-3900-000001000000}">
      <formula1>$N$7:$Q$7</formula1>
    </dataValidation>
    <dataValidation type="list" allowBlank="1" showInputMessage="1" showErrorMessage="1" sqref="D7" xr:uid="{00000000-0002-0000-3900-000000000000}">
      <formula1>$N$11:$O$11</formula1>
    </dataValidation>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EA60A-834D-4B4C-96E6-3D0DA771A332}">
  <sheetPr codeName="Sheet133">
    <tabColor indexed="14"/>
  </sheetPr>
  <dimension ref="A1:AQ159"/>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Smart Sockets</v>
      </c>
      <c r="C7" s="98" t="s">
        <v>2053</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Smart Sockets_Res, E - Plug (RET)</v>
      </c>
      <c r="J11" s="83" t="str">
        <f t="shared" ref="J11:J20" si="3">IF(B11="","",CONCATENATE($C$7,IF(C11="","",CONCATENATE(" with ",C11," Secondary Fuel"))))</f>
        <v>Smart Sockets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Smart Sockets_Res,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Smart Sockets_Res,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Smart Sockets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Smart Sockets_Res,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Smart Sockets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2054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Smart Sockets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C159</f>
        <v>54.903666374999993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E159</f>
        <v>0.23850129357496244</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F159</f>
        <v>0.54570288644597531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Smart Sockets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490</v>
      </c>
      <c r="E109" s="62"/>
    </row>
    <row r="110" spans="1:22">
      <c r="B110" s="62" t="s">
        <v>457</v>
      </c>
      <c r="E110" s="62"/>
    </row>
    <row r="111" spans="1:22">
      <c r="G111" s="62"/>
    </row>
    <row r="112" spans="1:22">
      <c r="B112" s="58" t="s">
        <v>46</v>
      </c>
      <c r="C112" s="58" t="s">
        <v>45</v>
      </c>
      <c r="D112" s="58" t="s">
        <v>44</v>
      </c>
      <c r="E112" s="58" t="s">
        <v>43</v>
      </c>
    </row>
    <row r="113" spans="2:17">
      <c r="B113" s="57" t="s">
        <v>482</v>
      </c>
      <c r="C113" s="57" t="s">
        <v>35</v>
      </c>
      <c r="D113" s="28" t="s">
        <v>485</v>
      </c>
      <c r="E113" s="57" t="s">
        <v>489</v>
      </c>
    </row>
    <row r="114" spans="2:17">
      <c r="B114" s="57" t="s">
        <v>481</v>
      </c>
      <c r="C114" s="57" t="s">
        <v>35</v>
      </c>
      <c r="D114" s="28" t="s">
        <v>485</v>
      </c>
      <c r="E114" s="57" t="s">
        <v>488</v>
      </c>
    </row>
    <row r="115" spans="2:17">
      <c r="B115" s="57" t="s">
        <v>487</v>
      </c>
      <c r="C115" s="57">
        <v>0.7</v>
      </c>
      <c r="D115" s="28" t="s">
        <v>485</v>
      </c>
      <c r="E115" s="53" t="s">
        <v>486</v>
      </c>
    </row>
    <row r="116" spans="2:17">
      <c r="B116" s="57" t="s">
        <v>309</v>
      </c>
      <c r="C116" s="57">
        <v>5794.2</v>
      </c>
      <c r="D116" s="28" t="s">
        <v>485</v>
      </c>
      <c r="E116" s="57" t="s">
        <v>452</v>
      </c>
    </row>
    <row r="117" spans="2:17">
      <c r="B117" s="57" t="s">
        <v>451</v>
      </c>
      <c r="C117" s="57">
        <v>7</v>
      </c>
      <c r="D117" s="28" t="s">
        <v>485</v>
      </c>
      <c r="E117" s="57" t="s">
        <v>450</v>
      </c>
      <c r="F117" s="62"/>
    </row>
    <row r="118" spans="2:17">
      <c r="B118" s="57" t="s">
        <v>9</v>
      </c>
      <c r="C118" s="258">
        <v>9</v>
      </c>
      <c r="D118" s="28" t="s">
        <v>485</v>
      </c>
      <c r="E118" s="57"/>
    </row>
    <row r="119" spans="2:17">
      <c r="B119" s="57" t="s">
        <v>34</v>
      </c>
      <c r="C119" s="257">
        <v>0.8</v>
      </c>
      <c r="D119" s="28" t="s">
        <v>485</v>
      </c>
      <c r="E119" s="57" t="s">
        <v>484</v>
      </c>
    </row>
    <row r="120" spans="2:17">
      <c r="B120" s="57"/>
      <c r="C120" s="257"/>
      <c r="D120" s="28"/>
      <c r="E120" s="57"/>
    </row>
    <row r="121" spans="2:17">
      <c r="B121" s="57"/>
      <c r="C121" s="57"/>
      <c r="D121" s="57"/>
      <c r="E121" s="57"/>
    </row>
    <row r="122" spans="2:17">
      <c r="B122" s="21" t="s">
        <v>445</v>
      </c>
      <c r="C122" s="21" t="s">
        <v>483</v>
      </c>
      <c r="D122" s="21" t="s">
        <v>482</v>
      </c>
      <c r="E122" s="21" t="s">
        <v>481</v>
      </c>
      <c r="F122" s="114" t="s">
        <v>7</v>
      </c>
    </row>
    <row r="123" spans="2:17">
      <c r="B123" s="19" t="s">
        <v>478</v>
      </c>
      <c r="C123" s="259" t="s">
        <v>480</v>
      </c>
      <c r="D123" s="259">
        <v>1.1399999999999999</v>
      </c>
      <c r="E123" s="224">
        <v>1</v>
      </c>
      <c r="F123" s="241">
        <f>1/COUNT($D$123:$D$138)</f>
        <v>6.25E-2</v>
      </c>
    </row>
    <row r="124" spans="2:17">
      <c r="B124" s="19" t="s">
        <v>477</v>
      </c>
      <c r="C124" s="259" t="s">
        <v>480</v>
      </c>
      <c r="D124" s="259">
        <v>3.06</v>
      </c>
      <c r="E124" s="224">
        <v>1</v>
      </c>
      <c r="F124" s="241">
        <f t="shared" ref="F124:F138" si="28">1/COUNT($D$123:$D$138)</f>
        <v>6.25E-2</v>
      </c>
    </row>
    <row r="125" spans="2:17">
      <c r="B125" s="19" t="s">
        <v>476</v>
      </c>
      <c r="C125" s="259" t="s">
        <v>480</v>
      </c>
      <c r="D125" s="259">
        <v>6.97</v>
      </c>
      <c r="E125" s="224">
        <v>1</v>
      </c>
      <c r="F125" s="241">
        <f t="shared" si="28"/>
        <v>6.25E-2</v>
      </c>
    </row>
    <row r="126" spans="2:17">
      <c r="B126" s="19" t="s">
        <v>475</v>
      </c>
      <c r="C126" s="259" t="s">
        <v>480</v>
      </c>
      <c r="D126" s="259">
        <v>8</v>
      </c>
      <c r="E126" s="224">
        <v>1</v>
      </c>
      <c r="F126" s="241">
        <f t="shared" si="28"/>
        <v>6.25E-2</v>
      </c>
    </row>
    <row r="127" spans="2:17">
      <c r="B127" s="19" t="s">
        <v>474</v>
      </c>
      <c r="C127" s="259" t="s">
        <v>480</v>
      </c>
      <c r="D127" s="259">
        <v>36.68</v>
      </c>
      <c r="E127" s="224">
        <v>1</v>
      </c>
      <c r="F127" s="241">
        <f t="shared" si="28"/>
        <v>6.25E-2</v>
      </c>
      <c r="G127" s="2"/>
      <c r="Q127" s="27"/>
    </row>
    <row r="128" spans="2:17">
      <c r="B128" s="19" t="s">
        <v>473</v>
      </c>
      <c r="C128" s="259" t="s">
        <v>480</v>
      </c>
      <c r="D128" s="259">
        <v>17.829999999999998</v>
      </c>
      <c r="E128" s="224">
        <v>1</v>
      </c>
      <c r="F128" s="241">
        <f t="shared" si="28"/>
        <v>6.25E-2</v>
      </c>
      <c r="G128" s="255"/>
      <c r="Q128" s="27"/>
    </row>
    <row r="129" spans="2:17">
      <c r="B129" s="19" t="s">
        <v>472</v>
      </c>
      <c r="C129" s="259" t="s">
        <v>480</v>
      </c>
      <c r="D129" s="259">
        <v>15.66</v>
      </c>
      <c r="E129" s="224">
        <v>1</v>
      </c>
      <c r="F129" s="241">
        <f t="shared" si="28"/>
        <v>6.25E-2</v>
      </c>
      <c r="G129" s="252"/>
      <c r="H129" s="254"/>
      <c r="I129" s="253"/>
      <c r="J129" s="252"/>
      <c r="K129" s="228"/>
      <c r="L129" s="251"/>
      <c r="Q129" s="27"/>
    </row>
    <row r="130" spans="2:17">
      <c r="B130" s="19" t="s">
        <v>471</v>
      </c>
      <c r="C130" s="259" t="s">
        <v>480</v>
      </c>
      <c r="D130" s="259">
        <v>5.99</v>
      </c>
      <c r="E130" s="224">
        <v>1</v>
      </c>
      <c r="F130" s="241">
        <f t="shared" si="28"/>
        <v>6.25E-2</v>
      </c>
      <c r="G130" s="26"/>
      <c r="H130" s="26"/>
      <c r="I130" s="26"/>
      <c r="J130" s="26"/>
      <c r="K130" s="26"/>
      <c r="L130" s="26"/>
      <c r="M130" s="26"/>
      <c r="N130" s="26"/>
      <c r="O130" s="26"/>
      <c r="P130" s="27"/>
      <c r="Q130" s="27"/>
    </row>
    <row r="131" spans="2:17">
      <c r="B131" s="19" t="s">
        <v>470</v>
      </c>
      <c r="C131" s="259" t="s">
        <v>480</v>
      </c>
      <c r="D131" s="259">
        <v>4.68</v>
      </c>
      <c r="E131" s="224">
        <v>1</v>
      </c>
      <c r="F131" s="241">
        <f t="shared" si="28"/>
        <v>6.25E-2</v>
      </c>
      <c r="G131" s="26"/>
      <c r="H131" s="26"/>
      <c r="I131" s="26"/>
      <c r="J131" s="26"/>
      <c r="K131" s="26"/>
      <c r="L131" s="26"/>
      <c r="M131" s="26"/>
      <c r="N131" s="26"/>
      <c r="O131" s="27"/>
      <c r="P131" s="27"/>
      <c r="Q131" s="27"/>
    </row>
    <row r="132" spans="2:17">
      <c r="B132" s="19" t="s">
        <v>469</v>
      </c>
      <c r="C132" s="259" t="s">
        <v>480</v>
      </c>
      <c r="D132" s="259">
        <v>2.84</v>
      </c>
      <c r="E132" s="224">
        <v>1</v>
      </c>
      <c r="F132" s="241">
        <f t="shared" si="28"/>
        <v>6.25E-2</v>
      </c>
      <c r="G132" s="26"/>
      <c r="H132" s="26"/>
      <c r="I132" s="26"/>
      <c r="J132" s="26"/>
      <c r="K132" s="26"/>
      <c r="L132" s="26"/>
      <c r="M132" s="26"/>
      <c r="N132" s="26"/>
      <c r="O132" s="27"/>
      <c r="P132" s="27"/>
      <c r="Q132" s="27"/>
    </row>
    <row r="133" spans="2:17">
      <c r="B133" s="19" t="s">
        <v>468</v>
      </c>
      <c r="C133" s="259" t="s">
        <v>480</v>
      </c>
      <c r="D133" s="259">
        <v>8.9</v>
      </c>
      <c r="E133" s="224">
        <v>1</v>
      </c>
      <c r="F133" s="241">
        <f t="shared" si="28"/>
        <v>6.25E-2</v>
      </c>
      <c r="G133" s="26"/>
      <c r="H133" s="26"/>
      <c r="I133" s="26"/>
      <c r="J133" s="26"/>
      <c r="K133" s="26"/>
      <c r="L133" s="26"/>
      <c r="M133" s="26"/>
      <c r="N133" s="26"/>
      <c r="O133" s="27"/>
      <c r="P133" s="27"/>
      <c r="Q133" s="27"/>
    </row>
    <row r="134" spans="2:17">
      <c r="B134" s="19" t="s">
        <v>467</v>
      </c>
      <c r="C134" s="259" t="s">
        <v>480</v>
      </c>
      <c r="D134" s="259">
        <v>5.26</v>
      </c>
      <c r="E134" s="224">
        <v>1</v>
      </c>
      <c r="F134" s="241">
        <f t="shared" si="28"/>
        <v>6.25E-2</v>
      </c>
      <c r="G134" s="26"/>
      <c r="H134" s="26"/>
      <c r="I134" s="26"/>
      <c r="J134" s="26"/>
      <c r="K134" s="26"/>
      <c r="L134" s="26"/>
      <c r="M134" s="26"/>
      <c r="N134" s="26"/>
      <c r="O134" s="27"/>
      <c r="P134" s="27"/>
      <c r="Q134" s="27"/>
    </row>
    <row r="135" spans="2:17">
      <c r="B135" s="19" t="s">
        <v>466</v>
      </c>
      <c r="C135" s="259" t="s">
        <v>480</v>
      </c>
      <c r="D135" s="259">
        <v>3.12</v>
      </c>
      <c r="E135" s="224">
        <v>1</v>
      </c>
      <c r="F135" s="241">
        <f t="shared" si="28"/>
        <v>6.25E-2</v>
      </c>
    </row>
    <row r="136" spans="2:17">
      <c r="B136" s="19" t="s">
        <v>465</v>
      </c>
      <c r="C136" s="259" t="s">
        <v>480</v>
      </c>
      <c r="D136" s="259">
        <v>2.48</v>
      </c>
      <c r="E136" s="224">
        <v>1</v>
      </c>
      <c r="F136" s="241">
        <f t="shared" si="28"/>
        <v>6.25E-2</v>
      </c>
    </row>
    <row r="137" spans="2:17">
      <c r="B137" s="259" t="s">
        <v>464</v>
      </c>
      <c r="C137" s="259" t="s">
        <v>479</v>
      </c>
      <c r="D137" s="259">
        <v>10.4</v>
      </c>
      <c r="E137" s="224">
        <v>0.5</v>
      </c>
      <c r="F137" s="241">
        <f t="shared" si="28"/>
        <v>6.25E-2</v>
      </c>
    </row>
    <row r="138" spans="2:17">
      <c r="B138" s="259" t="s">
        <v>463</v>
      </c>
      <c r="C138" s="259" t="s">
        <v>479</v>
      </c>
      <c r="D138" s="259">
        <v>70</v>
      </c>
      <c r="E138" s="224">
        <v>0.5</v>
      </c>
      <c r="F138" s="241">
        <f t="shared" si="28"/>
        <v>6.25E-2</v>
      </c>
    </row>
    <row r="139" spans="2:17">
      <c r="B139" s="7" t="s">
        <v>0</v>
      </c>
      <c r="C139" s="7"/>
      <c r="D139" s="7"/>
      <c r="E139" s="7"/>
    </row>
    <row r="141" spans="2:17">
      <c r="B141" s="21" t="s">
        <v>251</v>
      </c>
      <c r="C141" s="21"/>
      <c r="D141" s="21"/>
      <c r="E141" s="21"/>
      <c r="F141" s="21"/>
    </row>
    <row r="142" spans="2:17">
      <c r="B142" s="21" t="s">
        <v>445</v>
      </c>
      <c r="C142" s="21" t="s">
        <v>444</v>
      </c>
      <c r="D142" s="21" t="s">
        <v>10</v>
      </c>
      <c r="E142" s="21" t="s">
        <v>244</v>
      </c>
      <c r="F142" s="21" t="s">
        <v>8</v>
      </c>
      <c r="G142" s="114" t="s">
        <v>7</v>
      </c>
    </row>
    <row r="143" spans="2:17">
      <c r="B143" s="19" t="s">
        <v>478</v>
      </c>
      <c r="C143" s="158">
        <f t="shared" ref="C143:C158" si="29">(((VLOOKUP(B143,$B$122:$E$138,3,FALSE))*VLOOKUP(B143,$B$122:$E$138,4,FALSE))-$C$115)*$C$116/1000</f>
        <v>2.5494479999999995</v>
      </c>
      <c r="D143" s="111">
        <f t="shared" ref="D143:D158" si="30">C143*$C$119/$C$116</f>
        <v>3.5199999999999999E-4</v>
      </c>
      <c r="E143" s="118">
        <f>VLOOKUP(B143,$B$122:$E$138,3,FALSE)/C143</f>
        <v>0.44715561956941274</v>
      </c>
      <c r="F143" s="154">
        <f t="shared" ref="F143:F158" si="31">$C$118/C143</f>
        <v>3.5301759439690481</v>
      </c>
      <c r="G143" s="241">
        <f>1/COUNT($D$123:$D$138)</f>
        <v>6.25E-2</v>
      </c>
    </row>
    <row r="144" spans="2:17">
      <c r="B144" s="19" t="s">
        <v>477</v>
      </c>
      <c r="C144" s="158">
        <f t="shared" si="29"/>
        <v>13.674312000000002</v>
      </c>
      <c r="D144" s="111">
        <f t="shared" si="30"/>
        <v>1.8880000000000006E-3</v>
      </c>
      <c r="E144" s="118">
        <f t="shared" ref="E144:E158" si="32">VLOOKUP(B144,$B$122:$E$138,3,FALSE)/C144</f>
        <v>0.22377725475329213</v>
      </c>
      <c r="F144" s="154">
        <f t="shared" si="31"/>
        <v>0.65816839633321211</v>
      </c>
      <c r="G144" s="241">
        <f t="shared" ref="G144:G158" si="33">1/COUNT($D$123:$D$138)</f>
        <v>6.25E-2</v>
      </c>
    </row>
    <row r="145" spans="2:7">
      <c r="B145" s="19" t="s">
        <v>476</v>
      </c>
      <c r="C145" s="158">
        <f t="shared" si="29"/>
        <v>36.329633999999999</v>
      </c>
      <c r="D145" s="111">
        <f t="shared" si="30"/>
        <v>5.0160000000000005E-3</v>
      </c>
      <c r="E145" s="118">
        <f t="shared" si="32"/>
        <v>0.19185439633110535</v>
      </c>
      <c r="F145" s="154">
        <f t="shared" si="31"/>
        <v>0.24773164519081037</v>
      </c>
      <c r="G145" s="241">
        <f t="shared" si="33"/>
        <v>6.25E-2</v>
      </c>
    </row>
    <row r="146" spans="2:7">
      <c r="B146" s="19" t="s">
        <v>475</v>
      </c>
      <c r="C146" s="158">
        <f t="shared" si="29"/>
        <v>42.297659999999993</v>
      </c>
      <c r="D146" s="111">
        <f t="shared" si="30"/>
        <v>5.8399999999999997E-3</v>
      </c>
      <c r="E146" s="118">
        <f t="shared" si="32"/>
        <v>0.18913575833745888</v>
      </c>
      <c r="F146" s="154">
        <f t="shared" si="31"/>
        <v>0.21277772812964124</v>
      </c>
      <c r="G146" s="241">
        <f t="shared" si="33"/>
        <v>6.25E-2</v>
      </c>
    </row>
    <row r="147" spans="2:7">
      <c r="B147" s="19" t="s">
        <v>474</v>
      </c>
      <c r="C147" s="158">
        <f t="shared" si="29"/>
        <v>208.47531599999996</v>
      </c>
      <c r="D147" s="111">
        <f t="shared" si="30"/>
        <v>2.8783999999999997E-2</v>
      </c>
      <c r="E147" s="118">
        <f t="shared" si="32"/>
        <v>0.17594409114602327</v>
      </c>
      <c r="F147" s="154">
        <f t="shared" si="31"/>
        <v>4.3170578525469183E-2</v>
      </c>
      <c r="G147" s="241">
        <f t="shared" si="33"/>
        <v>6.25E-2</v>
      </c>
    </row>
    <row r="148" spans="2:7">
      <c r="B148" s="19" t="s">
        <v>473</v>
      </c>
      <c r="C148" s="158">
        <f t="shared" si="29"/>
        <v>99.254645999999994</v>
      </c>
      <c r="D148" s="111">
        <f t="shared" si="30"/>
        <v>1.3704000000000001E-2</v>
      </c>
      <c r="E148" s="118">
        <f t="shared" si="32"/>
        <v>0.17963894607009126</v>
      </c>
      <c r="F148" s="154">
        <f t="shared" si="31"/>
        <v>9.0675856120629367E-2</v>
      </c>
      <c r="G148" s="241">
        <f t="shared" si="33"/>
        <v>6.25E-2</v>
      </c>
    </row>
    <row r="149" spans="2:7">
      <c r="B149" s="19" t="s">
        <v>472</v>
      </c>
      <c r="C149" s="158">
        <f t="shared" si="29"/>
        <v>86.681232000000008</v>
      </c>
      <c r="D149" s="111">
        <f t="shared" si="30"/>
        <v>1.1968000000000003E-2</v>
      </c>
      <c r="E149" s="118">
        <f t="shared" si="32"/>
        <v>0.1806619453678277</v>
      </c>
      <c r="F149" s="154">
        <f t="shared" si="31"/>
        <v>0.10382870423438374</v>
      </c>
      <c r="G149" s="241">
        <f t="shared" si="33"/>
        <v>6.25E-2</v>
      </c>
    </row>
    <row r="150" spans="2:7">
      <c r="B150" s="19" t="s">
        <v>471</v>
      </c>
      <c r="C150" s="158">
        <f t="shared" si="29"/>
        <v>30.651318</v>
      </c>
      <c r="D150" s="111">
        <f t="shared" si="30"/>
        <v>4.2320000000000005E-3</v>
      </c>
      <c r="E150" s="118">
        <f t="shared" si="32"/>
        <v>0.19542389661677845</v>
      </c>
      <c r="F150" s="154">
        <f t="shared" si="31"/>
        <v>0.29362522029232152</v>
      </c>
      <c r="G150" s="241">
        <f t="shared" si="33"/>
        <v>6.25E-2</v>
      </c>
    </row>
    <row r="151" spans="2:7">
      <c r="B151" s="19" t="s">
        <v>470</v>
      </c>
      <c r="C151" s="158">
        <f t="shared" si="29"/>
        <v>23.060915999999999</v>
      </c>
      <c r="D151" s="111">
        <f t="shared" si="30"/>
        <v>3.1839999999999998E-3</v>
      </c>
      <c r="E151" s="118">
        <f t="shared" si="32"/>
        <v>0.20294076783420051</v>
      </c>
      <c r="F151" s="154">
        <f t="shared" si="31"/>
        <v>0.39027070737346253</v>
      </c>
      <c r="G151" s="241">
        <f t="shared" si="33"/>
        <v>6.25E-2</v>
      </c>
    </row>
    <row r="152" spans="2:7">
      <c r="B152" s="19" t="s">
        <v>469</v>
      </c>
      <c r="C152" s="158">
        <f t="shared" si="29"/>
        <v>12.399587999999998</v>
      </c>
      <c r="D152" s="111">
        <f t="shared" si="30"/>
        <v>1.712E-3</v>
      </c>
      <c r="E152" s="118">
        <f t="shared" si="32"/>
        <v>0.2290398680988433</v>
      </c>
      <c r="F152" s="154">
        <f t="shared" si="31"/>
        <v>0.72583056791886968</v>
      </c>
      <c r="G152" s="241">
        <f t="shared" si="33"/>
        <v>6.25E-2</v>
      </c>
    </row>
    <row r="153" spans="2:7">
      <c r="B153" s="19" t="s">
        <v>468</v>
      </c>
      <c r="C153" s="158">
        <f t="shared" si="29"/>
        <v>47.512440000000005</v>
      </c>
      <c r="D153" s="111">
        <f t="shared" si="30"/>
        <v>6.5600000000000007E-3</v>
      </c>
      <c r="E153" s="118">
        <f t="shared" si="32"/>
        <v>0.18731936309732777</v>
      </c>
      <c r="F153" s="154">
        <f t="shared" si="31"/>
        <v>0.18942407504224154</v>
      </c>
      <c r="G153" s="241">
        <f t="shared" si="33"/>
        <v>6.25E-2</v>
      </c>
    </row>
    <row r="154" spans="2:7">
      <c r="B154" s="19" t="s">
        <v>467</v>
      </c>
      <c r="C154" s="158">
        <f t="shared" si="29"/>
        <v>26.421551999999995</v>
      </c>
      <c r="D154" s="111">
        <f t="shared" si="30"/>
        <v>3.6479999999999993E-3</v>
      </c>
      <c r="E154" s="118">
        <f t="shared" si="32"/>
        <v>0.19907990264917066</v>
      </c>
      <c r="F154" s="154">
        <f t="shared" si="31"/>
        <v>0.3406310121373643</v>
      </c>
      <c r="G154" s="241">
        <f t="shared" si="33"/>
        <v>6.25E-2</v>
      </c>
    </row>
    <row r="155" spans="2:7">
      <c r="B155" s="19" t="s">
        <v>466</v>
      </c>
      <c r="C155" s="158">
        <f t="shared" si="29"/>
        <v>14.021964000000001</v>
      </c>
      <c r="D155" s="111">
        <f t="shared" si="30"/>
        <v>1.9360000000000004E-3</v>
      </c>
      <c r="E155" s="118">
        <f t="shared" si="32"/>
        <v>0.2225080594986551</v>
      </c>
      <c r="F155" s="154">
        <f t="shared" si="31"/>
        <v>0.64185017163073588</v>
      </c>
      <c r="G155" s="241">
        <f t="shared" si="33"/>
        <v>6.25E-2</v>
      </c>
    </row>
    <row r="156" spans="2:7">
      <c r="B156" s="19" t="s">
        <v>465</v>
      </c>
      <c r="C156" s="158">
        <f t="shared" si="29"/>
        <v>10.313675999999999</v>
      </c>
      <c r="D156" s="111">
        <f t="shared" si="30"/>
        <v>1.4240000000000001E-3</v>
      </c>
      <c r="E156" s="118">
        <f t="shared" si="32"/>
        <v>0.2404574275941963</v>
      </c>
      <c r="F156" s="154">
        <f t="shared" si="31"/>
        <v>0.8726277614305511</v>
      </c>
      <c r="G156" s="241">
        <f t="shared" si="33"/>
        <v>6.25E-2</v>
      </c>
    </row>
    <row r="157" spans="2:7">
      <c r="B157" s="259" t="s">
        <v>464</v>
      </c>
      <c r="C157" s="158">
        <f t="shared" si="29"/>
        <v>26.073899999999998</v>
      </c>
      <c r="D157" s="111">
        <f t="shared" si="30"/>
        <v>3.6000000000000003E-3</v>
      </c>
      <c r="E157" s="118">
        <f t="shared" si="32"/>
        <v>0.39886629924944106</v>
      </c>
      <c r="F157" s="154">
        <f t="shared" si="31"/>
        <v>0.34517275896586241</v>
      </c>
      <c r="G157" s="241">
        <f t="shared" si="33"/>
        <v>6.25E-2</v>
      </c>
    </row>
    <row r="158" spans="2:7">
      <c r="B158" s="259" t="s">
        <v>463</v>
      </c>
      <c r="C158" s="158">
        <f t="shared" si="29"/>
        <v>198.74105999999998</v>
      </c>
      <c r="D158" s="111">
        <f t="shared" si="30"/>
        <v>2.7439999999999999E-2</v>
      </c>
      <c r="E158" s="118">
        <f t="shared" si="32"/>
        <v>0.35221710098557396</v>
      </c>
      <c r="F158" s="154">
        <f t="shared" si="31"/>
        <v>4.5285055841002363E-2</v>
      </c>
      <c r="G158" s="241">
        <f t="shared" si="33"/>
        <v>6.25E-2</v>
      </c>
    </row>
    <row r="159" spans="2:7">
      <c r="B159" s="7" t="s">
        <v>0</v>
      </c>
      <c r="C159" s="124">
        <f>SUMPRODUCT(C143:C158,$G$143:$G$158)</f>
        <v>54.903666374999993</v>
      </c>
      <c r="D159" s="124">
        <f>SUMPRODUCT(D143:D158,$G$143:$G$158)</f>
        <v>7.5805000000000004E-3</v>
      </c>
      <c r="E159" s="124">
        <f>SUMPRODUCT(E143:E158,$G$143:$G$158)</f>
        <v>0.23850129357496244</v>
      </c>
      <c r="F159" s="124">
        <f>SUMPRODUCT(F143:F158,$G$143:$G$158)</f>
        <v>0.54570288644597531</v>
      </c>
      <c r="G159" s="7"/>
    </row>
  </sheetData>
  <dataValidations count="5">
    <dataValidation type="list" allowBlank="1" showInputMessage="1" showErrorMessage="1" sqref="D7" xr:uid="{E62FD3EE-E9D2-4A10-A591-37F8BB1629FE}">
      <formula1>$N$11:$O$11</formula1>
    </dataValidation>
    <dataValidation type="list" allowBlank="1" showInputMessage="1" showErrorMessage="1" sqref="B11:C20" xr:uid="{137AB858-0E14-4C46-A054-04600C77EC4E}">
      <formula1>$N$7:$Q$7</formula1>
    </dataValidation>
    <dataValidation type="list" allowBlank="1" showInputMessage="1" showErrorMessage="1" sqref="D11:D20" xr:uid="{2B582D83-2D83-4F61-B1B8-55AC49AAA6FA}">
      <formula1>$N$22:$AE$22</formula1>
    </dataValidation>
    <dataValidation type="list" allowBlank="1" showInputMessage="1" showErrorMessage="1" sqref="E11:E20" xr:uid="{1D980969-4DD6-46DA-9F8F-F35F74E8FEF9}">
      <formula1>$N$16:$O$16</formula1>
    </dataValidation>
    <dataValidation type="list" allowBlank="1" showInputMessage="1" showErrorMessage="1" sqref="C59:L59" xr:uid="{67F955AD-9D82-4029-89C2-3F79F9443BAE}">
      <formula1>$N$19:$AQ$19</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AD75-D077-4650-BA5F-A90BE69459AB}">
  <sheetPr codeName="Sheet41">
    <tabColor rgb="FFFFC000"/>
  </sheetPr>
  <dimension ref="A1:AQ136"/>
  <sheetViews>
    <sheetView zoomScaleNormal="100" workbookViewId="0">
      <selection activeCell="D7" sqref="D7"/>
    </sheetView>
  </sheetViews>
  <sheetFormatPr defaultColWidth="8.85546875" defaultRowHeight="15"/>
  <cols>
    <col min="1" max="1" width="3.5703125" style="1" customWidth="1"/>
    <col min="2" max="2" width="33" style="1" bestFit="1" customWidth="1"/>
    <col min="3" max="3" width="26.8554687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ENERGY STAR Pool Pump</v>
      </c>
      <c r="C7" s="98" t="s">
        <v>2425</v>
      </c>
      <c r="D7" s="97" t="s">
        <v>212</v>
      </c>
      <c r="E7" s="97">
        <f>C111</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ENERGY STAR Pool Pump_Res, E - Oth (MD)</v>
      </c>
      <c r="J11" s="83" t="str">
        <f t="shared" ref="J11:J20" si="3">IF(B11="","",CONCATENATE($C$7,IF(C11="","",CONCATENATE(" with ",C11," Secondary Fuel"))))</f>
        <v>ENERGY STAR Two-speed Pool Pump</v>
      </c>
      <c r="K11" s="83"/>
      <c r="M11" s="94" t="s">
        <v>123</v>
      </c>
      <c r="N11" s="93" t="s">
        <v>212</v>
      </c>
      <c r="O11" s="93" t="s">
        <v>211</v>
      </c>
    </row>
    <row r="12" spans="1:17">
      <c r="A12" s="1">
        <v>2</v>
      </c>
      <c r="B12" s="98" t="s">
        <v>205</v>
      </c>
      <c r="C12" s="97"/>
      <c r="D12" s="98" t="s">
        <v>166</v>
      </c>
      <c r="E12" s="99" t="s">
        <v>204</v>
      </c>
      <c r="F12" s="99"/>
      <c r="G12" s="83" t="str">
        <f t="shared" si="0"/>
        <v>E</v>
      </c>
      <c r="H12" s="91" t="str">
        <f t="shared" si="1"/>
        <v>Oth</v>
      </c>
      <c r="I12" s="83" t="str">
        <f t="shared" ca="1" si="2"/>
        <v>ENERGY STAR Pool Pump_Res, E - Oth (RET)</v>
      </c>
      <c r="J12" s="83" t="str">
        <f t="shared" si="3"/>
        <v>ENERGY STAR Two-speed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ENERGY STAR Pool Pump_Res, E - Oth (MD)</v>
      </c>
      <c r="D33" s="83" t="str">
        <f t="shared" ca="1" si="5"/>
        <v>ENERGY STAR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ENERGY STAR Pool Pump_Res, E - Oth (MD)</v>
      </c>
      <c r="N33" s="84" t="str">
        <f t="shared" ca="1" si="6"/>
        <v>ENERGY STAR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Two-speed Pool Pump</v>
      </c>
      <c r="D34" s="83" t="str">
        <f t="shared" si="8"/>
        <v>ENERGY STAR Two-speed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ENERGY STAR Pool Pump_Res, E - Oth (MD)</v>
      </c>
      <c r="D35" s="82" t="str">
        <f ca="1">D33</f>
        <v>ENERGY STAR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Two-speed Pool Pump</v>
      </c>
      <c r="D36" s="82" t="str">
        <f>D34</f>
        <v>ENERGY STAR Two-speed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Two-speed Pool Pump</v>
      </c>
      <c r="D52" s="66" t="str">
        <f t="shared" si="16"/>
        <v>ENERGY STAR Two-speed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527</v>
      </c>
      <c r="D55" s="65" t="s">
        <v>526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525</v>
      </c>
      <c r="D56" s="65" t="s">
        <v>525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N128</f>
        <v>179.87637709235236</v>
      </c>
      <c r="D64" s="183">
        <f>N136</f>
        <v>828.65265283133135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Q128</f>
        <v>560.4</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R128</f>
        <v>4.881292862618718</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Two-speed Pool Pump</v>
      </c>
      <c r="D71" s="66" t="str">
        <f t="shared" si="23"/>
        <v>ENERGY STAR Two-speed Pool Pump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f>D39</f>
        <v>7</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f>ROUND(D76-D76*1/3,0)</f>
        <v>5</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71" t="e">
        <f>#REF!+#REF!</f>
        <v>#REF!</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70" t="e">
        <f>D78/D64</f>
        <v>#REF!</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524</v>
      </c>
      <c r="E105" t="s">
        <v>523</v>
      </c>
    </row>
    <row r="106" spans="1:22">
      <c r="B106" t="s">
        <v>522</v>
      </c>
      <c r="E106" t="s">
        <v>521</v>
      </c>
    </row>
    <row r="108" spans="1:22" s="63" customFormat="1" ht="15.75" thickBot="1">
      <c r="B108" s="63" t="s">
        <v>50</v>
      </c>
    </row>
    <row r="110" spans="1:22">
      <c r="B110" s="94" t="s">
        <v>520</v>
      </c>
      <c r="C110" s="94" t="s">
        <v>519</v>
      </c>
      <c r="D110" s="94" t="s">
        <v>409</v>
      </c>
      <c r="E110" s="94" t="s">
        <v>122</v>
      </c>
    </row>
    <row r="111" spans="1:22">
      <c r="B111" s="93" t="s">
        <v>518</v>
      </c>
      <c r="C111" s="93">
        <v>7</v>
      </c>
      <c r="D111" s="93" t="s">
        <v>515</v>
      </c>
      <c r="E111" s="93"/>
    </row>
    <row r="112" spans="1:22">
      <c r="B112" s="93" t="s">
        <v>438</v>
      </c>
      <c r="C112" s="93" t="s">
        <v>35</v>
      </c>
      <c r="D112" s="93" t="s">
        <v>515</v>
      </c>
      <c r="E112" s="93"/>
    </row>
    <row r="113" spans="2:19">
      <c r="B113" s="93" t="s">
        <v>484</v>
      </c>
      <c r="C113" s="93">
        <v>0.83099999999999996</v>
      </c>
      <c r="D113" s="93" t="s">
        <v>515</v>
      </c>
      <c r="E113" s="93"/>
    </row>
    <row r="114" spans="2:19">
      <c r="B114" s="93" t="s">
        <v>507</v>
      </c>
      <c r="C114" s="93" t="s">
        <v>35</v>
      </c>
      <c r="D114" s="93" t="s">
        <v>515</v>
      </c>
      <c r="E114" s="93"/>
    </row>
    <row r="115" spans="2:19">
      <c r="B115" s="93" t="s">
        <v>517</v>
      </c>
      <c r="C115" s="93">
        <v>2</v>
      </c>
      <c r="D115" s="93" t="s">
        <v>515</v>
      </c>
      <c r="E115" s="93"/>
    </row>
    <row r="116" spans="2:19">
      <c r="B116" s="93" t="s">
        <v>509</v>
      </c>
      <c r="C116" s="93" t="s">
        <v>35</v>
      </c>
      <c r="D116" s="93" t="s">
        <v>515</v>
      </c>
      <c r="E116" s="93"/>
    </row>
    <row r="117" spans="2:19">
      <c r="B117" s="93" t="s">
        <v>508</v>
      </c>
      <c r="C117" s="93" t="s">
        <v>35</v>
      </c>
      <c r="D117" s="93" t="s">
        <v>515</v>
      </c>
      <c r="E117" s="93"/>
    </row>
    <row r="118" spans="2:19">
      <c r="B118" s="93" t="s">
        <v>516</v>
      </c>
      <c r="C118" s="93">
        <v>2.2999999999999998</v>
      </c>
      <c r="D118" s="93" t="s">
        <v>515</v>
      </c>
      <c r="E118" s="93"/>
    </row>
    <row r="119" spans="2:19">
      <c r="B119" s="93" t="s">
        <v>408</v>
      </c>
      <c r="C119" s="93">
        <v>365</v>
      </c>
      <c r="D119" s="93" t="s">
        <v>515</v>
      </c>
      <c r="E119" s="93"/>
    </row>
    <row r="121" spans="2:19">
      <c r="B121" s="95" t="s">
        <v>514</v>
      </c>
    </row>
    <row r="122" spans="2:19">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c r="B129" s="95" t="s">
        <v>513</v>
      </c>
    </row>
    <row r="130" spans="2:19">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C59:L59" xr:uid="{00000000-0002-0000-3800-000004000000}">
      <formula1>$N$19:$AQ$19</formula1>
    </dataValidation>
    <dataValidation type="list" allowBlank="1" showInputMessage="1" showErrorMessage="1" sqref="E11:E20" xr:uid="{00000000-0002-0000-3800-000003000000}">
      <formula1>$N$16:$O$16</formula1>
    </dataValidation>
    <dataValidation type="list" allowBlank="1" showInputMessage="1" showErrorMessage="1" sqref="D11:D20" xr:uid="{00000000-0002-0000-3800-000002000000}">
      <formula1>$N$22:$AE$22</formula1>
    </dataValidation>
    <dataValidation type="list" allowBlank="1" showInputMessage="1" showErrorMessage="1" sqref="B11:C20" xr:uid="{00000000-0002-0000-3800-000001000000}">
      <formula1>$N$7:$Q$7</formula1>
    </dataValidation>
    <dataValidation type="list" allowBlank="1" showInputMessage="1" showErrorMessage="1" sqref="D7" xr:uid="{00000000-0002-0000-3800-000000000000}">
      <formula1>$N$11:$O$11</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436C-70B8-44C3-A0C5-354E69BCF998}">
  <sheetPr codeName="Sheet7">
    <tabColor rgb="FFFFC000"/>
  </sheetPr>
  <dimension ref="A1:AQ130"/>
  <sheetViews>
    <sheetView topLeftCell="A33" zoomScale="80" zoomScaleNormal="80" workbookViewId="0">
      <selection activeCell="C55" sqref="C55"/>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Pool Pump Timer</v>
      </c>
      <c r="C7" s="98" t="s">
        <v>374</v>
      </c>
      <c r="D7" s="97" t="s">
        <v>212</v>
      </c>
      <c r="E7" s="97">
        <f>C122</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Pool Pump Timer_Res, E - Oth (RET)</v>
      </c>
      <c r="J11" s="83" t="str">
        <f t="shared" ref="J11:J20" si="3">IF(B11="","",CONCATENATE($C$7,IF(C11="","",CONCATENATE(" with ",C11," Secondary Fuel"))))</f>
        <v>Residential Induction Cooking Appliances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Pool Pump Timer_Res,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Pool Pump Timer_Res,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Pool Pump Timer_Res,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10</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2310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2311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G130</f>
        <v>239.93481620951803</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I130</f>
        <v>0.17747068678614117</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#REF!</f>
        <v>#REF!</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Residential Induction Cooking Appliances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2182</v>
      </c>
      <c r="C112" s="57" t="s">
        <v>1955</v>
      </c>
      <c r="D112" s="57" t="s">
        <v>2181</v>
      </c>
      <c r="E112" s="58"/>
    </row>
    <row r="113" spans="2:10">
      <c r="B113" s="57" t="s">
        <v>2187</v>
      </c>
      <c r="C113" s="57">
        <v>3</v>
      </c>
      <c r="D113" s="57" t="s">
        <v>2181</v>
      </c>
      <c r="E113" s="58"/>
    </row>
    <row r="114" spans="2:10">
      <c r="B114" s="57" t="s">
        <v>2188</v>
      </c>
      <c r="C114" s="57">
        <v>2</v>
      </c>
      <c r="D114" s="57" t="s">
        <v>2181</v>
      </c>
      <c r="E114" s="58"/>
    </row>
    <row r="115" spans="2:10">
      <c r="B115" s="57" t="s">
        <v>2184</v>
      </c>
      <c r="C115" s="57" t="s">
        <v>1955</v>
      </c>
      <c r="D115" s="57" t="s">
        <v>2181</v>
      </c>
      <c r="E115" s="58"/>
    </row>
    <row r="116" spans="2:10">
      <c r="B116" s="57" t="s">
        <v>2183</v>
      </c>
      <c r="C116" s="57" t="s">
        <v>1955</v>
      </c>
      <c r="D116" s="57" t="s">
        <v>2181</v>
      </c>
      <c r="E116" s="58"/>
    </row>
    <row r="117" spans="2:10">
      <c r="B117" s="57" t="s">
        <v>2189</v>
      </c>
      <c r="C117" s="57">
        <v>9</v>
      </c>
      <c r="D117" s="57" t="s">
        <v>2181</v>
      </c>
      <c r="E117"/>
    </row>
    <row r="118" spans="2:10">
      <c r="B118" s="57" t="s">
        <v>2190</v>
      </c>
      <c r="C118" s="57">
        <v>10</v>
      </c>
      <c r="D118" s="57" t="s">
        <v>2181</v>
      </c>
      <c r="E118"/>
    </row>
    <row r="119" spans="2:10">
      <c r="B119" s="57" t="s">
        <v>2185</v>
      </c>
      <c r="C119" s="57" t="s">
        <v>1955</v>
      </c>
      <c r="D119" s="57" t="s">
        <v>2181</v>
      </c>
      <c r="E119"/>
    </row>
    <row r="120" spans="2:10">
      <c r="B120" s="57" t="s">
        <v>408</v>
      </c>
      <c r="C120" s="181">
        <v>124</v>
      </c>
      <c r="D120" s="57" t="s">
        <v>2181</v>
      </c>
      <c r="E120" s="57"/>
    </row>
    <row r="121" spans="2:10">
      <c r="B121" s="57" t="s">
        <v>34</v>
      </c>
      <c r="C121" s="181">
        <v>0.36199999999999999</v>
      </c>
      <c r="D121" s="57" t="s">
        <v>2181</v>
      </c>
      <c r="E121" s="57"/>
    </row>
    <row r="122" spans="2:10">
      <c r="B122" s="57" t="s">
        <v>518</v>
      </c>
      <c r="C122" s="57">
        <v>10</v>
      </c>
      <c r="D122" s="57" t="s">
        <v>2181</v>
      </c>
      <c r="E122"/>
    </row>
    <row r="123" spans="2:10">
      <c r="B123" s="58"/>
      <c r="C123" s="58"/>
      <c r="D123" s="58"/>
      <c r="E123" s="540"/>
    </row>
    <row r="124" spans="2:10">
      <c r="B124" s="215" t="s">
        <v>2186</v>
      </c>
      <c r="C124" s="215" t="s">
        <v>2184</v>
      </c>
      <c r="D124" s="215" t="s">
        <v>2182</v>
      </c>
      <c r="E124" s="215" t="s">
        <v>2185</v>
      </c>
      <c r="F124" s="215" t="s">
        <v>2183</v>
      </c>
      <c r="G124" s="94" t="s">
        <v>500</v>
      </c>
      <c r="H124" s="94" t="s">
        <v>499</v>
      </c>
      <c r="I124" s="94" t="s">
        <v>2007</v>
      </c>
      <c r="J124" s="94" t="s">
        <v>7</v>
      </c>
    </row>
    <row r="125" spans="2:10">
      <c r="B125" s="305">
        <v>3</v>
      </c>
      <c r="C125" s="640">
        <v>2</v>
      </c>
      <c r="D125" s="305">
        <v>102</v>
      </c>
      <c r="E125" s="286">
        <v>6.1</v>
      </c>
      <c r="F125" s="286">
        <v>51</v>
      </c>
      <c r="G125" s="93">
        <f>(60*$C$120/1000)*(((D125*($C$113-$C$114))/C125)+((F125*($C$117-$C$118)/E125)))</f>
        <v>317.23672131147543</v>
      </c>
      <c r="H125" s="643">
        <f>((D125/C125)-(F125/E125))*$C$121/1000</f>
        <v>1.543544262295082E-2</v>
      </c>
      <c r="I125" s="93">
        <f>G125/((60*$C$120/1000)*((D125*$C$113/C125)+(F125*$C$117/E125)))</f>
        <v>0.18681318681318682</v>
      </c>
      <c r="J125" s="93">
        <f>1/COUNT($E$125:$E$129)</f>
        <v>0.2</v>
      </c>
    </row>
    <row r="126" spans="2:10">
      <c r="B126" s="305">
        <v>2.5</v>
      </c>
      <c r="C126" s="640">
        <v>2.2000000000000002</v>
      </c>
      <c r="D126" s="305">
        <v>93</v>
      </c>
      <c r="E126" s="286">
        <v>6</v>
      </c>
      <c r="F126" s="286">
        <v>45.7</v>
      </c>
      <c r="G126" s="93">
        <f>(60*$C$120/1000)*(((D126*($C$113-$C$114))/C126)+((F126*($C$117-$C$118)/E126)))</f>
        <v>257.84109090909089</v>
      </c>
      <c r="H126" s="643">
        <f>((D126/C126)-(F126/E126))*$C$121/1000</f>
        <v>1.2545493939393937E-2</v>
      </c>
      <c r="I126" s="93">
        <f>G126/((60*$C$120/1000)*((D126*$C$113/C126)+(F126*$C$117/E126)))</f>
        <v>0.17738845846614393</v>
      </c>
      <c r="J126" s="93">
        <f>1/COUNT($E$125:$E$129)</f>
        <v>0.2</v>
      </c>
    </row>
    <row r="127" spans="2:10">
      <c r="B127" s="305">
        <v>2</v>
      </c>
      <c r="C127" s="640">
        <v>2.2999999999999998</v>
      </c>
      <c r="D127" s="305">
        <v>89</v>
      </c>
      <c r="E127" s="286">
        <v>6.5</v>
      </c>
      <c r="F127" s="286">
        <v>44.8</v>
      </c>
      <c r="G127" s="93">
        <f>(60*$C$120/1000)*(((D127*($C$113-$C$114))/C127)+((F127*($C$117-$C$118)/E127)))</f>
        <v>236.61688294314385</v>
      </c>
      <c r="H127" s="643">
        <f>((D127/C127)-(F127/E127))*$C$121/1000</f>
        <v>1.1512810702341138E-2</v>
      </c>
      <c r="I127" s="93">
        <f>G127/((60*$C$120/1000)*((D127*$C$113/C127)+(F127*$C$117/E127)))</f>
        <v>0.17855238352748551</v>
      </c>
      <c r="J127" s="93">
        <f>1/COUNT($E$125:$E$129)</f>
        <v>0.2</v>
      </c>
    </row>
    <row r="128" spans="2:10">
      <c r="B128" s="305">
        <v>1.5</v>
      </c>
      <c r="C128" s="640">
        <v>2.2999999999999998</v>
      </c>
      <c r="D128" s="305">
        <v>78</v>
      </c>
      <c r="E128" s="305">
        <v>6.7</v>
      </c>
      <c r="F128" s="305">
        <v>41.8</v>
      </c>
      <c r="G128" s="93">
        <f>(60*$C$120/1000)*(((D128*($C$113-$C$114))/C128)+((F128*($C$117-$C$118)/E128)))</f>
        <v>205.89632706035047</v>
      </c>
      <c r="H128" s="643">
        <f>((D128/C128)-(F128/E128))*$C$121/1000</f>
        <v>1.0018073977936406E-2</v>
      </c>
      <c r="I128" s="93">
        <f>G128/((60*$C$120/1000)*((D128*$C$113/C128)+(F128*$C$117/E128)))</f>
        <v>0.17527722292093087</v>
      </c>
      <c r="J128" s="93">
        <f>1/COUNT($E$125:$E$129)</f>
        <v>0.2</v>
      </c>
    </row>
    <row r="129" spans="2:17" ht="12" customHeight="1">
      <c r="B129" s="305">
        <v>1.4</v>
      </c>
      <c r="C129" s="640">
        <v>2.5</v>
      </c>
      <c r="D129" s="305">
        <v>76</v>
      </c>
      <c r="E129" s="305">
        <v>6.8</v>
      </c>
      <c r="F129" s="305">
        <v>40.299999999999997</v>
      </c>
      <c r="G129" s="93">
        <f>(60*$C$120/1000)*(((D129*($C$113-$C$114))/C129)+((F129*($C$117-$C$118)/E129)))</f>
        <v>182.08305882352943</v>
      </c>
      <c r="H129" s="643">
        <f>((D129/C129)-(F129/E129))*$C$121/1000</f>
        <v>8.8594176470588228E-3</v>
      </c>
      <c r="I129" s="93">
        <f>G129/((60*$C$120/1000)*((D129*$C$113/C129)+(F129*$C$117/E129)))</f>
        <v>0.16932218220295875</v>
      </c>
      <c r="J129" s="93">
        <f>1/COUNT($E$125:$E$129)</f>
        <v>0.2</v>
      </c>
    </row>
    <row r="130" spans="2:17">
      <c r="B130" s="26"/>
      <c r="C130" s="641"/>
      <c r="D130" s="26"/>
      <c r="E130" s="223"/>
      <c r="G130" s="2">
        <f>SUMPRODUCT(G125:G129,$J$125:$J$129)</f>
        <v>239.93481620951803</v>
      </c>
      <c r="H130" s="2">
        <f>SUMPRODUCT(H125:H129,$J$125:$J$129)</f>
        <v>1.1674247777936226E-2</v>
      </c>
      <c r="I130" s="290">
        <f>SUMPRODUCT(I125:I129,$J$125:$J$129)</f>
        <v>0.17747068678614117</v>
      </c>
      <c r="J130" s="26"/>
      <c r="K130" s="26"/>
      <c r="L130" s="26"/>
      <c r="M130" s="26"/>
      <c r="N130" s="26"/>
      <c r="O130" s="27"/>
      <c r="P130" s="27"/>
      <c r="Q130" s="27"/>
    </row>
  </sheetData>
  <phoneticPr fontId="35" type="noConversion"/>
  <dataValidations count="5">
    <dataValidation type="list" allowBlank="1" showInputMessage="1" showErrorMessage="1" sqref="D7" xr:uid="{4D7E5626-985E-4A86-8758-1B375E5FD47E}">
      <formula1>$N$11:$O$11</formula1>
    </dataValidation>
    <dataValidation type="list" allowBlank="1" showInputMessage="1" showErrorMessage="1" sqref="B11:C20" xr:uid="{7C5FDAF2-E67A-4BB1-8EAC-5C017A9B37C8}">
      <formula1>$N$7:$Q$7</formula1>
    </dataValidation>
    <dataValidation type="list" allowBlank="1" showInputMessage="1" showErrorMessage="1" sqref="D11:D20" xr:uid="{230E06AB-94AD-46CF-AA09-A9F28E8CB899}">
      <formula1>$N$22:$AE$22</formula1>
    </dataValidation>
    <dataValidation type="list" allowBlank="1" showInputMessage="1" showErrorMessage="1" sqref="E11:E20" xr:uid="{80AA13E5-67BD-4165-8CED-0CCB00AD6B44}">
      <formula1>$N$16:$O$16</formula1>
    </dataValidation>
    <dataValidation type="list" allowBlank="1" showInputMessage="1" showErrorMessage="1" sqref="C59:L59" xr:uid="{D0D28212-4E94-48A0-8CE8-3596CFCE3FE4}">
      <formula1>$N$19:$AQ$19</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C2479-45CA-40D2-99F9-E023F032A0E6}">
  <sheetPr codeName="Sheet8">
    <tabColor rgb="FFFFC000"/>
  </sheetPr>
  <dimension ref="A1:AQ136"/>
  <sheetViews>
    <sheetView zoomScaleNormal="100" workbookViewId="0">
      <selection activeCell="C8" sqref="C8"/>
    </sheetView>
  </sheetViews>
  <sheetFormatPr defaultColWidth="8.85546875" defaultRowHeight="15"/>
  <cols>
    <col min="1" max="1" width="3.5703125" style="1" customWidth="1"/>
    <col min="2" max="2" width="33" style="1" bestFit="1" customWidth="1"/>
    <col min="3" max="3" width="26.8554687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Varaible Speed Pool Pump</v>
      </c>
      <c r="C7" s="98" t="s">
        <v>2426</v>
      </c>
      <c r="D7" s="97" t="s">
        <v>212</v>
      </c>
      <c r="E7" s="97">
        <f>C111</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Varaible Speed Pool Pump_Res, E - Oth (MD)</v>
      </c>
      <c r="J11" s="83" t="str">
        <f t="shared" ref="J11:J20" si="3">IF(B11="","",CONCATENATE($C$7,IF(C11="","",CONCATENATE(" with ",C11," Secondary Fuel"))))</f>
        <v>Variable Speed Pool Pump</v>
      </c>
      <c r="K11" s="83"/>
      <c r="M11" s="94" t="s">
        <v>123</v>
      </c>
      <c r="N11" s="93" t="s">
        <v>212</v>
      </c>
      <c r="O11" s="93" t="s">
        <v>211</v>
      </c>
    </row>
    <row r="12" spans="1:17">
      <c r="A12" s="1">
        <v>2</v>
      </c>
      <c r="B12" s="98" t="s">
        <v>205</v>
      </c>
      <c r="C12" s="97"/>
      <c r="D12" s="98" t="s">
        <v>166</v>
      </c>
      <c r="E12" s="99" t="s">
        <v>204</v>
      </c>
      <c r="F12" s="99"/>
      <c r="G12" s="83" t="str">
        <f t="shared" si="0"/>
        <v>E</v>
      </c>
      <c r="H12" s="91" t="str">
        <f t="shared" si="1"/>
        <v>Oth</v>
      </c>
      <c r="I12" s="83" t="str">
        <f t="shared" ca="1" si="2"/>
        <v>Varaible Speed Pool Pump_Res, E - Oth (RET)</v>
      </c>
      <c r="J12" s="83" t="str">
        <f t="shared" si="3"/>
        <v>Variable Speed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Varaible Speed Pool Pump_Res, E - Oth (MD)</v>
      </c>
      <c r="D33" s="83" t="str">
        <f t="shared" ca="1" si="5"/>
        <v>Varaible Speed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Varaible Speed Pool Pump_Res, E - Oth (MD)</v>
      </c>
      <c r="N33" s="84" t="str">
        <f t="shared" ca="1" si="6"/>
        <v>Varaible Speed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Pool Pump</v>
      </c>
      <c r="D34" s="83" t="str">
        <f t="shared" si="8"/>
        <v>Variable 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Varaible Speed Pool Pump_Res, E - Oth (MD)</v>
      </c>
      <c r="D35" s="82" t="str">
        <f ca="1">D33</f>
        <v>Varaible Speed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Pool Pump</v>
      </c>
      <c r="D36" s="82" t="str">
        <f>D34</f>
        <v>Variable 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Pool Pump</v>
      </c>
      <c r="D52" s="66" t="str">
        <f t="shared" si="16"/>
        <v>Variable 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527</v>
      </c>
      <c r="D55" s="65" t="s">
        <v>526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525</v>
      </c>
      <c r="D56" s="65" t="s">
        <v>525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82"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N128</f>
        <v>179.87637709235236</v>
      </c>
      <c r="D64" s="183">
        <f>N136</f>
        <v>828.65265283133135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Q128</f>
        <v>560.4</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R128</f>
        <v>4.881292862618718</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v>
      </c>
      <c r="N69" s="6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Pool Pump</v>
      </c>
      <c r="D71" s="66" t="str">
        <f t="shared" si="21"/>
        <v>Variable Speed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D39</f>
        <v>7</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5</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71" t="e">
        <f>#REF!+#REF!</f>
        <v>#REF!</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70" t="e">
        <f>D78/D64</f>
        <v>#REF!</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524</v>
      </c>
      <c r="E105" t="s">
        <v>523</v>
      </c>
    </row>
    <row r="106" spans="1:22">
      <c r="B106" t="s">
        <v>522</v>
      </c>
      <c r="E106" t="s">
        <v>521</v>
      </c>
    </row>
    <row r="108" spans="1:22" s="63" customFormat="1" ht="15.75" thickBot="1">
      <c r="B108" s="63" t="s">
        <v>50</v>
      </c>
    </row>
    <row r="110" spans="1:22">
      <c r="B110" s="94" t="s">
        <v>520</v>
      </c>
      <c r="C110" s="94" t="s">
        <v>519</v>
      </c>
      <c r="D110" s="94" t="s">
        <v>409</v>
      </c>
      <c r="E110" s="94" t="s">
        <v>122</v>
      </c>
    </row>
    <row r="111" spans="1:22">
      <c r="B111" s="93" t="s">
        <v>518</v>
      </c>
      <c r="C111" s="93">
        <v>7</v>
      </c>
      <c r="D111" s="93" t="s">
        <v>515</v>
      </c>
      <c r="E111" s="93"/>
    </row>
    <row r="112" spans="1:22">
      <c r="B112" s="93" t="s">
        <v>438</v>
      </c>
      <c r="C112" s="93" t="s">
        <v>35</v>
      </c>
      <c r="D112" s="93" t="s">
        <v>515</v>
      </c>
      <c r="E112" s="93"/>
    </row>
    <row r="113" spans="2:19">
      <c r="B113" s="93" t="s">
        <v>484</v>
      </c>
      <c r="C113" s="93">
        <v>0.83099999999999996</v>
      </c>
      <c r="D113" s="93" t="s">
        <v>515</v>
      </c>
      <c r="E113" s="93"/>
    </row>
    <row r="114" spans="2:19">
      <c r="B114" s="93" t="s">
        <v>507</v>
      </c>
      <c r="C114" s="93" t="s">
        <v>35</v>
      </c>
      <c r="D114" s="93" t="s">
        <v>515</v>
      </c>
      <c r="E114" s="93"/>
    </row>
    <row r="115" spans="2:19">
      <c r="B115" s="93" t="s">
        <v>517</v>
      </c>
      <c r="C115" s="93">
        <v>2</v>
      </c>
      <c r="D115" s="93" t="s">
        <v>515</v>
      </c>
      <c r="E115" s="93"/>
    </row>
    <row r="116" spans="2:19">
      <c r="B116" s="93" t="s">
        <v>509</v>
      </c>
      <c r="C116" s="93" t="s">
        <v>35</v>
      </c>
      <c r="D116" s="93" t="s">
        <v>515</v>
      </c>
      <c r="E116" s="93"/>
    </row>
    <row r="117" spans="2:19">
      <c r="B117" s="93" t="s">
        <v>508</v>
      </c>
      <c r="C117" s="93" t="s">
        <v>35</v>
      </c>
      <c r="D117" s="93" t="s">
        <v>515</v>
      </c>
      <c r="E117" s="93"/>
    </row>
    <row r="118" spans="2:19">
      <c r="B118" s="93" t="s">
        <v>516</v>
      </c>
      <c r="C118" s="93">
        <v>2.2999999999999998</v>
      </c>
      <c r="D118" s="93" t="s">
        <v>515</v>
      </c>
      <c r="E118" s="93"/>
    </row>
    <row r="119" spans="2:19">
      <c r="B119" s="93" t="s">
        <v>408</v>
      </c>
      <c r="C119" s="93">
        <v>365</v>
      </c>
      <c r="D119" s="93" t="s">
        <v>515</v>
      </c>
      <c r="E119" s="93"/>
    </row>
    <row r="121" spans="2:19">
      <c r="B121" s="95" t="s">
        <v>514</v>
      </c>
    </row>
    <row r="122" spans="2:19">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c r="B129" s="95" t="s">
        <v>513</v>
      </c>
    </row>
    <row r="130" spans="2:19">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D7" xr:uid="{8C9976BD-CF33-4DF4-A7AB-0B6CB017EE37}">
      <formula1>$N$11:$O$11</formula1>
    </dataValidation>
    <dataValidation type="list" allowBlank="1" showInputMessage="1" showErrorMessage="1" sqref="B11:C20" xr:uid="{410483A6-C09E-4138-8BEA-7D6C29B8BD31}">
      <formula1>$N$7:$Q$7</formula1>
    </dataValidation>
    <dataValidation type="list" allowBlank="1" showInputMessage="1" showErrorMessage="1" sqref="D11:D20" xr:uid="{4CFEF19A-7DC4-4D8E-9AEE-D48EF6985B94}">
      <formula1>$N$22:$AE$22</formula1>
    </dataValidation>
    <dataValidation type="list" allowBlank="1" showInputMessage="1" showErrorMessage="1" sqref="E11:E20" xr:uid="{23564A41-AAEB-4D1E-A335-3ABD22B6AA84}">
      <formula1>$N$16:$O$16</formula1>
    </dataValidation>
    <dataValidation type="list" allowBlank="1" showInputMessage="1" showErrorMessage="1" sqref="C59:L59" xr:uid="{1C9E0E88-07EA-4BBD-9396-B73DDD5B75F8}">
      <formula1>$N$19:$AQ$19</formula1>
    </dataValidation>
  </dataValidation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FD15-ECA4-4B65-AA92-1D6B8921EB52}">
  <sheetPr codeName="Sheet55">
    <tabColor indexed="9"/>
  </sheetPr>
  <dimension ref="A1:AQ164"/>
  <sheetViews>
    <sheetView topLeftCell="A48" workbookViewId="0">
      <selection activeCell="B53" sqref="B53:B80"/>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Refrigerator</v>
      </c>
      <c r="C7" s="98" t="s">
        <v>655</v>
      </c>
      <c r="D7" s="97" t="s">
        <v>212</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ES Refrigerator_Res,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ES Refrigerator_Res,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Refrigerator_Res, E - Refr (MD)</v>
      </c>
      <c r="D33" s="83" t="str">
        <f t="shared" ca="1" si="5"/>
        <v>ES Refrigerator_Res,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Refrigerator_Res, E - Refr (MD)</v>
      </c>
      <c r="N33" s="84" t="str">
        <f t="shared" ca="1" si="6"/>
        <v>ES Refrigerator_Res,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ES Refrigerator_Res, E - Refr (MD)</v>
      </c>
      <c r="D35" s="65" t="str">
        <f ca="1">D33</f>
        <v>ES Refrigerator_Res,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652</v>
      </c>
      <c r="D55" s="65" t="s">
        <v>651</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650</v>
      </c>
      <c r="D56" s="65" t="s">
        <v>650</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65" t="s">
        <v>92</v>
      </c>
      <c r="D59" s="65"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J142</f>
        <v>41.996624999999995</v>
      </c>
      <c r="D64" s="67">
        <f>J164</f>
        <v>41.996624999999995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04" t="s">
        <v>9</v>
      </c>
      <c r="C68" s="71">
        <f>C119</f>
        <v>47</v>
      </c>
      <c r="D68" s="71">
        <f>C120</f>
        <v>872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04" t="s">
        <v>81</v>
      </c>
      <c r="C69" s="70">
        <f>M142</f>
        <v>1.1672725492859592</v>
      </c>
      <c r="D69" s="70">
        <f t="shared" ref="D69:L69" si="21">IFERROR(D68/D64,"")</f>
        <v>20.763573263327711</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279">
        <v>4</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Refrigerators and Freezers</v>
      </c>
      <c r="D71" s="66" t="str">
        <f t="shared" si="23"/>
        <v>Energy Star Refrigerators and 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04"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04"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04" t="s">
        <v>76</v>
      </c>
      <c r="C76" s="65"/>
      <c r="D76" s="183">
        <v>15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04" t="s">
        <v>75</v>
      </c>
      <c r="C77" s="65"/>
      <c r="D77" s="65">
        <f>ROUND(D76-D76*1/3,0)</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04" t="s">
        <v>74</v>
      </c>
      <c r="C78" s="65"/>
      <c r="D78" s="71">
        <f>D68-C68</f>
        <v>825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04" t="s">
        <v>73</v>
      </c>
      <c r="C79" s="65"/>
      <c r="D79" s="70">
        <f>D78/D64</f>
        <v>19.64443571358413</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04"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710" t="s">
        <v>632</v>
      </c>
      <c r="C124" s="710"/>
      <c r="D124" s="710" t="s">
        <v>631</v>
      </c>
      <c r="E124" s="710"/>
      <c r="F124" s="710"/>
      <c r="G124" s="710" t="s">
        <v>630</v>
      </c>
      <c r="H124" s="710"/>
      <c r="I124" s="710"/>
      <c r="J124" s="93"/>
      <c r="K124" s="93"/>
      <c r="L124" s="93"/>
      <c r="M124" s="93"/>
      <c r="N124" s="93"/>
    </row>
    <row r="125" spans="2:14">
      <c r="B125" s="711"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711"/>
      <c r="C126" s="94" t="s">
        <v>623</v>
      </c>
      <c r="D126" s="93">
        <v>6.79</v>
      </c>
      <c r="E126" s="93">
        <v>193.6</v>
      </c>
      <c r="F126" s="93">
        <f t="shared" ref="F126:F141" si="28">(D126*$C$110)+E126</f>
        <v>366.06599999999997</v>
      </c>
      <c r="G126" s="93">
        <v>6.11</v>
      </c>
      <c r="H126" s="93">
        <v>174.2</v>
      </c>
      <c r="I126" s="93">
        <f t="shared" ref="I126:I141" si="29">(G126*$C$111)+H126</f>
        <v>333.06</v>
      </c>
      <c r="J126" s="93">
        <f>(F126-I126)*$C$116</f>
        <v>33.005999999999972</v>
      </c>
      <c r="K126" s="93">
        <f t="shared" ref="K126:K141" si="30">J126*$C$118/$C$117</f>
        <v>3.767808219178079E-3</v>
      </c>
      <c r="L126" s="260">
        <f t="shared" ref="L126:L141" si="31">J126/F126</f>
        <v>9.0164068774483214E-2</v>
      </c>
      <c r="M126" s="93">
        <f t="shared" ref="M126:M141" si="32">$C$119/J126</f>
        <v>1.4239835181482168</v>
      </c>
      <c r="N126" s="93">
        <f>1/COUNT($M$126:$M$141)</f>
        <v>6.25E-2</v>
      </c>
    </row>
    <row r="127" spans="2:14">
      <c r="B127" s="711"/>
      <c r="C127" s="94" t="s">
        <v>622</v>
      </c>
      <c r="D127" s="93">
        <v>8.07</v>
      </c>
      <c r="E127" s="93">
        <v>233.7</v>
      </c>
      <c r="F127" s="93">
        <f t="shared" si="28"/>
        <v>438.678</v>
      </c>
      <c r="G127" s="93">
        <v>7.26</v>
      </c>
      <c r="H127" s="93">
        <v>210.3</v>
      </c>
      <c r="I127" s="93">
        <f t="shared" si="29"/>
        <v>399.06</v>
      </c>
      <c r="J127" s="93">
        <f t="shared" ref="J127:J141" si="33">(F127-I127)*$C$116</f>
        <v>39.617999999999995</v>
      </c>
      <c r="K127" s="93">
        <f t="shared" si="30"/>
        <v>4.5226027397260267E-3</v>
      </c>
      <c r="L127" s="260">
        <f t="shared" si="31"/>
        <v>9.0312256370276137E-2</v>
      </c>
      <c r="M127" s="93">
        <f t="shared" si="32"/>
        <v>1.1863294462113183</v>
      </c>
      <c r="N127" s="93">
        <f t="shared" ref="N127:N141" si="34">1/COUNT($M$126:$M$141)</f>
        <v>6.25E-2</v>
      </c>
    </row>
    <row r="128" spans="2:14">
      <c r="B128" s="711"/>
      <c r="C128" s="94" t="s">
        <v>621</v>
      </c>
      <c r="D128" s="93">
        <v>8.51</v>
      </c>
      <c r="E128" s="93">
        <v>297.8</v>
      </c>
      <c r="F128" s="93">
        <f t="shared" si="28"/>
        <v>513.95399999999995</v>
      </c>
      <c r="G128" s="93">
        <v>7.66</v>
      </c>
      <c r="H128" s="93">
        <v>268</v>
      </c>
      <c r="I128" s="93">
        <f t="shared" si="29"/>
        <v>467.15999999999997</v>
      </c>
      <c r="J128" s="93">
        <f t="shared" si="33"/>
        <v>46.793999999999983</v>
      </c>
      <c r="K128" s="93">
        <f t="shared" si="30"/>
        <v>5.3417808219178064E-3</v>
      </c>
      <c r="L128" s="260">
        <f t="shared" si="31"/>
        <v>9.10470586861859E-2</v>
      </c>
      <c r="M128" s="93">
        <f t="shared" si="32"/>
        <v>1.0044022737957861</v>
      </c>
      <c r="N128" s="93">
        <f t="shared" si="34"/>
        <v>6.25E-2</v>
      </c>
    </row>
    <row r="129" spans="2:14">
      <c r="B129" s="711"/>
      <c r="C129" s="94" t="s">
        <v>620</v>
      </c>
      <c r="D129" s="93">
        <v>8.85</v>
      </c>
      <c r="E129" s="93">
        <v>317</v>
      </c>
      <c r="F129" s="93">
        <f t="shared" si="28"/>
        <v>541.79</v>
      </c>
      <c r="G129" s="93">
        <v>7.97</v>
      </c>
      <c r="H129" s="93">
        <v>285.3</v>
      </c>
      <c r="I129" s="93">
        <f t="shared" si="29"/>
        <v>492.52</v>
      </c>
      <c r="J129" s="93">
        <f t="shared" si="33"/>
        <v>49.269999999999982</v>
      </c>
      <c r="K129" s="93">
        <f t="shared" si="30"/>
        <v>5.6244292237442898E-3</v>
      </c>
      <c r="L129" s="260">
        <f t="shared" si="31"/>
        <v>9.0939293822329653E-2</v>
      </c>
      <c r="M129" s="93">
        <f t="shared" si="32"/>
        <v>0.95392733915161387</v>
      </c>
      <c r="N129" s="93">
        <f t="shared" si="34"/>
        <v>6.25E-2</v>
      </c>
    </row>
    <row r="130" spans="2:14">
      <c r="B130" s="711"/>
      <c r="C130" s="94" t="s">
        <v>619</v>
      </c>
      <c r="D130" s="93">
        <v>9.25</v>
      </c>
      <c r="E130" s="93">
        <v>475.4</v>
      </c>
      <c r="F130" s="93">
        <f t="shared" si="28"/>
        <v>710.34999999999991</v>
      </c>
      <c r="G130" s="93">
        <v>8.33</v>
      </c>
      <c r="H130" s="93">
        <v>436.3</v>
      </c>
      <c r="I130" s="93">
        <f t="shared" si="29"/>
        <v>652.88</v>
      </c>
      <c r="J130" s="93">
        <f t="shared" si="33"/>
        <v>57.469999999999914</v>
      </c>
      <c r="K130" s="93">
        <f t="shared" si="30"/>
        <v>6.5605022831050127E-3</v>
      </c>
      <c r="L130" s="260">
        <f t="shared" si="31"/>
        <v>8.0903779826845809E-2</v>
      </c>
      <c r="M130" s="93">
        <f t="shared" si="32"/>
        <v>0.81781799199582517</v>
      </c>
      <c r="N130" s="93">
        <f t="shared" si="34"/>
        <v>6.25E-2</v>
      </c>
    </row>
    <row r="131" spans="2:14">
      <c r="B131" s="711"/>
      <c r="C131" s="94" t="s">
        <v>618</v>
      </c>
      <c r="D131" s="93">
        <v>8.4</v>
      </c>
      <c r="E131" s="93">
        <v>385.4</v>
      </c>
      <c r="F131" s="93">
        <f t="shared" si="28"/>
        <v>598.76</v>
      </c>
      <c r="G131" s="93">
        <v>7.56</v>
      </c>
      <c r="H131" s="93">
        <v>355.3</v>
      </c>
      <c r="I131" s="93">
        <f t="shared" si="29"/>
        <v>551.86</v>
      </c>
      <c r="J131" s="93">
        <f t="shared" si="33"/>
        <v>46.899999999999977</v>
      </c>
      <c r="K131" s="93">
        <f t="shared" si="30"/>
        <v>5.3538812785388105E-3</v>
      </c>
      <c r="L131" s="260">
        <f t="shared" si="31"/>
        <v>7.832854566103277E-2</v>
      </c>
      <c r="M131" s="93">
        <f t="shared" si="32"/>
        <v>1.0021321961620473</v>
      </c>
      <c r="N131" s="93">
        <f t="shared" si="34"/>
        <v>6.25E-2</v>
      </c>
    </row>
    <row r="132" spans="2:14">
      <c r="B132" s="711"/>
      <c r="C132" s="94" t="s">
        <v>617</v>
      </c>
      <c r="D132" s="93">
        <v>8.5399999999999991</v>
      </c>
      <c r="E132" s="93">
        <v>432.8</v>
      </c>
      <c r="F132" s="93">
        <f t="shared" si="28"/>
        <v>649.71600000000001</v>
      </c>
      <c r="G132" s="93">
        <v>7.69</v>
      </c>
      <c r="H132" s="93">
        <v>397.9</v>
      </c>
      <c r="I132" s="93">
        <f t="shared" si="29"/>
        <v>597.83999999999992</v>
      </c>
      <c r="J132" s="93">
        <f t="shared" si="33"/>
        <v>51.87600000000009</v>
      </c>
      <c r="K132" s="93">
        <f t="shared" si="30"/>
        <v>5.9219178082191883E-3</v>
      </c>
      <c r="L132" s="260">
        <f t="shared" si="31"/>
        <v>7.9844116506289045E-2</v>
      </c>
      <c r="M132" s="93">
        <f t="shared" si="32"/>
        <v>0.90600663119746927</v>
      </c>
      <c r="N132" s="93">
        <f t="shared" si="34"/>
        <v>6.25E-2</v>
      </c>
    </row>
    <row r="133" spans="2:14">
      <c r="B133" s="711"/>
      <c r="C133" s="94" t="s">
        <v>616</v>
      </c>
      <c r="D133" s="93">
        <v>8.34</v>
      </c>
      <c r="E133" s="93">
        <v>333.7</v>
      </c>
      <c r="F133" s="93">
        <f t="shared" si="28"/>
        <v>545.53599999999994</v>
      </c>
      <c r="G133" s="93">
        <v>7.51</v>
      </c>
      <c r="H133" s="93">
        <v>303.89999999999998</v>
      </c>
      <c r="I133" s="93">
        <f t="shared" si="29"/>
        <v>499.15999999999997</v>
      </c>
      <c r="J133" s="93">
        <f t="shared" si="33"/>
        <v>46.375999999999976</v>
      </c>
      <c r="K133" s="93">
        <f t="shared" si="30"/>
        <v>5.294063926940637E-3</v>
      </c>
      <c r="L133" s="260">
        <f t="shared" si="31"/>
        <v>8.5009971844204571E-2</v>
      </c>
      <c r="M133" s="93">
        <f t="shared" si="32"/>
        <v>1.0134552354666211</v>
      </c>
      <c r="N133" s="93">
        <f t="shared" si="34"/>
        <v>6.25E-2</v>
      </c>
    </row>
    <row r="134" spans="2:14">
      <c r="B134" s="711" t="s">
        <v>615</v>
      </c>
      <c r="C134" s="94" t="s">
        <v>614</v>
      </c>
      <c r="D134" s="93">
        <v>5.57</v>
      </c>
      <c r="E134" s="93">
        <v>193.7</v>
      </c>
      <c r="F134" s="93">
        <f t="shared" si="28"/>
        <v>335.178</v>
      </c>
      <c r="G134" s="93">
        <v>5.01</v>
      </c>
      <c r="H134" s="93">
        <v>174.3</v>
      </c>
      <c r="I134" s="93">
        <f t="shared" si="29"/>
        <v>304.56</v>
      </c>
      <c r="J134" s="93">
        <f t="shared" si="33"/>
        <v>30.617999999999995</v>
      </c>
      <c r="K134" s="93">
        <f t="shared" si="30"/>
        <v>3.4952054794520544E-3</v>
      </c>
      <c r="L134" s="260">
        <f t="shared" si="31"/>
        <v>9.1348477525374561E-2</v>
      </c>
      <c r="M134" s="93">
        <f t="shared" si="32"/>
        <v>1.5350447449212883</v>
      </c>
      <c r="N134" s="93">
        <f t="shared" si="34"/>
        <v>6.25E-2</v>
      </c>
    </row>
    <row r="135" spans="2:14">
      <c r="B135" s="711"/>
      <c r="C135" s="94" t="s">
        <v>613</v>
      </c>
      <c r="D135" s="93">
        <v>8.6199999999999992</v>
      </c>
      <c r="E135" s="93">
        <v>228.3</v>
      </c>
      <c r="F135" s="93">
        <f t="shared" si="28"/>
        <v>447.24799999999999</v>
      </c>
      <c r="G135" s="93">
        <v>7.76</v>
      </c>
      <c r="H135" s="93">
        <v>205.5</v>
      </c>
      <c r="I135" s="93">
        <f t="shared" si="29"/>
        <v>407.26</v>
      </c>
      <c r="J135" s="93">
        <f t="shared" si="33"/>
        <v>39.988</v>
      </c>
      <c r="K135" s="93">
        <f t="shared" si="30"/>
        <v>4.5648401826484022E-3</v>
      </c>
      <c r="L135" s="260">
        <f t="shared" si="31"/>
        <v>8.9409007977676813E-2</v>
      </c>
      <c r="M135" s="93">
        <f t="shared" si="32"/>
        <v>1.1753526057817345</v>
      </c>
      <c r="N135" s="93">
        <f t="shared" si="34"/>
        <v>6.25E-2</v>
      </c>
    </row>
    <row r="136" spans="2:14">
      <c r="B136" s="711"/>
      <c r="C136" s="94" t="s">
        <v>612</v>
      </c>
      <c r="D136" s="93">
        <v>8.6199999999999992</v>
      </c>
      <c r="E136" s="93">
        <v>312.3</v>
      </c>
      <c r="F136" s="93">
        <f t="shared" si="28"/>
        <v>531.24800000000005</v>
      </c>
      <c r="G136" s="93">
        <v>7.76</v>
      </c>
      <c r="H136" s="93">
        <v>289.5</v>
      </c>
      <c r="I136" s="93">
        <f t="shared" si="29"/>
        <v>491.26</v>
      </c>
      <c r="J136" s="93">
        <f t="shared" si="33"/>
        <v>39.988000000000056</v>
      </c>
      <c r="K136" s="93">
        <f t="shared" si="30"/>
        <v>4.5648401826484082E-3</v>
      </c>
      <c r="L136" s="260">
        <f t="shared" si="31"/>
        <v>7.5271812788001186E-2</v>
      </c>
      <c r="M136" s="93">
        <f t="shared" si="32"/>
        <v>1.175352605781733</v>
      </c>
      <c r="N136" s="93">
        <f t="shared" si="34"/>
        <v>6.25E-2</v>
      </c>
    </row>
    <row r="137" spans="2:14">
      <c r="B137" s="711"/>
      <c r="C137" s="94" t="s">
        <v>611</v>
      </c>
      <c r="D137" s="93">
        <v>9.86</v>
      </c>
      <c r="E137" s="93">
        <v>260.89999999999998</v>
      </c>
      <c r="F137" s="93">
        <f t="shared" si="28"/>
        <v>511.34399999999994</v>
      </c>
      <c r="G137" s="93">
        <v>8.8699999999999992</v>
      </c>
      <c r="H137" s="93">
        <v>234.8</v>
      </c>
      <c r="I137" s="93">
        <f t="shared" si="29"/>
        <v>465.41999999999996</v>
      </c>
      <c r="J137" s="93">
        <f t="shared" si="33"/>
        <v>45.923999999999978</v>
      </c>
      <c r="K137" s="93">
        <f t="shared" si="30"/>
        <v>5.2424657534246551E-3</v>
      </c>
      <c r="L137" s="260">
        <f t="shared" si="31"/>
        <v>8.9810382052004104E-2</v>
      </c>
      <c r="M137" s="93">
        <f t="shared" si="32"/>
        <v>1.023430014807073</v>
      </c>
      <c r="N137" s="93">
        <f t="shared" si="34"/>
        <v>6.25E-2</v>
      </c>
    </row>
    <row r="138" spans="2:14">
      <c r="B138" s="711"/>
      <c r="C138" s="94" t="s">
        <v>610</v>
      </c>
      <c r="D138" s="93">
        <v>9.86</v>
      </c>
      <c r="E138" s="93">
        <v>344.9</v>
      </c>
      <c r="F138" s="93">
        <f t="shared" si="28"/>
        <v>595.34399999999994</v>
      </c>
      <c r="G138" s="93">
        <v>8.8699999999999992</v>
      </c>
      <c r="H138" s="93">
        <v>318.8</v>
      </c>
      <c r="I138" s="93">
        <f t="shared" si="29"/>
        <v>549.41999999999996</v>
      </c>
      <c r="J138" s="93">
        <f t="shared" si="33"/>
        <v>45.923999999999978</v>
      </c>
      <c r="K138" s="93">
        <f t="shared" si="30"/>
        <v>5.2424657534246551E-3</v>
      </c>
      <c r="L138" s="260">
        <f t="shared" si="31"/>
        <v>7.7138595501088411E-2</v>
      </c>
      <c r="M138" s="93">
        <f t="shared" si="32"/>
        <v>1.023430014807073</v>
      </c>
      <c r="N138" s="93">
        <f t="shared" si="34"/>
        <v>6.25E-2</v>
      </c>
    </row>
    <row r="139" spans="2:14">
      <c r="B139" s="711"/>
      <c r="C139" s="94" t="s">
        <v>609</v>
      </c>
      <c r="D139" s="93">
        <v>7.29</v>
      </c>
      <c r="E139" s="93">
        <v>107.8</v>
      </c>
      <c r="F139" s="93">
        <f t="shared" si="28"/>
        <v>292.96600000000001</v>
      </c>
      <c r="G139" s="93">
        <v>6.56</v>
      </c>
      <c r="H139" s="93">
        <v>97</v>
      </c>
      <c r="I139" s="93">
        <f t="shared" si="29"/>
        <v>267.56</v>
      </c>
      <c r="J139" s="93">
        <f t="shared" si="33"/>
        <v>25.406000000000006</v>
      </c>
      <c r="K139" s="93">
        <f t="shared" si="30"/>
        <v>2.900228310502284E-3</v>
      </c>
      <c r="L139" s="260">
        <f t="shared" si="31"/>
        <v>8.6719960678030922E-2</v>
      </c>
      <c r="M139" s="93">
        <f t="shared" si="32"/>
        <v>1.8499567031409898</v>
      </c>
      <c r="N139" s="93">
        <f t="shared" si="34"/>
        <v>6.25E-2</v>
      </c>
    </row>
    <row r="140" spans="2:14">
      <c r="B140" s="711"/>
      <c r="C140" s="94" t="s">
        <v>608</v>
      </c>
      <c r="D140" s="93">
        <v>10.24</v>
      </c>
      <c r="E140" s="93">
        <v>148.1</v>
      </c>
      <c r="F140" s="93">
        <f t="shared" si="28"/>
        <v>408.19600000000003</v>
      </c>
      <c r="G140" s="93">
        <v>9.2200000000000006</v>
      </c>
      <c r="H140" s="93">
        <v>133.30000000000001</v>
      </c>
      <c r="I140" s="93">
        <f t="shared" si="29"/>
        <v>373.02000000000004</v>
      </c>
      <c r="J140" s="93">
        <f t="shared" si="33"/>
        <v>35.175999999999988</v>
      </c>
      <c r="K140" s="93">
        <f t="shared" si="30"/>
        <v>4.0155251141552493E-3</v>
      </c>
      <c r="L140" s="260">
        <f t="shared" si="31"/>
        <v>8.6174288822036441E-2</v>
      </c>
      <c r="M140" s="93">
        <f t="shared" si="32"/>
        <v>1.3361382760973395</v>
      </c>
      <c r="N140" s="93">
        <f t="shared" si="34"/>
        <v>6.25E-2</v>
      </c>
    </row>
    <row r="141" spans="2:14">
      <c r="B141" s="711"/>
      <c r="C141" s="94" t="s">
        <v>607</v>
      </c>
      <c r="D141" s="93">
        <v>8.58</v>
      </c>
      <c r="E141" s="93">
        <v>228</v>
      </c>
      <c r="F141" s="93">
        <f t="shared" si="28"/>
        <v>445.93200000000002</v>
      </c>
      <c r="G141" s="93">
        <v>7.72</v>
      </c>
      <c r="H141" s="93">
        <v>207.6</v>
      </c>
      <c r="I141" s="93">
        <f t="shared" si="29"/>
        <v>408.32</v>
      </c>
      <c r="J141" s="93">
        <f t="shared" si="33"/>
        <v>37.612000000000023</v>
      </c>
      <c r="K141" s="93">
        <f t="shared" si="30"/>
        <v>4.2936073059360756E-3</v>
      </c>
      <c r="L141" s="260">
        <f t="shared" si="31"/>
        <v>8.4344698294807327E-2</v>
      </c>
      <c r="M141" s="93">
        <f t="shared" si="32"/>
        <v>1.2496011911092197</v>
      </c>
      <c r="N141" s="93">
        <f t="shared" si="34"/>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710" t="s">
        <v>632</v>
      </c>
      <c r="C146" s="710"/>
      <c r="D146" s="710" t="s">
        <v>2312</v>
      </c>
      <c r="E146" s="710"/>
      <c r="F146" s="710"/>
      <c r="G146" s="710" t="s">
        <v>630</v>
      </c>
      <c r="H146" s="710"/>
      <c r="I146" s="710"/>
      <c r="J146" s="93"/>
      <c r="K146" s="93"/>
      <c r="L146" s="93"/>
      <c r="M146" s="93"/>
      <c r="N146" s="93"/>
    </row>
    <row r="147" spans="2:14">
      <c r="B147" s="711"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711"/>
      <c r="C148" s="94" t="s">
        <v>623</v>
      </c>
      <c r="D148" s="93">
        <v>6.79</v>
      </c>
      <c r="E148" s="93">
        <v>193.6</v>
      </c>
      <c r="F148" s="93">
        <f t="shared" ref="F148:F163" si="35">(D148*$C$110)+E148</f>
        <v>366.06599999999997</v>
      </c>
      <c r="G148" s="93">
        <v>6.11</v>
      </c>
      <c r="H148" s="93">
        <v>174.2</v>
      </c>
      <c r="I148" s="93">
        <f t="shared" ref="I148:I163" si="36">(G148*$C$111)+H148</f>
        <v>333.06</v>
      </c>
      <c r="J148" s="93">
        <f>(F148-I148)*$C$116</f>
        <v>33.005999999999972</v>
      </c>
      <c r="K148" s="93">
        <f t="shared" ref="K148:K163" si="37">J148*$C$118/$C$117</f>
        <v>3.767808219178079E-3</v>
      </c>
      <c r="L148" s="260">
        <f t="shared" ref="L148:L163" si="38">J148/F148</f>
        <v>9.0164068774483214E-2</v>
      </c>
      <c r="M148" s="93">
        <f t="shared" ref="M148:M163" si="39">$C$119/J148</f>
        <v>1.4239835181482168</v>
      </c>
      <c r="N148" s="93">
        <f>1/COUNT($M$126:$M$141)</f>
        <v>6.25E-2</v>
      </c>
    </row>
    <row r="149" spans="2:14">
      <c r="B149" s="711"/>
      <c r="C149" s="94" t="s">
        <v>622</v>
      </c>
      <c r="D149" s="93">
        <v>8.07</v>
      </c>
      <c r="E149" s="93">
        <v>233.7</v>
      </c>
      <c r="F149" s="93">
        <f t="shared" si="35"/>
        <v>438.678</v>
      </c>
      <c r="G149" s="93">
        <v>7.26</v>
      </c>
      <c r="H149" s="93">
        <v>210.3</v>
      </c>
      <c r="I149" s="93">
        <f t="shared" si="36"/>
        <v>399.06</v>
      </c>
      <c r="J149" s="93">
        <f t="shared" ref="J149:J163" si="40">(F149-I149)*$C$116</f>
        <v>39.617999999999995</v>
      </c>
      <c r="K149" s="93">
        <f t="shared" si="37"/>
        <v>4.5226027397260267E-3</v>
      </c>
      <c r="L149" s="260">
        <f t="shared" si="38"/>
        <v>9.0312256370276137E-2</v>
      </c>
      <c r="M149" s="93">
        <f t="shared" si="39"/>
        <v>1.1863294462113183</v>
      </c>
      <c r="N149" s="93">
        <f t="shared" ref="N149:N163" si="41">1/COUNT($M$126:$M$141)</f>
        <v>6.25E-2</v>
      </c>
    </row>
    <row r="150" spans="2:14">
      <c r="B150" s="711"/>
      <c r="C150" s="94" t="s">
        <v>621</v>
      </c>
      <c r="D150" s="93">
        <v>8.51</v>
      </c>
      <c r="E150" s="93">
        <v>297.8</v>
      </c>
      <c r="F150" s="93">
        <f t="shared" si="35"/>
        <v>513.95399999999995</v>
      </c>
      <c r="G150" s="93">
        <v>7.66</v>
      </c>
      <c r="H150" s="93">
        <v>268</v>
      </c>
      <c r="I150" s="93">
        <f t="shared" si="36"/>
        <v>467.15999999999997</v>
      </c>
      <c r="J150" s="93">
        <f t="shared" si="40"/>
        <v>46.793999999999983</v>
      </c>
      <c r="K150" s="93">
        <f t="shared" si="37"/>
        <v>5.3417808219178064E-3</v>
      </c>
      <c r="L150" s="260">
        <f t="shared" si="38"/>
        <v>9.10470586861859E-2</v>
      </c>
      <c r="M150" s="93">
        <f t="shared" si="39"/>
        <v>1.0044022737957861</v>
      </c>
      <c r="N150" s="93">
        <f t="shared" si="41"/>
        <v>6.25E-2</v>
      </c>
    </row>
    <row r="151" spans="2:14">
      <c r="B151" s="711"/>
      <c r="C151" s="94" t="s">
        <v>620</v>
      </c>
      <c r="D151" s="93">
        <v>8.85</v>
      </c>
      <c r="E151" s="93">
        <v>317</v>
      </c>
      <c r="F151" s="93">
        <f t="shared" si="35"/>
        <v>541.79</v>
      </c>
      <c r="G151" s="93">
        <v>7.97</v>
      </c>
      <c r="H151" s="93">
        <v>285.3</v>
      </c>
      <c r="I151" s="93">
        <f t="shared" si="36"/>
        <v>492.52</v>
      </c>
      <c r="J151" s="93">
        <f t="shared" si="40"/>
        <v>49.269999999999982</v>
      </c>
      <c r="K151" s="93">
        <f t="shared" si="37"/>
        <v>5.6244292237442898E-3</v>
      </c>
      <c r="L151" s="260">
        <f t="shared" si="38"/>
        <v>9.0939293822329653E-2</v>
      </c>
      <c r="M151" s="93">
        <f t="shared" si="39"/>
        <v>0.95392733915161387</v>
      </c>
      <c r="N151" s="93">
        <f t="shared" si="41"/>
        <v>6.25E-2</v>
      </c>
    </row>
    <row r="152" spans="2:14">
      <c r="B152" s="711"/>
      <c r="C152" s="94" t="s">
        <v>619</v>
      </c>
      <c r="D152" s="93">
        <v>9.25</v>
      </c>
      <c r="E152" s="93">
        <v>475.4</v>
      </c>
      <c r="F152" s="93">
        <f t="shared" si="35"/>
        <v>710.34999999999991</v>
      </c>
      <c r="G152" s="93">
        <v>8.33</v>
      </c>
      <c r="H152" s="93">
        <v>436.3</v>
      </c>
      <c r="I152" s="93">
        <f t="shared" si="36"/>
        <v>652.88</v>
      </c>
      <c r="J152" s="93">
        <f t="shared" si="40"/>
        <v>57.469999999999914</v>
      </c>
      <c r="K152" s="93">
        <f t="shared" si="37"/>
        <v>6.5605022831050127E-3</v>
      </c>
      <c r="L152" s="260">
        <f t="shared" si="38"/>
        <v>8.0903779826845809E-2</v>
      </c>
      <c r="M152" s="93">
        <f t="shared" si="39"/>
        <v>0.81781799199582517</v>
      </c>
      <c r="N152" s="93">
        <f t="shared" si="41"/>
        <v>6.25E-2</v>
      </c>
    </row>
    <row r="153" spans="2:14">
      <c r="B153" s="711"/>
      <c r="C153" s="94" t="s">
        <v>618</v>
      </c>
      <c r="D153" s="93">
        <v>8.4</v>
      </c>
      <c r="E153" s="93">
        <v>385.4</v>
      </c>
      <c r="F153" s="93">
        <f t="shared" si="35"/>
        <v>598.76</v>
      </c>
      <c r="G153" s="93">
        <v>7.56</v>
      </c>
      <c r="H153" s="93">
        <v>355.3</v>
      </c>
      <c r="I153" s="93">
        <f t="shared" si="36"/>
        <v>551.86</v>
      </c>
      <c r="J153" s="93">
        <f t="shared" si="40"/>
        <v>46.899999999999977</v>
      </c>
      <c r="K153" s="93">
        <f t="shared" si="37"/>
        <v>5.3538812785388105E-3</v>
      </c>
      <c r="L153" s="260">
        <f t="shared" si="38"/>
        <v>7.832854566103277E-2</v>
      </c>
      <c r="M153" s="93">
        <f t="shared" si="39"/>
        <v>1.0021321961620473</v>
      </c>
      <c r="N153" s="93">
        <f t="shared" si="41"/>
        <v>6.25E-2</v>
      </c>
    </row>
    <row r="154" spans="2:14">
      <c r="B154" s="711"/>
      <c r="C154" s="94" t="s">
        <v>617</v>
      </c>
      <c r="D154" s="93">
        <v>8.5399999999999991</v>
      </c>
      <c r="E154" s="93">
        <v>432.8</v>
      </c>
      <c r="F154" s="93">
        <f t="shared" si="35"/>
        <v>649.71600000000001</v>
      </c>
      <c r="G154" s="93">
        <v>7.69</v>
      </c>
      <c r="H154" s="93">
        <v>397.9</v>
      </c>
      <c r="I154" s="93">
        <f t="shared" si="36"/>
        <v>597.83999999999992</v>
      </c>
      <c r="J154" s="93">
        <f t="shared" si="40"/>
        <v>51.87600000000009</v>
      </c>
      <c r="K154" s="93">
        <f t="shared" si="37"/>
        <v>5.9219178082191883E-3</v>
      </c>
      <c r="L154" s="260">
        <f t="shared" si="38"/>
        <v>7.9844116506289045E-2</v>
      </c>
      <c r="M154" s="93">
        <f t="shared" si="39"/>
        <v>0.90600663119746927</v>
      </c>
      <c r="N154" s="93">
        <f t="shared" si="41"/>
        <v>6.25E-2</v>
      </c>
    </row>
    <row r="155" spans="2:14">
      <c r="B155" s="711"/>
      <c r="C155" s="94" t="s">
        <v>616</v>
      </c>
      <c r="D155" s="93">
        <v>8.34</v>
      </c>
      <c r="E155" s="93">
        <v>333.7</v>
      </c>
      <c r="F155" s="93">
        <f t="shared" si="35"/>
        <v>545.53599999999994</v>
      </c>
      <c r="G155" s="93">
        <v>7.51</v>
      </c>
      <c r="H155" s="93">
        <v>303.89999999999998</v>
      </c>
      <c r="I155" s="93">
        <f t="shared" si="36"/>
        <v>499.15999999999997</v>
      </c>
      <c r="J155" s="93">
        <f t="shared" si="40"/>
        <v>46.375999999999976</v>
      </c>
      <c r="K155" s="93">
        <f t="shared" si="37"/>
        <v>5.294063926940637E-3</v>
      </c>
      <c r="L155" s="260">
        <f t="shared" si="38"/>
        <v>8.5009971844204571E-2</v>
      </c>
      <c r="M155" s="93">
        <f t="shared" si="39"/>
        <v>1.0134552354666211</v>
      </c>
      <c r="N155" s="93">
        <f t="shared" si="41"/>
        <v>6.25E-2</v>
      </c>
    </row>
    <row r="156" spans="2:14">
      <c r="B156" s="711" t="s">
        <v>615</v>
      </c>
      <c r="C156" s="94" t="s">
        <v>614</v>
      </c>
      <c r="D156" s="93">
        <v>5.57</v>
      </c>
      <c r="E156" s="93">
        <v>193.7</v>
      </c>
      <c r="F156" s="93">
        <f t="shared" si="35"/>
        <v>335.178</v>
      </c>
      <c r="G156" s="93">
        <v>5.01</v>
      </c>
      <c r="H156" s="93">
        <v>174.3</v>
      </c>
      <c r="I156" s="93">
        <f t="shared" si="36"/>
        <v>304.56</v>
      </c>
      <c r="J156" s="93">
        <f t="shared" si="40"/>
        <v>30.617999999999995</v>
      </c>
      <c r="K156" s="93">
        <f t="shared" si="37"/>
        <v>3.4952054794520544E-3</v>
      </c>
      <c r="L156" s="260">
        <f t="shared" si="38"/>
        <v>9.1348477525374561E-2</v>
      </c>
      <c r="M156" s="93">
        <f t="shared" si="39"/>
        <v>1.5350447449212883</v>
      </c>
      <c r="N156" s="93">
        <f t="shared" si="41"/>
        <v>6.25E-2</v>
      </c>
    </row>
    <row r="157" spans="2:14">
      <c r="B157" s="711"/>
      <c r="C157" s="94" t="s">
        <v>613</v>
      </c>
      <c r="D157" s="93">
        <v>8.6199999999999992</v>
      </c>
      <c r="E157" s="93">
        <v>228.3</v>
      </c>
      <c r="F157" s="93">
        <f t="shared" si="35"/>
        <v>447.24799999999999</v>
      </c>
      <c r="G157" s="93">
        <v>7.76</v>
      </c>
      <c r="H157" s="93">
        <v>205.5</v>
      </c>
      <c r="I157" s="93">
        <f t="shared" si="36"/>
        <v>407.26</v>
      </c>
      <c r="J157" s="93">
        <f t="shared" si="40"/>
        <v>39.988</v>
      </c>
      <c r="K157" s="93">
        <f t="shared" si="37"/>
        <v>4.5648401826484022E-3</v>
      </c>
      <c r="L157" s="260">
        <f t="shared" si="38"/>
        <v>8.9409007977676813E-2</v>
      </c>
      <c r="M157" s="93">
        <f t="shared" si="39"/>
        <v>1.1753526057817345</v>
      </c>
      <c r="N157" s="93">
        <f t="shared" si="41"/>
        <v>6.25E-2</v>
      </c>
    </row>
    <row r="158" spans="2:14">
      <c r="B158" s="711"/>
      <c r="C158" s="94" t="s">
        <v>612</v>
      </c>
      <c r="D158" s="93">
        <v>8.6199999999999992</v>
      </c>
      <c r="E158" s="93">
        <v>312.3</v>
      </c>
      <c r="F158" s="93">
        <f t="shared" si="35"/>
        <v>531.24800000000005</v>
      </c>
      <c r="G158" s="93">
        <v>7.76</v>
      </c>
      <c r="H158" s="93">
        <v>289.5</v>
      </c>
      <c r="I158" s="93">
        <f t="shared" si="36"/>
        <v>491.26</v>
      </c>
      <c r="J158" s="93">
        <f t="shared" si="40"/>
        <v>39.988000000000056</v>
      </c>
      <c r="K158" s="93">
        <f t="shared" si="37"/>
        <v>4.5648401826484082E-3</v>
      </c>
      <c r="L158" s="260">
        <f t="shared" si="38"/>
        <v>7.5271812788001186E-2</v>
      </c>
      <c r="M158" s="93">
        <f t="shared" si="39"/>
        <v>1.175352605781733</v>
      </c>
      <c r="N158" s="93">
        <f t="shared" si="41"/>
        <v>6.25E-2</v>
      </c>
    </row>
    <row r="159" spans="2:14">
      <c r="B159" s="711"/>
      <c r="C159" s="94" t="s">
        <v>611</v>
      </c>
      <c r="D159" s="93">
        <v>9.86</v>
      </c>
      <c r="E159" s="93">
        <v>260.89999999999998</v>
      </c>
      <c r="F159" s="93">
        <f t="shared" si="35"/>
        <v>511.34399999999994</v>
      </c>
      <c r="G159" s="93">
        <v>8.8699999999999992</v>
      </c>
      <c r="H159" s="93">
        <v>234.8</v>
      </c>
      <c r="I159" s="93">
        <f t="shared" si="36"/>
        <v>465.41999999999996</v>
      </c>
      <c r="J159" s="93">
        <f t="shared" si="40"/>
        <v>45.923999999999978</v>
      </c>
      <c r="K159" s="93">
        <f t="shared" si="37"/>
        <v>5.2424657534246551E-3</v>
      </c>
      <c r="L159" s="260">
        <f t="shared" si="38"/>
        <v>8.9810382052004104E-2</v>
      </c>
      <c r="M159" s="93">
        <f t="shared" si="39"/>
        <v>1.023430014807073</v>
      </c>
      <c r="N159" s="93">
        <f t="shared" si="41"/>
        <v>6.25E-2</v>
      </c>
    </row>
    <row r="160" spans="2:14">
      <c r="B160" s="711"/>
      <c r="C160" s="94" t="s">
        <v>610</v>
      </c>
      <c r="D160" s="93">
        <v>9.86</v>
      </c>
      <c r="E160" s="93">
        <v>344.9</v>
      </c>
      <c r="F160" s="93">
        <f t="shared" si="35"/>
        <v>595.34399999999994</v>
      </c>
      <c r="G160" s="93">
        <v>8.8699999999999992</v>
      </c>
      <c r="H160" s="93">
        <v>318.8</v>
      </c>
      <c r="I160" s="93">
        <f t="shared" si="36"/>
        <v>549.41999999999996</v>
      </c>
      <c r="J160" s="93">
        <f t="shared" si="40"/>
        <v>45.923999999999978</v>
      </c>
      <c r="K160" s="93">
        <f t="shared" si="37"/>
        <v>5.2424657534246551E-3</v>
      </c>
      <c r="L160" s="260">
        <f t="shared" si="38"/>
        <v>7.7138595501088411E-2</v>
      </c>
      <c r="M160" s="93">
        <f t="shared" si="39"/>
        <v>1.023430014807073</v>
      </c>
      <c r="N160" s="93">
        <f t="shared" si="41"/>
        <v>6.25E-2</v>
      </c>
    </row>
    <row r="161" spans="2:14">
      <c r="B161" s="711"/>
      <c r="C161" s="94" t="s">
        <v>609</v>
      </c>
      <c r="D161" s="93">
        <v>7.29</v>
      </c>
      <c r="E161" s="93">
        <v>107.8</v>
      </c>
      <c r="F161" s="93">
        <f t="shared" si="35"/>
        <v>292.96600000000001</v>
      </c>
      <c r="G161" s="93">
        <v>6.56</v>
      </c>
      <c r="H161" s="93">
        <v>97</v>
      </c>
      <c r="I161" s="93">
        <f t="shared" si="36"/>
        <v>267.56</v>
      </c>
      <c r="J161" s="93">
        <f t="shared" si="40"/>
        <v>25.406000000000006</v>
      </c>
      <c r="K161" s="93">
        <f t="shared" si="37"/>
        <v>2.900228310502284E-3</v>
      </c>
      <c r="L161" s="260">
        <f t="shared" si="38"/>
        <v>8.6719960678030922E-2</v>
      </c>
      <c r="M161" s="93">
        <f t="shared" si="39"/>
        <v>1.8499567031409898</v>
      </c>
      <c r="N161" s="93">
        <f t="shared" si="41"/>
        <v>6.25E-2</v>
      </c>
    </row>
    <row r="162" spans="2:14">
      <c r="B162" s="711"/>
      <c r="C162" s="94" t="s">
        <v>608</v>
      </c>
      <c r="D162" s="93">
        <v>10.24</v>
      </c>
      <c r="E162" s="93">
        <v>148.1</v>
      </c>
      <c r="F162" s="93">
        <f t="shared" si="35"/>
        <v>408.19600000000003</v>
      </c>
      <c r="G162" s="93">
        <v>9.2200000000000006</v>
      </c>
      <c r="H162" s="93">
        <v>133.30000000000001</v>
      </c>
      <c r="I162" s="93">
        <f t="shared" si="36"/>
        <v>373.02000000000004</v>
      </c>
      <c r="J162" s="93">
        <f t="shared" si="40"/>
        <v>35.175999999999988</v>
      </c>
      <c r="K162" s="93">
        <f t="shared" si="37"/>
        <v>4.0155251141552493E-3</v>
      </c>
      <c r="L162" s="260">
        <f t="shared" si="38"/>
        <v>8.6174288822036441E-2</v>
      </c>
      <c r="M162" s="93">
        <f t="shared" si="39"/>
        <v>1.3361382760973395</v>
      </c>
      <c r="N162" s="93">
        <f t="shared" si="41"/>
        <v>6.25E-2</v>
      </c>
    </row>
    <row r="163" spans="2:14">
      <c r="B163" s="711"/>
      <c r="C163" s="94" t="s">
        <v>607</v>
      </c>
      <c r="D163" s="93">
        <v>8.58</v>
      </c>
      <c r="E163" s="93">
        <v>228</v>
      </c>
      <c r="F163" s="93">
        <f t="shared" si="35"/>
        <v>445.93200000000002</v>
      </c>
      <c r="G163" s="93">
        <v>7.72</v>
      </c>
      <c r="H163" s="93">
        <v>207.6</v>
      </c>
      <c r="I163" s="93">
        <f t="shared" si="36"/>
        <v>408.32</v>
      </c>
      <c r="J163" s="93">
        <f t="shared" si="40"/>
        <v>37.612000000000023</v>
      </c>
      <c r="K163" s="93">
        <f t="shared" si="37"/>
        <v>4.2936073059360756E-3</v>
      </c>
      <c r="L163" s="260">
        <f t="shared" si="38"/>
        <v>8.4344698294807327E-2</v>
      </c>
      <c r="M163" s="93">
        <f t="shared" si="39"/>
        <v>1.2496011911092197</v>
      </c>
      <c r="N163" s="93">
        <f t="shared" si="41"/>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34:B141"/>
    <mergeCell ref="D124:F124"/>
    <mergeCell ref="G124:I124"/>
    <mergeCell ref="B124:C124"/>
    <mergeCell ref="B125:B133"/>
    <mergeCell ref="B146:C146"/>
    <mergeCell ref="D146:F146"/>
    <mergeCell ref="G146:I146"/>
    <mergeCell ref="B147:B155"/>
    <mergeCell ref="B156:B163"/>
  </mergeCells>
  <dataValidations count="5">
    <dataValidation type="list" allowBlank="1" showInputMessage="1" showErrorMessage="1" sqref="C59:L59" xr:uid="{00000000-0002-0000-3B00-000005000000}">
      <formula1>$N$19:$AQ$19</formula1>
    </dataValidation>
    <dataValidation type="list" allowBlank="1" showInputMessage="1" showErrorMessage="1" sqref="E11:E20" xr:uid="{00000000-0002-0000-3B00-000004000000}">
      <formula1>$N$16:$O$16</formula1>
    </dataValidation>
    <dataValidation type="list" allowBlank="1" showInputMessage="1" showErrorMessage="1" sqref="D11:D20" xr:uid="{00000000-0002-0000-3B00-000003000000}">
      <formula1>$N$22:$AE$22</formula1>
    </dataValidation>
    <dataValidation type="list" allowBlank="1" showInputMessage="1" showErrorMessage="1" sqref="B11:C20" xr:uid="{00000000-0002-0000-3B00-000002000000}">
      <formula1>$N$7:$Q$7</formula1>
    </dataValidation>
    <dataValidation type="list" allowBlank="1" showInputMessage="1" showErrorMessage="1" sqref="D7" xr:uid="{00000000-0002-0000-3B00-000001000000}">
      <formula1>$N$11:$O$11</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04CF0-4BFD-443D-A544-B1F56EE9A0D8}">
  <sheetPr codeName="Sheet56">
    <tabColor indexed="9"/>
  </sheetPr>
  <dimension ref="A1:AQ139"/>
  <sheetViews>
    <sheetView topLeftCell="A42" workbookViewId="0">
      <selection activeCell="C59" sqref="C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Refrigerator Freezer Recycling</v>
      </c>
      <c r="C7" s="98" t="s">
        <v>674</v>
      </c>
      <c r="D7" s="97" t="s">
        <v>212</v>
      </c>
      <c r="E7" s="250">
        <f>C109</f>
        <v>6.5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Refrigerator Freezer Recycling_Res, E - Refr (RET)</v>
      </c>
      <c r="J11" s="83" t="str">
        <f t="shared" ref="J11:J20" si="3">IF(B11="","",CONCATENATE($C$7,IF(C11="","",CONCATENATE(" with ",C11," Secondary Fuel"))))</f>
        <v>Refrigerator and Freezer Recycling</v>
      </c>
      <c r="K11" s="83"/>
      <c r="M11" s="94" t="s">
        <v>123</v>
      </c>
      <c r="N11" s="93" t="s">
        <v>212</v>
      </c>
      <c r="O11" s="93" t="s">
        <v>211</v>
      </c>
    </row>
    <row r="12" spans="1:17">
      <c r="A12" s="1">
        <v>2</v>
      </c>
      <c r="B12" s="98"/>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Refrigerator Freezer Recycling_Res,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Refrigerator Freezer Recycling_Res,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Refrigerator and Freezer Recycling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Refrigerator Freezer Recycling_Res,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Refrigerator and Freezer Recycling</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IF(VLOOKUP(C$31,$A$11:$K$20,2,FALSE)="","",IF($E$7="","",$E$7))</f>
        <v>6.5</v>
      </c>
      <c r="D39" s="83"/>
      <c r="E39" s="83" t="str">
        <f t="shared" ref="E39:L39" si="11">IF(VLOOKUP(E$31,$A$11:$K$20,2,FALSE)="","",IF($E$7="","",$E$7))</f>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Refrigerator and Freezer Recycling</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672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671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C139</f>
        <v>971.21493940000005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E139</f>
        <v>1</v>
      </c>
      <c r="D65" s="67"/>
      <c r="E65" s="67"/>
      <c r="F65" s="65"/>
      <c r="G65" s="65"/>
      <c r="H65" s="65"/>
      <c r="I65" s="65"/>
      <c r="J65" s="65"/>
      <c r="K65" s="65"/>
      <c r="L65" s="65"/>
      <c r="M65" s="69" t="s">
        <v>670</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170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F139</f>
        <v>0.17536832457979606</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Refrigerator and Freezer Recycling</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183"/>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648</v>
      </c>
      <c r="C108" s="94" t="s">
        <v>410</v>
      </c>
      <c r="D108" s="94" t="s">
        <v>647</v>
      </c>
      <c r="E108" s="94" t="s">
        <v>122</v>
      </c>
    </row>
    <row r="109" spans="1:22">
      <c r="B109" s="1" t="s">
        <v>518</v>
      </c>
      <c r="C109" s="1">
        <v>6.5</v>
      </c>
      <c r="D109" s="1" t="s">
        <v>668</v>
      </c>
    </row>
    <row r="110" spans="1:22">
      <c r="B110" s="1" t="s">
        <v>669</v>
      </c>
      <c r="C110" s="1" t="s">
        <v>35</v>
      </c>
      <c r="D110" s="1" t="s">
        <v>668</v>
      </c>
    </row>
    <row r="111" spans="1:22">
      <c r="B111" s="1" t="s">
        <v>438</v>
      </c>
      <c r="C111" s="97">
        <v>170</v>
      </c>
      <c r="D111" s="1" t="s">
        <v>668</v>
      </c>
    </row>
    <row r="113" spans="2:5">
      <c r="B113" s="94" t="s">
        <v>250</v>
      </c>
      <c r="C113" s="94" t="s">
        <v>665</v>
      </c>
      <c r="D113" s="94" t="s">
        <v>664</v>
      </c>
      <c r="E113" s="94" t="s">
        <v>663</v>
      </c>
    </row>
    <row r="114" spans="2:5">
      <c r="B114" s="93" t="s">
        <v>629</v>
      </c>
      <c r="C114" s="93" t="s">
        <v>662</v>
      </c>
      <c r="D114" s="93">
        <v>83.323999999999998</v>
      </c>
      <c r="E114" s="93"/>
    </row>
    <row r="115" spans="2:5">
      <c r="B115" s="93"/>
      <c r="C115" s="93" t="s">
        <v>661</v>
      </c>
      <c r="D115" s="93">
        <v>3.6779999999999999</v>
      </c>
      <c r="E115" s="97">
        <v>22.81</v>
      </c>
    </row>
    <row r="116" spans="2:5">
      <c r="B116" s="93"/>
      <c r="C116" s="93" t="s">
        <v>660</v>
      </c>
      <c r="D116" s="93">
        <v>485.03699999999998</v>
      </c>
      <c r="E116" s="97">
        <v>0.45</v>
      </c>
    </row>
    <row r="117" spans="2:5">
      <c r="B117" s="93"/>
      <c r="C117" s="93" t="s">
        <v>580</v>
      </c>
      <c r="D117" s="93">
        <v>27.149000000000001</v>
      </c>
      <c r="E117" s="97">
        <v>18.82</v>
      </c>
    </row>
    <row r="118" spans="2:5">
      <c r="B118" s="93"/>
      <c r="C118" s="93" t="s">
        <v>667</v>
      </c>
      <c r="D118" s="93">
        <v>406.779</v>
      </c>
      <c r="E118" s="97">
        <v>0.17</v>
      </c>
    </row>
    <row r="119" spans="2:5">
      <c r="B119" s="93"/>
      <c r="C119" s="93" t="s">
        <v>666</v>
      </c>
      <c r="D119" s="93">
        <v>161.857</v>
      </c>
      <c r="E119" s="97">
        <v>0.34</v>
      </c>
    </row>
    <row r="120" spans="2:5">
      <c r="B120" s="93"/>
      <c r="C120" s="93" t="s">
        <v>658</v>
      </c>
      <c r="D120" s="93">
        <v>15.366</v>
      </c>
      <c r="E120" s="97">
        <v>4.49</v>
      </c>
    </row>
    <row r="121" spans="2:5">
      <c r="B121" s="93"/>
      <c r="C121" s="93" t="s">
        <v>657</v>
      </c>
      <c r="D121" s="93">
        <v>-11.067</v>
      </c>
      <c r="E121" s="97">
        <v>0</v>
      </c>
    </row>
    <row r="122" spans="2:5">
      <c r="B122" s="93"/>
      <c r="C122" s="93" t="s">
        <v>656</v>
      </c>
      <c r="D122" s="93"/>
      <c r="E122" s="97">
        <v>0.93</v>
      </c>
    </row>
    <row r="123" spans="2:5">
      <c r="B123" s="93"/>
      <c r="C123" s="93" t="s">
        <v>34</v>
      </c>
      <c r="D123" s="93">
        <v>1.081</v>
      </c>
      <c r="E123" s="93"/>
    </row>
    <row r="125" spans="2:5">
      <c r="B125" s="94" t="s">
        <v>250</v>
      </c>
      <c r="C125" s="94" t="s">
        <v>665</v>
      </c>
      <c r="D125" s="94" t="s">
        <v>664</v>
      </c>
      <c r="E125" s="94" t="s">
        <v>663</v>
      </c>
    </row>
    <row r="126" spans="2:5">
      <c r="B126" s="93" t="s">
        <v>615</v>
      </c>
      <c r="C126" s="93" t="s">
        <v>662</v>
      </c>
      <c r="D126" s="93">
        <v>132.12200000000001</v>
      </c>
      <c r="E126" s="93"/>
    </row>
    <row r="127" spans="2:5">
      <c r="B127" s="93"/>
      <c r="C127" s="93" t="s">
        <v>661</v>
      </c>
      <c r="D127" s="93">
        <v>12.13</v>
      </c>
      <c r="E127" s="97">
        <v>26.92</v>
      </c>
    </row>
    <row r="128" spans="2:5">
      <c r="B128" s="93"/>
      <c r="C128" s="93" t="s">
        <v>660</v>
      </c>
      <c r="D128" s="93">
        <v>156.18100000000001</v>
      </c>
      <c r="E128" s="97">
        <v>0.6</v>
      </c>
    </row>
    <row r="129" spans="2:7">
      <c r="B129" s="93"/>
      <c r="C129" s="93" t="s">
        <v>580</v>
      </c>
      <c r="D129" s="93">
        <v>31.838999999999999</v>
      </c>
      <c r="E129" s="97">
        <v>15.9</v>
      </c>
    </row>
    <row r="130" spans="2:7">
      <c r="B130" s="93"/>
      <c r="C130" s="93" t="s">
        <v>659</v>
      </c>
      <c r="D130" s="93">
        <v>-19.709</v>
      </c>
      <c r="E130" s="97">
        <v>0.48</v>
      </c>
    </row>
    <row r="131" spans="2:7">
      <c r="B131" s="93"/>
      <c r="C131" s="93" t="s">
        <v>658</v>
      </c>
      <c r="D131" s="93">
        <v>9.7780000000000005</v>
      </c>
      <c r="E131" s="97">
        <v>4.49</v>
      </c>
    </row>
    <row r="132" spans="2:7">
      <c r="B132" s="93"/>
      <c r="C132" s="93" t="s">
        <v>657</v>
      </c>
      <c r="D132" s="93">
        <v>-12.755000000000001</v>
      </c>
      <c r="E132" s="97">
        <v>0</v>
      </c>
    </row>
    <row r="133" spans="2:7">
      <c r="B133" s="93"/>
      <c r="C133" s="93" t="s">
        <v>656</v>
      </c>
      <c r="D133" s="93"/>
      <c r="E133" s="97">
        <v>0.85</v>
      </c>
    </row>
    <row r="134" spans="2:7">
      <c r="B134" s="93"/>
      <c r="C134" s="93" t="s">
        <v>34</v>
      </c>
      <c r="D134" s="93">
        <v>1.028</v>
      </c>
      <c r="E134" s="93"/>
    </row>
    <row r="136" spans="2:7">
      <c r="B136" s="94" t="s">
        <v>250</v>
      </c>
      <c r="C136" s="94" t="s">
        <v>500</v>
      </c>
      <c r="D136" s="94" t="s">
        <v>499</v>
      </c>
      <c r="E136" s="94" t="s">
        <v>244</v>
      </c>
      <c r="F136" s="94" t="s">
        <v>8</v>
      </c>
      <c r="G136" s="94" t="s">
        <v>497</v>
      </c>
    </row>
    <row r="137" spans="2:7">
      <c r="B137" s="93" t="s">
        <v>629</v>
      </c>
      <c r="C137" s="93">
        <f>(D114+(E115*D115)+(E116*D116)+(E117*D117)+(E118*D118)+(E119*D119)+(E120*D120)+(E121*D121))*E122</f>
        <v>1013.3346588000001</v>
      </c>
      <c r="D137" s="93">
        <f>C137*D123/8766</f>
        <v>0.12496175749062287</v>
      </c>
      <c r="E137" s="93">
        <f>C137/C137</f>
        <v>1</v>
      </c>
      <c r="F137" s="93">
        <f>$C$111/C137</f>
        <v>0.16776293845639853</v>
      </c>
      <c r="G137" s="93">
        <f>1/COUNT($C$137:$C$138)</f>
        <v>0.5</v>
      </c>
    </row>
    <row r="138" spans="2:7">
      <c r="B138" s="93" t="s">
        <v>615</v>
      </c>
      <c r="C138" s="93">
        <f>(D126+(E127*D127)+(E128*D128)+(E129*D129)+(E130*D130)+(E131*D131)+(E132*D132))*E133</f>
        <v>929.09522000000004</v>
      </c>
      <c r="D138" s="93">
        <f>C138*D134/8766</f>
        <v>0.10895618140086699</v>
      </c>
      <c r="E138" s="93">
        <f>C138/C138</f>
        <v>1</v>
      </c>
      <c r="F138" s="93">
        <f>$C$111/C138</f>
        <v>0.18297371070319357</v>
      </c>
      <c r="G138" s="93">
        <f>1/COUNT($C$137:$C$138)</f>
        <v>0.5</v>
      </c>
    </row>
    <row r="139" spans="2:7">
      <c r="B139" s="7" t="s">
        <v>0</v>
      </c>
      <c r="C139" s="7">
        <f>SUMPRODUCT(C137:C138,$G$137:$G$138)</f>
        <v>971.21493940000005</v>
      </c>
      <c r="D139" s="7">
        <f>SUMPRODUCT(D137:D138,$G$137:$G$138)</f>
        <v>0.11695896944574494</v>
      </c>
      <c r="E139" s="7">
        <f>SUMPRODUCT(E137:E138,$G$137:$G$138)</f>
        <v>1</v>
      </c>
      <c r="F139" s="7">
        <f>SUMPRODUCT(F137:F138,$G$137:$G$138)</f>
        <v>0.17536832457979606</v>
      </c>
      <c r="G139" s="93"/>
    </row>
  </sheetData>
  <dataValidations count="5">
    <dataValidation type="list" allowBlank="1" showInputMessage="1" showErrorMessage="1" sqref="C59:L59" xr:uid="{00000000-0002-0000-3C00-000004000000}">
      <formula1>$N$19:$AQ$19</formula1>
    </dataValidation>
    <dataValidation type="list" allowBlank="1" showInputMessage="1" showErrorMessage="1" sqref="E11:E20" xr:uid="{00000000-0002-0000-3C00-000003000000}">
      <formula1>$N$16:$O$16</formula1>
    </dataValidation>
    <dataValidation type="list" allowBlank="1" showInputMessage="1" showErrorMessage="1" sqref="D11:D20" xr:uid="{00000000-0002-0000-3C00-000002000000}">
      <formula1>$N$22:$AE$22</formula1>
    </dataValidation>
    <dataValidation type="list" allowBlank="1" showInputMessage="1" showErrorMessage="1" sqref="B11:C20" xr:uid="{00000000-0002-0000-3C00-000001000000}">
      <formula1>$N$7:$Q$7</formula1>
    </dataValidation>
    <dataValidation type="list" allowBlank="1" showInputMessage="1" showErrorMessage="1" sqref="D7" xr:uid="{00000000-0002-0000-3C00-000000000000}">
      <formula1>$N$11:$O$11</formula1>
    </dataValidation>
  </dataValidation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9604-5F9C-467A-9256-EB3BE8B84E61}">
  <sheetPr codeName="Sheet43">
    <tabColor indexed="60"/>
  </sheetPr>
  <dimension ref="A1:AQ173"/>
  <sheetViews>
    <sheetView topLeftCell="A48"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3.140625" style="1" customWidth="1"/>
    <col min="5" max="5" width="18.140625" style="1" customWidth="1"/>
    <col min="6" max="6" width="21.42578125" style="1" customWidth="1"/>
    <col min="7" max="7" width="19.85546875" style="1" customWidth="1"/>
    <col min="8" max="8" width="16.42578125" style="1" customWidth="1"/>
    <col min="9" max="9" width="16.5703125" style="1" customWidth="1"/>
    <col min="10" max="10" width="22.57031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Water Heater Wrap</v>
      </c>
      <c r="C7" s="98" t="s">
        <v>766</v>
      </c>
      <c r="D7" s="97" t="s">
        <v>212</v>
      </c>
      <c r="E7" s="97">
        <f>C110</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Water Heater Wrap_Res, E - HWat  (RET)</v>
      </c>
      <c r="J11" s="83" t="str">
        <f t="shared" ref="J11:J20" si="3">IF(B11="","",CONCATENATE($C$7,IF(C11="","",CONCATENATE(" with ",C11," Secondary Fuel"))))</f>
        <v>Water Heater Wrap</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Water Heater Wrap_Res, P - HWat  (RET)</v>
      </c>
      <c r="J12" s="83" t="str">
        <f t="shared" si="3"/>
        <v>Water Heater Wrap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Water Heater Wrap_Res, E - HWat  (RET)</v>
      </c>
      <c r="D33" s="83" t="str">
        <f t="shared" ca="1" si="5"/>
        <v>Water Heater Wrap_Res,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Water Heater Wrap_Res, E - HWat  (RET)</v>
      </c>
      <c r="N33" s="84" t="str">
        <f t="shared" ca="1" si="6"/>
        <v>Water Heater Wrap_Res,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Water Heater Wrap</v>
      </c>
      <c r="D34" s="83" t="str">
        <f t="shared" si="8"/>
        <v>Water Heater Wrap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Water Heater Wrap_Res,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Water Heater Wrap</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765</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 Wrap</v>
      </c>
      <c r="D52" s="66" t="str">
        <f t="shared" si="16"/>
        <v>Water Heater Wrap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764</v>
      </c>
      <c r="D55" s="65" t="s">
        <v>764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763</v>
      </c>
      <c r="D56" s="65" t="s">
        <v>763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F146</f>
        <v>193.42877926142484</v>
      </c>
      <c r="D64" s="67">
        <f>F173</f>
        <v>8.8599919855230382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H146</f>
        <v>0.47575757575757571</v>
      </c>
      <c r="D65" s="67">
        <f>H173</f>
        <v>0.47575757575757571</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I146</f>
        <v>12.148325000000003</v>
      </c>
      <c r="D68" s="71">
        <f>I173</f>
        <v>12.148325000000003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J146</f>
        <v>6.7131404897710842E-2</v>
      </c>
      <c r="D69" s="70">
        <f>J173</f>
        <v>1.4655933911324053</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Water Heater Wrap</v>
      </c>
      <c r="D71" s="66" t="str">
        <f t="shared" si="23"/>
        <v>Water Heater Wrap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5</v>
      </c>
      <c r="D76" s="65">
        <v>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3</v>
      </c>
      <c r="D77" s="65">
        <f>ROUND(D76-D76*1/3,0)</f>
        <v>3</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762</v>
      </c>
    </row>
    <row r="107" spans="1:22" s="63" customFormat="1" ht="15.75" thickBot="1">
      <c r="B107" s="63" t="s">
        <v>50</v>
      </c>
    </row>
    <row r="109" spans="1:22">
      <c r="B109" s="94" t="s">
        <v>520</v>
      </c>
      <c r="C109" s="94" t="s">
        <v>519</v>
      </c>
      <c r="D109" s="94" t="s">
        <v>409</v>
      </c>
      <c r="E109" s="94" t="s">
        <v>122</v>
      </c>
    </row>
    <row r="110" spans="1:22">
      <c r="B110" s="93" t="s">
        <v>518</v>
      </c>
      <c r="C110" s="93">
        <v>5</v>
      </c>
      <c r="D110" s="93" t="s">
        <v>755</v>
      </c>
      <c r="E110" s="93"/>
    </row>
    <row r="111" spans="1:22">
      <c r="B111" s="93" t="s">
        <v>438</v>
      </c>
      <c r="C111" s="93" t="s">
        <v>555</v>
      </c>
      <c r="D111" s="93" t="s">
        <v>755</v>
      </c>
      <c r="E111" s="93"/>
    </row>
    <row r="112" spans="1:22">
      <c r="B112" s="93" t="s">
        <v>484</v>
      </c>
      <c r="C112" s="93">
        <v>1</v>
      </c>
      <c r="D112" s="93" t="s">
        <v>755</v>
      </c>
      <c r="E112" s="93"/>
    </row>
    <row r="113" spans="2:11">
      <c r="B113" s="93" t="s">
        <v>753</v>
      </c>
      <c r="C113" s="93" t="s">
        <v>35</v>
      </c>
      <c r="D113" s="93" t="s">
        <v>755</v>
      </c>
      <c r="E113" s="93" t="s">
        <v>761</v>
      </c>
    </row>
    <row r="114" spans="2:11">
      <c r="B114" s="93" t="s">
        <v>752</v>
      </c>
      <c r="C114" s="93" t="s">
        <v>35</v>
      </c>
      <c r="D114" s="93" t="s">
        <v>755</v>
      </c>
      <c r="E114" s="93" t="s">
        <v>760</v>
      </c>
    </row>
    <row r="115" spans="2:11">
      <c r="B115" s="93" t="s">
        <v>751</v>
      </c>
      <c r="C115" s="93" t="s">
        <v>35</v>
      </c>
      <c r="D115" s="93" t="s">
        <v>755</v>
      </c>
      <c r="E115" s="93" t="s">
        <v>759</v>
      </c>
    </row>
    <row r="116" spans="2:11">
      <c r="B116" s="93" t="s">
        <v>758</v>
      </c>
      <c r="C116" s="93">
        <v>60</v>
      </c>
      <c r="D116" s="93" t="s">
        <v>755</v>
      </c>
      <c r="E116" s="93" t="s">
        <v>757</v>
      </c>
    </row>
    <row r="117" spans="2:11">
      <c r="B117" s="93" t="s">
        <v>309</v>
      </c>
      <c r="C117" s="93">
        <v>8766</v>
      </c>
      <c r="D117" s="93" t="s">
        <v>755</v>
      </c>
      <c r="E117" s="93"/>
    </row>
    <row r="118" spans="2:11">
      <c r="B118" s="93" t="s">
        <v>2074</v>
      </c>
      <c r="C118" s="93">
        <v>0.98</v>
      </c>
      <c r="D118" s="93" t="s">
        <v>755</v>
      </c>
      <c r="E118" s="93" t="s">
        <v>754</v>
      </c>
    </row>
    <row r="119" spans="2:11">
      <c r="B119" s="93" t="s">
        <v>2075</v>
      </c>
      <c r="C119" s="93">
        <f>'Drainwater Heat Recovery'!$F$138</f>
        <v>0.73</v>
      </c>
      <c r="D119" s="93" t="s">
        <v>740</v>
      </c>
      <c r="E119" s="93" t="s">
        <v>2078</v>
      </c>
    </row>
    <row r="121" spans="2:11">
      <c r="B121" s="94" t="s">
        <v>263</v>
      </c>
      <c r="C121" s="94" t="s">
        <v>753</v>
      </c>
      <c r="D121" s="94" t="s">
        <v>752</v>
      </c>
      <c r="E121" s="94" t="s">
        <v>751</v>
      </c>
      <c r="F121" s="94" t="s">
        <v>500</v>
      </c>
      <c r="G121" s="94" t="s">
        <v>499</v>
      </c>
      <c r="H121" s="94" t="s">
        <v>244</v>
      </c>
      <c r="I121" s="94" t="s">
        <v>9</v>
      </c>
      <c r="J121" s="94" t="s">
        <v>8</v>
      </c>
      <c r="K121" s="94" t="s">
        <v>497</v>
      </c>
    </row>
    <row r="122" spans="2:11">
      <c r="B122" s="93">
        <v>30</v>
      </c>
      <c r="C122" s="93">
        <v>8</v>
      </c>
      <c r="D122" s="93">
        <v>16</v>
      </c>
      <c r="E122" s="93">
        <v>19.16</v>
      </c>
      <c r="F122" s="93">
        <f t="shared" ref="F122:F145" si="28">((1/C122)-(1/D122))*E122*$C$116*$C$117/(3412*$C$118)</f>
        <v>188.36193387085197</v>
      </c>
      <c r="G122" s="93">
        <f t="shared" ref="G122:G145" si="29">F122*$C$112/8766</f>
        <v>2.1487786204751537E-2</v>
      </c>
      <c r="H122" s="285">
        <f t="shared" ref="H122:H145" si="30">F122/(((1/C122)*E122*$C$116*$C$117)/(3412*$C$118))</f>
        <v>0.5</v>
      </c>
      <c r="I122" s="93">
        <f>0.49*E122</f>
        <v>9.3884000000000007</v>
      </c>
      <c r="J122" s="93">
        <f>I122/F122</f>
        <v>4.984234238345122E-2</v>
      </c>
      <c r="K122" s="93">
        <f>1/COUNT($B$122:$B$145)</f>
        <v>4.1666666666666664E-2</v>
      </c>
    </row>
    <row r="123" spans="2:11">
      <c r="B123" s="93">
        <v>30</v>
      </c>
      <c r="C123" s="93">
        <v>10</v>
      </c>
      <c r="D123" s="93">
        <v>18</v>
      </c>
      <c r="E123" s="93">
        <v>19.16</v>
      </c>
      <c r="F123" s="93">
        <f t="shared" si="28"/>
        <v>133.94626408593922</v>
      </c>
      <c r="G123" s="93">
        <f t="shared" si="29"/>
        <v>1.5280203523378876E-2</v>
      </c>
      <c r="H123" s="285">
        <f t="shared" si="30"/>
        <v>0.44444444444444453</v>
      </c>
      <c r="I123" s="93">
        <f t="shared" ref="I123:I145" si="31">0.49*E123</f>
        <v>9.3884000000000007</v>
      </c>
      <c r="J123" s="93">
        <f t="shared" ref="J123:J145" si="32">I123/F123</f>
        <v>7.0090793976728252E-2</v>
      </c>
      <c r="K123" s="93">
        <f t="shared" ref="K123:K145" si="33">1/COUNT($B$122:$B$145)</f>
        <v>4.1666666666666664E-2</v>
      </c>
    </row>
    <row r="124" spans="2:11">
      <c r="B124" s="93">
        <v>30</v>
      </c>
      <c r="C124" s="93">
        <v>12</v>
      </c>
      <c r="D124" s="93">
        <v>20</v>
      </c>
      <c r="E124" s="93">
        <v>19.16</v>
      </c>
      <c r="F124" s="93">
        <f t="shared" si="28"/>
        <v>100.45969806445437</v>
      </c>
      <c r="G124" s="93">
        <f t="shared" si="29"/>
        <v>1.1460152642534152E-2</v>
      </c>
      <c r="H124" s="285">
        <f t="shared" si="30"/>
        <v>0.39999999999999997</v>
      </c>
      <c r="I124" s="93">
        <f t="shared" si="31"/>
        <v>9.3884000000000007</v>
      </c>
      <c r="J124" s="93">
        <f t="shared" si="32"/>
        <v>9.345439196897104E-2</v>
      </c>
      <c r="K124" s="93">
        <f t="shared" si="33"/>
        <v>4.1666666666666664E-2</v>
      </c>
    </row>
    <row r="125" spans="2:11">
      <c r="B125" s="93">
        <v>30</v>
      </c>
      <c r="C125" s="93">
        <v>8</v>
      </c>
      <c r="D125" s="93">
        <v>18</v>
      </c>
      <c r="E125" s="93">
        <v>19.16</v>
      </c>
      <c r="F125" s="93">
        <f t="shared" si="28"/>
        <v>209.29103763428003</v>
      </c>
      <c r="G125" s="93">
        <f t="shared" si="29"/>
        <v>2.3875318005279492E-2</v>
      </c>
      <c r="H125" s="285">
        <f t="shared" si="30"/>
        <v>0.55555555555555569</v>
      </c>
      <c r="I125" s="93">
        <f t="shared" si="31"/>
        <v>9.3884000000000007</v>
      </c>
      <c r="J125" s="93">
        <f t="shared" si="32"/>
        <v>4.4858108145106081E-2</v>
      </c>
      <c r="K125" s="93">
        <f t="shared" si="33"/>
        <v>4.1666666666666664E-2</v>
      </c>
    </row>
    <row r="126" spans="2:11">
      <c r="B126" s="93">
        <v>30</v>
      </c>
      <c r="C126" s="93">
        <v>10</v>
      </c>
      <c r="D126" s="93">
        <v>20</v>
      </c>
      <c r="E126" s="93">
        <v>19.16</v>
      </c>
      <c r="F126" s="93">
        <f t="shared" si="28"/>
        <v>150.68954709668159</v>
      </c>
      <c r="G126" s="93">
        <f t="shared" si="29"/>
        <v>1.7190228963801232E-2</v>
      </c>
      <c r="H126" s="285">
        <f t="shared" si="30"/>
        <v>0.5</v>
      </c>
      <c r="I126" s="93">
        <f t="shared" si="31"/>
        <v>9.3884000000000007</v>
      </c>
      <c r="J126" s="93">
        <f t="shared" si="32"/>
        <v>6.2302927979314013E-2</v>
      </c>
      <c r="K126" s="93">
        <f t="shared" si="33"/>
        <v>4.1666666666666664E-2</v>
      </c>
    </row>
    <row r="127" spans="2:11">
      <c r="B127" s="93">
        <v>30</v>
      </c>
      <c r="C127" s="93">
        <v>12</v>
      </c>
      <c r="D127" s="93">
        <v>22</v>
      </c>
      <c r="E127" s="93">
        <v>19.16</v>
      </c>
      <c r="F127" s="93">
        <f t="shared" si="28"/>
        <v>114.15874780051632</v>
      </c>
      <c r="G127" s="93">
        <f t="shared" si="29"/>
        <v>1.3022900730152444E-2</v>
      </c>
      <c r="H127" s="285">
        <f t="shared" si="30"/>
        <v>0.45454545454545447</v>
      </c>
      <c r="I127" s="93">
        <f t="shared" si="31"/>
        <v>9.3884000000000007</v>
      </c>
      <c r="J127" s="93">
        <f t="shared" si="32"/>
        <v>8.2239864932694529E-2</v>
      </c>
      <c r="K127" s="93">
        <f t="shared" si="33"/>
        <v>4.1666666666666664E-2</v>
      </c>
    </row>
    <row r="128" spans="2:11">
      <c r="B128" s="93">
        <v>40</v>
      </c>
      <c r="C128" s="93">
        <v>8</v>
      </c>
      <c r="D128" s="93">
        <v>16</v>
      </c>
      <c r="E128" s="93">
        <v>23.18</v>
      </c>
      <c r="F128" s="93">
        <f t="shared" si="28"/>
        <v>227.88254838864032</v>
      </c>
      <c r="G128" s="93">
        <f t="shared" si="29"/>
        <v>2.5996183936646169E-2</v>
      </c>
      <c r="H128" s="285">
        <f t="shared" si="30"/>
        <v>0.5</v>
      </c>
      <c r="I128" s="93">
        <f t="shared" si="31"/>
        <v>11.3582</v>
      </c>
      <c r="J128" s="93">
        <f t="shared" si="32"/>
        <v>4.984234238345122E-2</v>
      </c>
      <c r="K128" s="93">
        <f t="shared" si="33"/>
        <v>4.1666666666666664E-2</v>
      </c>
    </row>
    <row r="129" spans="2:11">
      <c r="B129" s="93">
        <v>40</v>
      </c>
      <c r="C129" s="93">
        <v>10</v>
      </c>
      <c r="D129" s="93">
        <v>18</v>
      </c>
      <c r="E129" s="93">
        <v>23.18</v>
      </c>
      <c r="F129" s="93">
        <f t="shared" si="28"/>
        <v>162.04981218747758</v>
      </c>
      <c r="G129" s="93">
        <f t="shared" si="29"/>
        <v>1.8486175243837277E-2</v>
      </c>
      <c r="H129" s="285">
        <f t="shared" si="30"/>
        <v>0.44444444444444448</v>
      </c>
      <c r="I129" s="93">
        <f t="shared" si="31"/>
        <v>11.3582</v>
      </c>
      <c r="J129" s="93">
        <f t="shared" si="32"/>
        <v>7.0090793976728266E-2</v>
      </c>
      <c r="K129" s="93">
        <f t="shared" si="33"/>
        <v>4.1666666666666664E-2</v>
      </c>
    </row>
    <row r="130" spans="2:11">
      <c r="B130" s="93">
        <v>40</v>
      </c>
      <c r="C130" s="93">
        <v>12</v>
      </c>
      <c r="D130" s="93">
        <v>20</v>
      </c>
      <c r="E130" s="93">
        <v>23.18</v>
      </c>
      <c r="F130" s="93">
        <f t="shared" si="28"/>
        <v>121.53735914060817</v>
      </c>
      <c r="G130" s="93">
        <f t="shared" si="29"/>
        <v>1.3864631432877958E-2</v>
      </c>
      <c r="H130" s="285">
        <f t="shared" si="30"/>
        <v>0.39999999999999997</v>
      </c>
      <c r="I130" s="93">
        <f t="shared" si="31"/>
        <v>11.3582</v>
      </c>
      <c r="J130" s="93">
        <f t="shared" si="32"/>
        <v>9.3454391968971026E-2</v>
      </c>
      <c r="K130" s="93">
        <f t="shared" si="33"/>
        <v>4.1666666666666664E-2</v>
      </c>
    </row>
    <row r="131" spans="2:11">
      <c r="B131" s="93">
        <v>40</v>
      </c>
      <c r="C131" s="93">
        <v>8</v>
      </c>
      <c r="D131" s="93">
        <v>18</v>
      </c>
      <c r="E131" s="93">
        <v>23.18</v>
      </c>
      <c r="F131" s="93">
        <f t="shared" si="28"/>
        <v>253.20283154293375</v>
      </c>
      <c r="G131" s="93">
        <f t="shared" si="29"/>
        <v>2.8884648818495749E-2</v>
      </c>
      <c r="H131" s="285">
        <f t="shared" si="30"/>
        <v>0.55555555555555569</v>
      </c>
      <c r="I131" s="93">
        <f t="shared" si="31"/>
        <v>11.3582</v>
      </c>
      <c r="J131" s="93">
        <f t="shared" si="32"/>
        <v>4.4858108145106081E-2</v>
      </c>
      <c r="K131" s="93">
        <f t="shared" si="33"/>
        <v>4.1666666666666664E-2</v>
      </c>
    </row>
    <row r="132" spans="2:11">
      <c r="B132" s="93">
        <v>40</v>
      </c>
      <c r="C132" s="93">
        <v>10</v>
      </c>
      <c r="D132" s="93">
        <v>20</v>
      </c>
      <c r="E132" s="93">
        <v>23.18</v>
      </c>
      <c r="F132" s="93">
        <f t="shared" si="28"/>
        <v>182.30603871091228</v>
      </c>
      <c r="G132" s="93">
        <f t="shared" si="29"/>
        <v>2.0796947149316937E-2</v>
      </c>
      <c r="H132" s="285">
        <f t="shared" si="30"/>
        <v>0.5</v>
      </c>
      <c r="I132" s="93">
        <f t="shared" si="31"/>
        <v>11.3582</v>
      </c>
      <c r="J132" s="93">
        <f t="shared" si="32"/>
        <v>6.2302927979314013E-2</v>
      </c>
      <c r="K132" s="93">
        <f t="shared" si="33"/>
        <v>4.1666666666666664E-2</v>
      </c>
    </row>
    <row r="133" spans="2:11">
      <c r="B133" s="93">
        <v>40</v>
      </c>
      <c r="C133" s="93">
        <v>12</v>
      </c>
      <c r="D133" s="93">
        <v>22</v>
      </c>
      <c r="E133" s="93">
        <v>23.18</v>
      </c>
      <c r="F133" s="93">
        <f t="shared" si="28"/>
        <v>138.11063538705474</v>
      </c>
      <c r="G133" s="93">
        <f t="shared" si="29"/>
        <v>1.5755262991906771E-2</v>
      </c>
      <c r="H133" s="285">
        <f t="shared" si="30"/>
        <v>0.45454545454545447</v>
      </c>
      <c r="I133" s="93">
        <f t="shared" si="31"/>
        <v>11.3582</v>
      </c>
      <c r="J133" s="93">
        <f t="shared" si="32"/>
        <v>8.2239864932694501E-2</v>
      </c>
      <c r="K133" s="93">
        <f t="shared" si="33"/>
        <v>4.1666666666666664E-2</v>
      </c>
    </row>
    <row r="134" spans="2:11">
      <c r="B134" s="93">
        <v>50</v>
      </c>
      <c r="C134" s="93">
        <v>8</v>
      </c>
      <c r="D134" s="93">
        <v>16</v>
      </c>
      <c r="E134" s="93">
        <v>24.99</v>
      </c>
      <c r="F134" s="93">
        <f t="shared" si="28"/>
        <v>245.67665592028135</v>
      </c>
      <c r="G134" s="93">
        <f t="shared" si="29"/>
        <v>2.8026084407971864E-2</v>
      </c>
      <c r="H134" s="285">
        <f t="shared" si="30"/>
        <v>0.5</v>
      </c>
      <c r="I134" s="93">
        <f t="shared" si="31"/>
        <v>12.245099999999999</v>
      </c>
      <c r="J134" s="93">
        <f t="shared" si="32"/>
        <v>4.9842342383451213E-2</v>
      </c>
      <c r="K134" s="93">
        <f t="shared" si="33"/>
        <v>4.1666666666666664E-2</v>
      </c>
    </row>
    <row r="135" spans="2:11">
      <c r="B135" s="93">
        <v>50</v>
      </c>
      <c r="C135" s="93">
        <v>10</v>
      </c>
      <c r="D135" s="93">
        <v>18</v>
      </c>
      <c r="E135" s="93">
        <v>24.99</v>
      </c>
      <c r="F135" s="93">
        <f t="shared" si="28"/>
        <v>174.70339976553345</v>
      </c>
      <c r="G135" s="93">
        <f t="shared" si="29"/>
        <v>1.9929660023446663E-2</v>
      </c>
      <c r="H135" s="285">
        <f t="shared" si="30"/>
        <v>0.44444444444444448</v>
      </c>
      <c r="I135" s="93">
        <f t="shared" si="31"/>
        <v>12.245099999999999</v>
      </c>
      <c r="J135" s="93">
        <f t="shared" si="32"/>
        <v>7.0090793976728252E-2</v>
      </c>
      <c r="K135" s="93">
        <f t="shared" si="33"/>
        <v>4.1666666666666664E-2</v>
      </c>
    </row>
    <row r="136" spans="2:11">
      <c r="B136" s="93">
        <v>50</v>
      </c>
      <c r="C136" s="93">
        <v>12</v>
      </c>
      <c r="D136" s="93">
        <v>20</v>
      </c>
      <c r="E136" s="93">
        <v>24.99</v>
      </c>
      <c r="F136" s="93">
        <f t="shared" si="28"/>
        <v>131.02754982415004</v>
      </c>
      <c r="G136" s="93">
        <f t="shared" si="29"/>
        <v>1.4947245017584992E-2</v>
      </c>
      <c r="H136" s="285">
        <f t="shared" si="30"/>
        <v>0.4</v>
      </c>
      <c r="I136" s="93">
        <f t="shared" si="31"/>
        <v>12.245099999999999</v>
      </c>
      <c r="J136" s="93">
        <f t="shared" si="32"/>
        <v>9.3454391968971026E-2</v>
      </c>
      <c r="K136" s="93">
        <f t="shared" si="33"/>
        <v>4.1666666666666664E-2</v>
      </c>
    </row>
    <row r="137" spans="2:11">
      <c r="B137" s="93">
        <v>50</v>
      </c>
      <c r="C137" s="93">
        <v>8</v>
      </c>
      <c r="D137" s="93">
        <v>18</v>
      </c>
      <c r="E137" s="93">
        <v>24.99</v>
      </c>
      <c r="F137" s="93">
        <f t="shared" si="28"/>
        <v>272.97406213364599</v>
      </c>
      <c r="G137" s="93">
        <f t="shared" si="29"/>
        <v>3.1140093786635407E-2</v>
      </c>
      <c r="H137" s="285">
        <f t="shared" si="30"/>
        <v>0.55555555555555569</v>
      </c>
      <c r="I137" s="93">
        <f t="shared" si="31"/>
        <v>12.245099999999999</v>
      </c>
      <c r="J137" s="93">
        <f t="shared" si="32"/>
        <v>4.4858108145106081E-2</v>
      </c>
      <c r="K137" s="93">
        <f t="shared" si="33"/>
        <v>4.1666666666666664E-2</v>
      </c>
    </row>
    <row r="138" spans="2:11">
      <c r="B138" s="93">
        <v>50</v>
      </c>
      <c r="C138" s="93">
        <v>10</v>
      </c>
      <c r="D138" s="93">
        <v>20</v>
      </c>
      <c r="E138" s="93">
        <v>24.99</v>
      </c>
      <c r="F138" s="93">
        <f t="shared" si="28"/>
        <v>196.54132473622511</v>
      </c>
      <c r="G138" s="93">
        <f t="shared" si="29"/>
        <v>2.2420867526377494E-2</v>
      </c>
      <c r="H138" s="285">
        <f t="shared" si="30"/>
        <v>0.5</v>
      </c>
      <c r="I138" s="93">
        <f t="shared" si="31"/>
        <v>12.245099999999999</v>
      </c>
      <c r="J138" s="93">
        <f t="shared" si="32"/>
        <v>6.2302927979314006E-2</v>
      </c>
      <c r="K138" s="93">
        <f t="shared" si="33"/>
        <v>4.1666666666666664E-2</v>
      </c>
    </row>
    <row r="139" spans="2:11">
      <c r="B139" s="93">
        <v>50</v>
      </c>
      <c r="C139" s="93">
        <v>12</v>
      </c>
      <c r="D139" s="93">
        <v>22</v>
      </c>
      <c r="E139" s="93">
        <v>24.99</v>
      </c>
      <c r="F139" s="93">
        <f t="shared" si="28"/>
        <v>148.89494298198866</v>
      </c>
      <c r="G139" s="93">
        <f t="shared" si="29"/>
        <v>1.6985505701801126E-2</v>
      </c>
      <c r="H139" s="285">
        <f t="shared" si="30"/>
        <v>0.45454545454545447</v>
      </c>
      <c r="I139" s="93">
        <f t="shared" si="31"/>
        <v>12.245099999999999</v>
      </c>
      <c r="J139" s="93">
        <f t="shared" si="32"/>
        <v>8.2239864932694515E-2</v>
      </c>
      <c r="K139" s="93">
        <f t="shared" si="33"/>
        <v>4.1666666666666664E-2</v>
      </c>
    </row>
    <row r="140" spans="2:11">
      <c r="B140" s="93">
        <v>80</v>
      </c>
      <c r="C140" s="93">
        <v>8</v>
      </c>
      <c r="D140" s="93">
        <v>16</v>
      </c>
      <c r="E140" s="93">
        <v>31.84</v>
      </c>
      <c r="F140" s="93">
        <f t="shared" si="28"/>
        <v>313.01899657870183</v>
      </c>
      <c r="G140" s="93">
        <f t="shared" si="29"/>
        <v>3.5708304423762473E-2</v>
      </c>
      <c r="H140" s="285">
        <f t="shared" si="30"/>
        <v>0.5</v>
      </c>
      <c r="I140" s="93">
        <f t="shared" si="31"/>
        <v>15.601599999999999</v>
      </c>
      <c r="J140" s="93">
        <f t="shared" si="32"/>
        <v>4.9842342383451213E-2</v>
      </c>
      <c r="K140" s="93">
        <f t="shared" si="33"/>
        <v>4.1666666666666664E-2</v>
      </c>
    </row>
    <row r="141" spans="2:11">
      <c r="B141" s="93">
        <v>80</v>
      </c>
      <c r="C141" s="93">
        <v>10</v>
      </c>
      <c r="D141" s="93">
        <v>18</v>
      </c>
      <c r="E141" s="93">
        <v>31.84</v>
      </c>
      <c r="F141" s="93">
        <f t="shared" si="28"/>
        <v>222.59128645596579</v>
      </c>
      <c r="G141" s="93">
        <f t="shared" si="29"/>
        <v>2.5392572034675539E-2</v>
      </c>
      <c r="H141" s="285">
        <f t="shared" si="30"/>
        <v>0.44444444444444448</v>
      </c>
      <c r="I141" s="93">
        <f t="shared" si="31"/>
        <v>15.601599999999999</v>
      </c>
      <c r="J141" s="93">
        <f t="shared" si="32"/>
        <v>7.0090793976728252E-2</v>
      </c>
      <c r="K141" s="93">
        <f t="shared" si="33"/>
        <v>4.1666666666666664E-2</v>
      </c>
    </row>
    <row r="142" spans="2:11">
      <c r="B142" s="93">
        <v>80</v>
      </c>
      <c r="C142" s="93">
        <v>12</v>
      </c>
      <c r="D142" s="93">
        <v>20</v>
      </c>
      <c r="E142" s="93">
        <v>31.84</v>
      </c>
      <c r="F142" s="93">
        <f t="shared" si="28"/>
        <v>166.94346484197425</v>
      </c>
      <c r="G142" s="93">
        <f t="shared" si="29"/>
        <v>1.9044429026006646E-2</v>
      </c>
      <c r="H142" s="285">
        <f t="shared" si="30"/>
        <v>0.39999999999999986</v>
      </c>
      <c r="I142" s="93">
        <f t="shared" si="31"/>
        <v>15.601599999999999</v>
      </c>
      <c r="J142" s="93">
        <f t="shared" si="32"/>
        <v>9.3454391968971054E-2</v>
      </c>
      <c r="K142" s="93">
        <f t="shared" si="33"/>
        <v>4.1666666666666664E-2</v>
      </c>
    </row>
    <row r="143" spans="2:11">
      <c r="B143" s="93">
        <v>80</v>
      </c>
      <c r="C143" s="93">
        <v>8</v>
      </c>
      <c r="D143" s="93">
        <v>18</v>
      </c>
      <c r="E143" s="93">
        <v>31.84</v>
      </c>
      <c r="F143" s="93">
        <f t="shared" si="28"/>
        <v>347.79888508744654</v>
      </c>
      <c r="G143" s="93">
        <f t="shared" si="29"/>
        <v>3.9675893804180531E-2</v>
      </c>
      <c r="H143" s="285">
        <f t="shared" si="30"/>
        <v>0.55555555555555569</v>
      </c>
      <c r="I143" s="93">
        <f t="shared" si="31"/>
        <v>15.601599999999999</v>
      </c>
      <c r="J143" s="93">
        <f t="shared" si="32"/>
        <v>4.4858108145106081E-2</v>
      </c>
      <c r="K143" s="93">
        <f t="shared" si="33"/>
        <v>4.1666666666666664E-2</v>
      </c>
    </row>
    <row r="144" spans="2:11">
      <c r="B144" s="93">
        <v>80</v>
      </c>
      <c r="C144" s="93">
        <v>10</v>
      </c>
      <c r="D144" s="93">
        <v>20</v>
      </c>
      <c r="E144" s="93">
        <v>31.84</v>
      </c>
      <c r="F144" s="93">
        <f t="shared" si="28"/>
        <v>250.4151972629615</v>
      </c>
      <c r="G144" s="93">
        <f t="shared" si="29"/>
        <v>2.8566643539009982E-2</v>
      </c>
      <c r="H144" s="285">
        <f t="shared" si="30"/>
        <v>0.5</v>
      </c>
      <c r="I144" s="93">
        <f t="shared" si="31"/>
        <v>15.601599999999999</v>
      </c>
      <c r="J144" s="93">
        <f t="shared" si="32"/>
        <v>6.2302927979314006E-2</v>
      </c>
      <c r="K144" s="93">
        <f t="shared" si="33"/>
        <v>4.1666666666666664E-2</v>
      </c>
    </row>
    <row r="145" spans="2:11">
      <c r="B145" s="93">
        <v>80</v>
      </c>
      <c r="C145" s="93">
        <v>12</v>
      </c>
      <c r="D145" s="93">
        <v>22</v>
      </c>
      <c r="E145" s="93">
        <v>31.84</v>
      </c>
      <c r="F145" s="93">
        <f t="shared" si="28"/>
        <v>189.70848277497078</v>
      </c>
      <c r="G145" s="93">
        <f t="shared" si="29"/>
        <v>2.1641396620462102E-2</v>
      </c>
      <c r="H145" s="285">
        <f t="shared" si="30"/>
        <v>0.45454545454545447</v>
      </c>
      <c r="I145" s="93">
        <f t="shared" si="31"/>
        <v>15.601599999999999</v>
      </c>
      <c r="J145" s="93">
        <f t="shared" si="32"/>
        <v>8.2239864932694515E-2</v>
      </c>
      <c r="K145" s="93">
        <f t="shared" si="33"/>
        <v>4.1666666666666664E-2</v>
      </c>
    </row>
    <row r="146" spans="2:11">
      <c r="B146" s="7" t="s">
        <v>0</v>
      </c>
      <c r="C146" s="7"/>
      <c r="D146" s="7"/>
      <c r="E146" s="7"/>
      <c r="F146" s="7">
        <f>SUMPRODUCT(F122:F145,$K$122:$K$145)</f>
        <v>193.42877926142484</v>
      </c>
      <c r="G146" s="7">
        <f>SUMPRODUCT(G122:G145,$K$122:$K$145)</f>
        <v>2.2065797314787226E-2</v>
      </c>
      <c r="H146" s="7">
        <f>SUMPRODUCT(H122:H145,$K$122:$K$145)</f>
        <v>0.47575757575757571</v>
      </c>
      <c r="I146" s="7">
        <f>SUMPRODUCT(I122:I145,$K$122:$K$145)</f>
        <v>12.148325000000003</v>
      </c>
      <c r="J146" s="7">
        <f>SUMPRODUCT(J122:J145,$K$122:$K$145)</f>
        <v>6.7131404897710842E-2</v>
      </c>
      <c r="K146" s="93"/>
    </row>
    <row r="148" spans="2:11">
      <c r="B148" s="94" t="s">
        <v>263</v>
      </c>
      <c r="C148" s="94" t="s">
        <v>753</v>
      </c>
      <c r="D148" s="94" t="s">
        <v>752</v>
      </c>
      <c r="E148" s="94" t="s">
        <v>751</v>
      </c>
      <c r="F148" s="94" t="s">
        <v>2017</v>
      </c>
      <c r="G148" s="94"/>
      <c r="H148" s="94" t="s">
        <v>244</v>
      </c>
      <c r="I148" s="94" t="s">
        <v>9</v>
      </c>
      <c r="J148" s="94" t="s">
        <v>8</v>
      </c>
      <c r="K148" s="94" t="s">
        <v>497</v>
      </c>
    </row>
    <row r="149" spans="2:11">
      <c r="B149" s="93">
        <v>30</v>
      </c>
      <c r="C149" s="93">
        <v>8</v>
      </c>
      <c r="D149" s="93">
        <v>16</v>
      </c>
      <c r="E149" s="93">
        <v>19.16</v>
      </c>
      <c r="F149" s="93">
        <f>((1/C149)-(1/D149))*E149*$C$116*$C$117/(100000*$C$119)</f>
        <v>8.6279054794520551</v>
      </c>
      <c r="G149" s="93"/>
      <c r="H149" s="285">
        <f>F149/(((1/C149)*E149*$C$116*$C$117)/(100000*$C$119))</f>
        <v>0.5</v>
      </c>
      <c r="I149" s="93">
        <f>0.49*E149</f>
        <v>9.3884000000000007</v>
      </c>
      <c r="J149" s="93">
        <f>I149/F149</f>
        <v>1.0881435850635031</v>
      </c>
      <c r="K149" s="93">
        <f>1/COUNT($B$122:$B$145)</f>
        <v>4.1666666666666664E-2</v>
      </c>
    </row>
    <row r="150" spans="2:11">
      <c r="B150" s="93">
        <v>30</v>
      </c>
      <c r="C150" s="93">
        <v>10</v>
      </c>
      <c r="D150" s="93">
        <v>18</v>
      </c>
      <c r="E150" s="93">
        <v>19.16</v>
      </c>
      <c r="F150" s="93">
        <f t="shared" ref="F150:F172" si="34">((1/C150)-(1/D150))*E150*$C$116*$C$117/(100000*$C$119)</f>
        <v>6.1353994520547959</v>
      </c>
      <c r="G150" s="93"/>
      <c r="H150" s="285">
        <f t="shared" ref="H150:H172" si="35">F150/(((1/C150)*E150*$C$116*$C$117)/(100000*$C$119))</f>
        <v>0.44444444444444448</v>
      </c>
      <c r="I150" s="93">
        <f t="shared" ref="I150:I172" si="36">0.49*E150</f>
        <v>9.3884000000000007</v>
      </c>
      <c r="J150" s="93">
        <f t="shared" ref="J150:J172" si="37">I150/F150</f>
        <v>1.5302019164955507</v>
      </c>
      <c r="K150" s="93">
        <f t="shared" ref="K150:K172" si="38">1/COUNT($B$122:$B$145)</f>
        <v>4.1666666666666664E-2</v>
      </c>
    </row>
    <row r="151" spans="2:11">
      <c r="B151" s="93">
        <v>30</v>
      </c>
      <c r="C151" s="93">
        <v>12</v>
      </c>
      <c r="D151" s="93">
        <v>20</v>
      </c>
      <c r="E151" s="93">
        <v>19.16</v>
      </c>
      <c r="F151" s="93">
        <f t="shared" si="34"/>
        <v>4.6015495890410953</v>
      </c>
      <c r="G151" s="93"/>
      <c r="H151" s="285">
        <f t="shared" si="35"/>
        <v>0.4</v>
      </c>
      <c r="I151" s="93">
        <f t="shared" si="36"/>
        <v>9.3884000000000007</v>
      </c>
      <c r="J151" s="93">
        <f t="shared" si="37"/>
        <v>2.0402692219940683</v>
      </c>
      <c r="K151" s="93">
        <f t="shared" si="38"/>
        <v>4.1666666666666664E-2</v>
      </c>
    </row>
    <row r="152" spans="2:11">
      <c r="B152" s="93">
        <v>30</v>
      </c>
      <c r="C152" s="93">
        <v>8</v>
      </c>
      <c r="D152" s="93">
        <v>18</v>
      </c>
      <c r="E152" s="93">
        <v>19.16</v>
      </c>
      <c r="F152" s="93">
        <f t="shared" si="34"/>
        <v>9.5865616438356174</v>
      </c>
      <c r="G152" s="93"/>
      <c r="H152" s="285">
        <f t="shared" si="35"/>
        <v>0.55555555555555558</v>
      </c>
      <c r="I152" s="93">
        <f t="shared" si="36"/>
        <v>9.3884000000000007</v>
      </c>
      <c r="J152" s="93">
        <f t="shared" si="37"/>
        <v>0.9793292265571526</v>
      </c>
      <c r="K152" s="93">
        <f t="shared" si="38"/>
        <v>4.1666666666666664E-2</v>
      </c>
    </row>
    <row r="153" spans="2:11">
      <c r="B153" s="93">
        <v>30</v>
      </c>
      <c r="C153" s="93">
        <v>10</v>
      </c>
      <c r="D153" s="93">
        <v>20</v>
      </c>
      <c r="E153" s="93">
        <v>19.16</v>
      </c>
      <c r="F153" s="93">
        <f t="shared" si="34"/>
        <v>6.9023243835616448</v>
      </c>
      <c r="G153" s="93"/>
      <c r="H153" s="285">
        <f t="shared" si="35"/>
        <v>0.5</v>
      </c>
      <c r="I153" s="93">
        <f t="shared" si="36"/>
        <v>9.3884000000000007</v>
      </c>
      <c r="J153" s="93">
        <f t="shared" si="37"/>
        <v>1.3601794813293786</v>
      </c>
      <c r="K153" s="93">
        <f t="shared" si="38"/>
        <v>4.1666666666666664E-2</v>
      </c>
    </row>
    <row r="154" spans="2:11">
      <c r="B154" s="93">
        <v>30</v>
      </c>
      <c r="C154" s="93">
        <v>12</v>
      </c>
      <c r="D154" s="93">
        <v>22</v>
      </c>
      <c r="E154" s="93">
        <v>19.16</v>
      </c>
      <c r="F154" s="93">
        <f t="shared" si="34"/>
        <v>5.2290336239103343</v>
      </c>
      <c r="G154" s="93"/>
      <c r="H154" s="285">
        <f t="shared" si="35"/>
        <v>0.45454545454545442</v>
      </c>
      <c r="I154" s="93">
        <f t="shared" si="36"/>
        <v>9.3884000000000007</v>
      </c>
      <c r="J154" s="93">
        <f t="shared" si="37"/>
        <v>1.7954369153547807</v>
      </c>
      <c r="K154" s="93">
        <f t="shared" si="38"/>
        <v>4.1666666666666664E-2</v>
      </c>
    </row>
    <row r="155" spans="2:11">
      <c r="B155" s="93">
        <v>40</v>
      </c>
      <c r="C155" s="93">
        <v>8</v>
      </c>
      <c r="D155" s="93">
        <v>16</v>
      </c>
      <c r="E155" s="93">
        <v>23.18</v>
      </c>
      <c r="F155" s="93">
        <f t="shared" si="34"/>
        <v>10.438144520547944</v>
      </c>
      <c r="G155" s="93"/>
      <c r="H155" s="285">
        <f t="shared" si="35"/>
        <v>0.5</v>
      </c>
      <c r="I155" s="93">
        <f t="shared" si="36"/>
        <v>11.3582</v>
      </c>
      <c r="J155" s="93">
        <f t="shared" si="37"/>
        <v>1.0881435850635031</v>
      </c>
      <c r="K155" s="93">
        <f t="shared" si="38"/>
        <v>4.1666666666666664E-2</v>
      </c>
    </row>
    <row r="156" spans="2:11">
      <c r="B156" s="93">
        <v>40</v>
      </c>
      <c r="C156" s="93">
        <v>10</v>
      </c>
      <c r="D156" s="93">
        <v>18</v>
      </c>
      <c r="E156" s="93">
        <v>23.18</v>
      </c>
      <c r="F156" s="93">
        <f t="shared" si="34"/>
        <v>7.4226805479452063</v>
      </c>
      <c r="G156" s="93"/>
      <c r="H156" s="285">
        <f t="shared" si="35"/>
        <v>0.44444444444444448</v>
      </c>
      <c r="I156" s="93">
        <f t="shared" si="36"/>
        <v>11.3582</v>
      </c>
      <c r="J156" s="93">
        <f t="shared" si="37"/>
        <v>1.5302019164955509</v>
      </c>
      <c r="K156" s="93">
        <f t="shared" si="38"/>
        <v>4.1666666666666664E-2</v>
      </c>
    </row>
    <row r="157" spans="2:11">
      <c r="B157" s="93">
        <v>40</v>
      </c>
      <c r="C157" s="93">
        <v>12</v>
      </c>
      <c r="D157" s="93">
        <v>20</v>
      </c>
      <c r="E157" s="93">
        <v>23.18</v>
      </c>
      <c r="F157" s="93">
        <f t="shared" si="34"/>
        <v>5.5670104109589031</v>
      </c>
      <c r="G157" s="93"/>
      <c r="H157" s="285">
        <f t="shared" si="35"/>
        <v>0.39999999999999991</v>
      </c>
      <c r="I157" s="93">
        <f t="shared" si="36"/>
        <v>11.3582</v>
      </c>
      <c r="J157" s="93">
        <f t="shared" si="37"/>
        <v>2.0402692219940683</v>
      </c>
      <c r="K157" s="93">
        <f t="shared" si="38"/>
        <v>4.1666666666666664E-2</v>
      </c>
    </row>
    <row r="158" spans="2:11">
      <c r="B158" s="93">
        <v>40</v>
      </c>
      <c r="C158" s="93">
        <v>8</v>
      </c>
      <c r="D158" s="93">
        <v>18</v>
      </c>
      <c r="E158" s="93">
        <v>23.18</v>
      </c>
      <c r="F158" s="93">
        <f t="shared" si="34"/>
        <v>11.597938356164384</v>
      </c>
      <c r="G158" s="93"/>
      <c r="H158" s="285">
        <f t="shared" si="35"/>
        <v>0.55555555555555569</v>
      </c>
      <c r="I158" s="93">
        <f t="shared" si="36"/>
        <v>11.3582</v>
      </c>
      <c r="J158" s="93">
        <f t="shared" si="37"/>
        <v>0.9793292265571526</v>
      </c>
      <c r="K158" s="93">
        <f t="shared" si="38"/>
        <v>4.1666666666666664E-2</v>
      </c>
    </row>
    <row r="159" spans="2:11">
      <c r="B159" s="93">
        <v>40</v>
      </c>
      <c r="C159" s="93">
        <v>10</v>
      </c>
      <c r="D159" s="93">
        <v>20</v>
      </c>
      <c r="E159" s="93">
        <v>23.18</v>
      </c>
      <c r="F159" s="93">
        <f t="shared" si="34"/>
        <v>8.350515616438356</v>
      </c>
      <c r="G159" s="93"/>
      <c r="H159" s="285">
        <f t="shared" si="35"/>
        <v>0.5</v>
      </c>
      <c r="I159" s="93">
        <f t="shared" si="36"/>
        <v>11.3582</v>
      </c>
      <c r="J159" s="93">
        <f t="shared" si="37"/>
        <v>1.3601794813293786</v>
      </c>
      <c r="K159" s="93">
        <f t="shared" si="38"/>
        <v>4.1666666666666664E-2</v>
      </c>
    </row>
    <row r="160" spans="2:11">
      <c r="B160" s="93">
        <v>40</v>
      </c>
      <c r="C160" s="93">
        <v>12</v>
      </c>
      <c r="D160" s="93">
        <v>22</v>
      </c>
      <c r="E160" s="93">
        <v>23.18</v>
      </c>
      <c r="F160" s="93">
        <f t="shared" si="34"/>
        <v>6.3261481942714815</v>
      </c>
      <c r="G160" s="93"/>
      <c r="H160" s="285">
        <f t="shared" si="35"/>
        <v>0.45454545454545453</v>
      </c>
      <c r="I160" s="93">
        <f t="shared" si="36"/>
        <v>11.3582</v>
      </c>
      <c r="J160" s="93">
        <f t="shared" si="37"/>
        <v>1.79543691535478</v>
      </c>
      <c r="K160" s="93">
        <f t="shared" si="38"/>
        <v>4.1666666666666664E-2</v>
      </c>
    </row>
    <row r="161" spans="2:11">
      <c r="B161" s="93">
        <v>50</v>
      </c>
      <c r="C161" s="93">
        <v>8</v>
      </c>
      <c r="D161" s="93">
        <v>16</v>
      </c>
      <c r="E161" s="93">
        <v>24.99</v>
      </c>
      <c r="F161" s="93">
        <f t="shared" si="34"/>
        <v>11.253202397260273</v>
      </c>
      <c r="G161" s="93"/>
      <c r="H161" s="285">
        <f t="shared" si="35"/>
        <v>0.5</v>
      </c>
      <c r="I161" s="93">
        <f t="shared" si="36"/>
        <v>12.245099999999999</v>
      </c>
      <c r="J161" s="93">
        <f t="shared" si="37"/>
        <v>1.0881435850635031</v>
      </c>
      <c r="K161" s="93">
        <f t="shared" si="38"/>
        <v>4.1666666666666664E-2</v>
      </c>
    </row>
    <row r="162" spans="2:11">
      <c r="B162" s="93">
        <v>50</v>
      </c>
      <c r="C162" s="93">
        <v>10</v>
      </c>
      <c r="D162" s="93">
        <v>18</v>
      </c>
      <c r="E162" s="93">
        <v>24.99</v>
      </c>
      <c r="F162" s="93">
        <f t="shared" si="34"/>
        <v>8.0022772602739742</v>
      </c>
      <c r="G162" s="93"/>
      <c r="H162" s="285">
        <f t="shared" si="35"/>
        <v>0.44444444444444453</v>
      </c>
      <c r="I162" s="93">
        <f t="shared" si="36"/>
        <v>12.245099999999999</v>
      </c>
      <c r="J162" s="93">
        <f t="shared" si="37"/>
        <v>1.5302019164955505</v>
      </c>
      <c r="K162" s="93">
        <f t="shared" si="38"/>
        <v>4.1666666666666664E-2</v>
      </c>
    </row>
    <row r="163" spans="2:11">
      <c r="B163" s="93">
        <v>50</v>
      </c>
      <c r="C163" s="93">
        <v>12</v>
      </c>
      <c r="D163" s="93">
        <v>20</v>
      </c>
      <c r="E163" s="93">
        <v>24.99</v>
      </c>
      <c r="F163" s="93">
        <f t="shared" si="34"/>
        <v>6.001707945205478</v>
      </c>
      <c r="G163" s="93"/>
      <c r="H163" s="285">
        <f t="shared" si="35"/>
        <v>0.4</v>
      </c>
      <c r="I163" s="93">
        <f t="shared" si="36"/>
        <v>12.245099999999999</v>
      </c>
      <c r="J163" s="93">
        <f t="shared" si="37"/>
        <v>2.0402692219940683</v>
      </c>
      <c r="K163" s="93">
        <f t="shared" si="38"/>
        <v>4.1666666666666664E-2</v>
      </c>
    </row>
    <row r="164" spans="2:11">
      <c r="B164" s="93">
        <v>50</v>
      </c>
      <c r="C164" s="93">
        <v>8</v>
      </c>
      <c r="D164" s="93">
        <v>18</v>
      </c>
      <c r="E164" s="93">
        <v>24.99</v>
      </c>
      <c r="F164" s="93">
        <f t="shared" si="34"/>
        <v>12.503558219178082</v>
      </c>
      <c r="G164" s="93"/>
      <c r="H164" s="285">
        <f t="shared" si="35"/>
        <v>0.55555555555555558</v>
      </c>
      <c r="I164" s="93">
        <f t="shared" si="36"/>
        <v>12.245099999999999</v>
      </c>
      <c r="J164" s="93">
        <f t="shared" si="37"/>
        <v>0.9793292265571526</v>
      </c>
      <c r="K164" s="93">
        <f t="shared" si="38"/>
        <v>4.1666666666666664E-2</v>
      </c>
    </row>
    <row r="165" spans="2:11">
      <c r="B165" s="93">
        <v>50</v>
      </c>
      <c r="C165" s="93">
        <v>10</v>
      </c>
      <c r="D165" s="93">
        <v>20</v>
      </c>
      <c r="E165" s="93">
        <v>24.99</v>
      </c>
      <c r="F165" s="93">
        <f t="shared" si="34"/>
        <v>9.0025619178082188</v>
      </c>
      <c r="G165" s="93"/>
      <c r="H165" s="285">
        <f t="shared" si="35"/>
        <v>0.5</v>
      </c>
      <c r="I165" s="93">
        <f t="shared" si="36"/>
        <v>12.245099999999999</v>
      </c>
      <c r="J165" s="93">
        <f t="shared" si="37"/>
        <v>1.3601794813293786</v>
      </c>
      <c r="K165" s="93">
        <f t="shared" si="38"/>
        <v>4.1666666666666664E-2</v>
      </c>
    </row>
    <row r="166" spans="2:11">
      <c r="B166" s="93">
        <v>50</v>
      </c>
      <c r="C166" s="93">
        <v>12</v>
      </c>
      <c r="D166" s="93">
        <v>22</v>
      </c>
      <c r="E166" s="93">
        <v>24.99</v>
      </c>
      <c r="F166" s="93">
        <f t="shared" si="34"/>
        <v>6.8201226650062248</v>
      </c>
      <c r="G166" s="93"/>
      <c r="H166" s="285">
        <f t="shared" si="35"/>
        <v>0.45454545454545453</v>
      </c>
      <c r="I166" s="93">
        <f t="shared" si="36"/>
        <v>12.245099999999999</v>
      </c>
      <c r="J166" s="93">
        <f t="shared" si="37"/>
        <v>1.7954369153547802</v>
      </c>
      <c r="K166" s="93">
        <f t="shared" si="38"/>
        <v>4.1666666666666664E-2</v>
      </c>
    </row>
    <row r="167" spans="2:11">
      <c r="B167" s="93">
        <v>80</v>
      </c>
      <c r="C167" s="93">
        <v>8</v>
      </c>
      <c r="D167" s="93">
        <v>16</v>
      </c>
      <c r="E167" s="93">
        <v>31.84</v>
      </c>
      <c r="F167" s="93">
        <f t="shared" si="34"/>
        <v>14.337813698630137</v>
      </c>
      <c r="G167" s="93"/>
      <c r="H167" s="285">
        <f t="shared" si="35"/>
        <v>0.5</v>
      </c>
      <c r="I167" s="93">
        <f t="shared" si="36"/>
        <v>15.601599999999999</v>
      </c>
      <c r="J167" s="93">
        <f t="shared" si="37"/>
        <v>1.0881435850635028</v>
      </c>
      <c r="K167" s="93">
        <f t="shared" si="38"/>
        <v>4.1666666666666664E-2</v>
      </c>
    </row>
    <row r="168" spans="2:11">
      <c r="B168" s="93">
        <v>80</v>
      </c>
      <c r="C168" s="93">
        <v>10</v>
      </c>
      <c r="D168" s="93">
        <v>18</v>
      </c>
      <c r="E168" s="93">
        <v>31.84</v>
      </c>
      <c r="F168" s="93">
        <f t="shared" si="34"/>
        <v>10.195778630136987</v>
      </c>
      <c r="G168" s="93"/>
      <c r="H168" s="285">
        <f t="shared" si="35"/>
        <v>0.44444444444444448</v>
      </c>
      <c r="I168" s="93">
        <f t="shared" si="36"/>
        <v>15.601599999999999</v>
      </c>
      <c r="J168" s="93">
        <f t="shared" si="37"/>
        <v>1.5302019164955509</v>
      </c>
      <c r="K168" s="93">
        <f t="shared" si="38"/>
        <v>4.1666666666666664E-2</v>
      </c>
    </row>
    <row r="169" spans="2:11">
      <c r="B169" s="93">
        <v>80</v>
      </c>
      <c r="C169" s="93">
        <v>12</v>
      </c>
      <c r="D169" s="93">
        <v>20</v>
      </c>
      <c r="E169" s="93">
        <v>31.84</v>
      </c>
      <c r="F169" s="93">
        <f t="shared" si="34"/>
        <v>7.646833972602737</v>
      </c>
      <c r="G169" s="93"/>
      <c r="H169" s="285">
        <f t="shared" si="35"/>
        <v>0.39999999999999986</v>
      </c>
      <c r="I169" s="93">
        <f t="shared" si="36"/>
        <v>15.601599999999999</v>
      </c>
      <c r="J169" s="93">
        <f t="shared" si="37"/>
        <v>2.0402692219940688</v>
      </c>
      <c r="K169" s="93">
        <f t="shared" si="38"/>
        <v>4.1666666666666664E-2</v>
      </c>
    </row>
    <row r="170" spans="2:11">
      <c r="B170" s="93">
        <v>80</v>
      </c>
      <c r="C170" s="93">
        <v>8</v>
      </c>
      <c r="D170" s="93">
        <v>18</v>
      </c>
      <c r="E170" s="93">
        <v>31.84</v>
      </c>
      <c r="F170" s="93">
        <f t="shared" si="34"/>
        <v>15.930904109589044</v>
      </c>
      <c r="G170" s="93"/>
      <c r="H170" s="285">
        <f t="shared" si="35"/>
        <v>0.55555555555555558</v>
      </c>
      <c r="I170" s="93">
        <f t="shared" si="36"/>
        <v>15.601599999999999</v>
      </c>
      <c r="J170" s="93">
        <f t="shared" si="37"/>
        <v>0.97932922655715249</v>
      </c>
      <c r="K170" s="93">
        <f t="shared" si="38"/>
        <v>4.1666666666666664E-2</v>
      </c>
    </row>
    <row r="171" spans="2:11">
      <c r="B171" s="93">
        <v>80</v>
      </c>
      <c r="C171" s="93">
        <v>10</v>
      </c>
      <c r="D171" s="93">
        <v>20</v>
      </c>
      <c r="E171" s="93">
        <v>31.84</v>
      </c>
      <c r="F171" s="93">
        <f t="shared" si="34"/>
        <v>11.47025095890411</v>
      </c>
      <c r="G171" s="93"/>
      <c r="H171" s="285">
        <f t="shared" si="35"/>
        <v>0.5</v>
      </c>
      <c r="I171" s="93">
        <f t="shared" si="36"/>
        <v>15.601599999999999</v>
      </c>
      <c r="J171" s="93">
        <f t="shared" si="37"/>
        <v>1.3601794813293786</v>
      </c>
      <c r="K171" s="93">
        <f t="shared" si="38"/>
        <v>4.1666666666666664E-2</v>
      </c>
    </row>
    <row r="172" spans="2:11">
      <c r="B172" s="93">
        <v>80</v>
      </c>
      <c r="C172" s="93">
        <v>12</v>
      </c>
      <c r="D172" s="93">
        <v>22</v>
      </c>
      <c r="E172" s="93">
        <v>31.84</v>
      </c>
      <c r="F172" s="93">
        <f t="shared" si="34"/>
        <v>8.6895840597758394</v>
      </c>
      <c r="G172" s="93"/>
      <c r="H172" s="285">
        <f t="shared" si="35"/>
        <v>0.45454545454545447</v>
      </c>
      <c r="I172" s="93">
        <f t="shared" si="36"/>
        <v>15.601599999999999</v>
      </c>
      <c r="J172" s="93">
        <f t="shared" si="37"/>
        <v>1.79543691535478</v>
      </c>
      <c r="K172" s="93">
        <f t="shared" si="38"/>
        <v>4.1666666666666664E-2</v>
      </c>
    </row>
    <row r="173" spans="2:11">
      <c r="B173" s="7" t="s">
        <v>0</v>
      </c>
      <c r="C173" s="7"/>
      <c r="D173" s="7"/>
      <c r="E173" s="7"/>
      <c r="F173" s="7">
        <f>SUMPRODUCT(F149:F172,$K$122:$K$145)</f>
        <v>8.8599919855230382</v>
      </c>
      <c r="G173" s="7">
        <f>SUMPRODUCT(G149:G172,$K$122:$K$145)</f>
        <v>0</v>
      </c>
      <c r="H173" s="7">
        <f>SUMPRODUCT(H149:H172,$K$122:$K$145)</f>
        <v>0.47575757575757571</v>
      </c>
      <c r="I173" s="7">
        <f>SUMPRODUCT(I149:I172,$K$122:$K$145)</f>
        <v>12.148325000000003</v>
      </c>
      <c r="J173" s="7">
        <f>SUMPRODUCT(J149:J172,$K$122:$K$145)</f>
        <v>1.4655933911324053</v>
      </c>
      <c r="K173" s="93"/>
    </row>
  </sheetData>
  <dataValidations count="5">
    <dataValidation type="list" allowBlank="1" showInputMessage="1" showErrorMessage="1" sqref="C59:L59" xr:uid="{00000000-0002-0000-5100-000004000000}">
      <formula1>$N$19:$AQ$19</formula1>
    </dataValidation>
    <dataValidation type="list" allowBlank="1" showInputMessage="1" showErrorMessage="1" sqref="E11:E20" xr:uid="{00000000-0002-0000-5100-000003000000}">
      <formula1>$N$16:$O$16</formula1>
    </dataValidation>
    <dataValidation type="list" allowBlank="1" showInputMessage="1" showErrorMessage="1" sqref="D11:D20" xr:uid="{00000000-0002-0000-5100-000002000000}">
      <formula1>$N$22:$AE$22</formula1>
    </dataValidation>
    <dataValidation type="list" allowBlank="1" showInputMessage="1" showErrorMessage="1" sqref="B11:C20" xr:uid="{00000000-0002-0000-5100-000001000000}">
      <formula1>$N$7:$Q$7</formula1>
    </dataValidation>
    <dataValidation type="list" allowBlank="1" showInputMessage="1" showErrorMessage="1" sqref="D7" xr:uid="{00000000-0002-0000-5100-000000000000}">
      <formula1>$N$11:$O$11</formula1>
    </dataValidation>
  </dataValidation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BB057-BFE4-457A-82AA-956085A6372F}">
  <sheetPr codeName="Sheet45">
    <tabColor indexed="60"/>
  </sheetPr>
  <dimension ref="A1:AQ126"/>
  <sheetViews>
    <sheetView topLeftCell="A42"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3.140625" style="1" customWidth="1"/>
    <col min="7" max="7" width="24.4257812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WH Temp Setback</v>
      </c>
      <c r="C7" s="98" t="s">
        <v>782</v>
      </c>
      <c r="D7" s="97" t="s">
        <v>212</v>
      </c>
      <c r="E7" s="97">
        <f>C110</f>
        <v>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WH Temp Setback_Res, E - HWat  (RET)</v>
      </c>
      <c r="J11" s="83" t="str">
        <f t="shared" ref="J11:J20" si="3">IF(B11="","",CONCATENATE($C$7,IF(C11="","",CONCATENATE(" with ",C11," Secondary Fuel"))))</f>
        <v>Water Heater Temperature Setback</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WH Temp Setback_Res, P - HWat  (RET)</v>
      </c>
      <c r="J12" s="83" t="str">
        <f t="shared" si="3"/>
        <v>Water Heater Temperature Setback</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WH Temp Setback_Res, E - HWat  (RET)</v>
      </c>
      <c r="D33" s="83" t="str">
        <f t="shared" ca="1" si="5"/>
        <v>WH Temp Setback_Res,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WH Temp Setback_Res, E - HWat  (RET)</v>
      </c>
      <c r="N33" s="84" t="str">
        <f t="shared" ca="1" si="6"/>
        <v>WH Temp Setback_Res,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Water Heater Temperature Setback</v>
      </c>
      <c r="D34" s="83" t="str">
        <f t="shared" si="8"/>
        <v>Water Heater Temperature Setback</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WH Temp Setback_Res, E - HWat  (RET)</v>
      </c>
      <c r="D35" s="82" t="str">
        <f ca="1">D33</f>
        <v>WH Temp Setback_Res,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Water Heater Temperature Setback</v>
      </c>
      <c r="D36" s="82" t="str">
        <f>D34</f>
        <v>Water Heater Temperature Setback</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781</v>
      </c>
      <c r="D38" s="82" t="s">
        <v>781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2</v>
      </c>
      <c r="D39" s="83">
        <f t="shared" si="11"/>
        <v>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 Temperature Setback</v>
      </c>
      <c r="D52" s="66" t="str">
        <f t="shared" si="16"/>
        <v>Water Heater Temperature Setback</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780</v>
      </c>
      <c r="D55" s="65" t="s">
        <v>780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779</v>
      </c>
      <c r="D56" s="65" t="s">
        <v>779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B123</f>
        <v>21.206808939038719</v>
      </c>
      <c r="D64" s="67">
        <f>B126</f>
        <v>0.97137643093150827</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v>1</v>
      </c>
      <c r="D65" s="67">
        <f>D126</f>
        <v>2.727272727272731E-2</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5</v>
      </c>
      <c r="D68" s="71">
        <f>C111</f>
        <v>5</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F123</f>
        <v>0.23577333178098808</v>
      </c>
      <c r="D69" s="70">
        <f>F126</f>
        <v>25.726380838822351</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Water Heater Temperature Setback</v>
      </c>
      <c r="D71" s="66" t="str">
        <f t="shared" si="23"/>
        <v>Water Heater Temperature Setback</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778</v>
      </c>
    </row>
    <row r="106" spans="1:22">
      <c r="B106" s="1" t="s">
        <v>2077</v>
      </c>
    </row>
    <row r="107" spans="1:22" s="63" customFormat="1" ht="15.75" thickBot="1">
      <c r="B107" s="63" t="s">
        <v>50</v>
      </c>
    </row>
    <row r="109" spans="1:22">
      <c r="B109" s="94" t="s">
        <v>520</v>
      </c>
      <c r="C109" s="94" t="s">
        <v>519</v>
      </c>
      <c r="D109" s="94" t="s">
        <v>409</v>
      </c>
      <c r="E109" s="94" t="s">
        <v>122</v>
      </c>
    </row>
    <row r="110" spans="1:22">
      <c r="B110" s="93" t="s">
        <v>518</v>
      </c>
      <c r="C110" s="93">
        <v>2</v>
      </c>
      <c r="D110" s="93" t="s">
        <v>768</v>
      </c>
      <c r="E110" s="93"/>
    </row>
    <row r="111" spans="1:22">
      <c r="B111" s="93" t="s">
        <v>438</v>
      </c>
      <c r="C111" s="93">
        <v>5</v>
      </c>
      <c r="D111" s="93" t="s">
        <v>768</v>
      </c>
      <c r="E111" s="93"/>
    </row>
    <row r="112" spans="1:22">
      <c r="B112" s="93" t="s">
        <v>484</v>
      </c>
      <c r="C112" s="93">
        <v>1</v>
      </c>
      <c r="D112" s="93" t="s">
        <v>768</v>
      </c>
      <c r="E112" s="93"/>
    </row>
    <row r="113" spans="2:7">
      <c r="B113" s="93" t="s">
        <v>777</v>
      </c>
      <c r="C113" s="93">
        <v>8.3000000000000004E-2</v>
      </c>
      <c r="D113" s="93" t="s">
        <v>768</v>
      </c>
      <c r="E113" s="286" t="s">
        <v>776</v>
      </c>
    </row>
    <row r="114" spans="2:7">
      <c r="B114" s="93" t="s">
        <v>578</v>
      </c>
      <c r="C114" s="93">
        <v>24.99</v>
      </c>
      <c r="D114" s="93" t="s">
        <v>768</v>
      </c>
      <c r="E114" s="286" t="s">
        <v>775</v>
      </c>
    </row>
    <row r="115" spans="2:7">
      <c r="B115" s="93" t="s">
        <v>774</v>
      </c>
      <c r="C115" s="93">
        <v>143</v>
      </c>
      <c r="D115" s="93" t="s">
        <v>768</v>
      </c>
      <c r="E115" s="286" t="s">
        <v>773</v>
      </c>
    </row>
    <row r="116" spans="2:7">
      <c r="B116" s="93" t="s">
        <v>772</v>
      </c>
      <c r="C116" s="93">
        <v>139.1</v>
      </c>
      <c r="D116" s="93" t="s">
        <v>768</v>
      </c>
      <c r="E116" s="286" t="s">
        <v>771</v>
      </c>
    </row>
    <row r="117" spans="2:7">
      <c r="B117" s="93" t="s">
        <v>309</v>
      </c>
      <c r="C117" s="93">
        <v>8766</v>
      </c>
      <c r="D117" s="93" t="s">
        <v>768</v>
      </c>
      <c r="E117" s="93" t="s">
        <v>770</v>
      </c>
    </row>
    <row r="118" spans="2:7">
      <c r="B118" s="93" t="s">
        <v>769</v>
      </c>
      <c r="C118" s="93">
        <v>0.98</v>
      </c>
      <c r="D118" s="93" t="s">
        <v>768</v>
      </c>
      <c r="E118" s="286" t="s">
        <v>767</v>
      </c>
    </row>
    <row r="119" spans="2:7">
      <c r="B119" s="93" t="s">
        <v>2076</v>
      </c>
      <c r="C119" s="93">
        <f>'Drainwater Heat Recovery'!$F$138</f>
        <v>0.73</v>
      </c>
      <c r="D119" s="93" t="s">
        <v>740</v>
      </c>
      <c r="E119" s="93" t="s">
        <v>2078</v>
      </c>
    </row>
    <row r="122" spans="2:7">
      <c r="B122" s="94" t="s">
        <v>500</v>
      </c>
      <c r="C122" s="94" t="s">
        <v>499</v>
      </c>
      <c r="D122" s="94" t="s">
        <v>244</v>
      </c>
      <c r="E122" s="94" t="s">
        <v>9</v>
      </c>
      <c r="F122" s="94" t="s">
        <v>8</v>
      </c>
      <c r="G122" s="94" t="s">
        <v>497</v>
      </c>
    </row>
    <row r="123" spans="2:7">
      <c r="B123" s="93">
        <f>(C113*C114*(C115-C116)*C117)/(3412*C118)</f>
        <v>21.206808939038719</v>
      </c>
      <c r="C123" s="93">
        <f>B123*C112/C117</f>
        <v>2.4192116060961352E-3</v>
      </c>
      <c r="D123" s="285">
        <f>B123/((C113*C114*(C115)*C117)/(3412*C118))</f>
        <v>2.7272727272727313E-2</v>
      </c>
      <c r="E123" s="93"/>
      <c r="F123" s="93">
        <f>C111/B123</f>
        <v>0.23577333178098808</v>
      </c>
      <c r="G123" s="93"/>
    </row>
    <row r="125" spans="2:7">
      <c r="B125" s="94" t="s">
        <v>2017</v>
      </c>
      <c r="C125" s="94"/>
      <c r="D125" s="94" t="s">
        <v>244</v>
      </c>
      <c r="E125" s="94" t="s">
        <v>9</v>
      </c>
      <c r="F125" s="94" t="s">
        <v>2047</v>
      </c>
      <c r="G125" s="94" t="s">
        <v>497</v>
      </c>
    </row>
    <row r="126" spans="2:7">
      <c r="B126" s="93">
        <f>(C113*C114*(C115-C116)*C117)/(100000*C119)</f>
        <v>0.97137643093150827</v>
      </c>
      <c r="C126" s="93"/>
      <c r="D126" s="285">
        <f>B126/((C113*C114*(C115)*C117)/(100000*C119))</f>
        <v>2.727272727272731E-2</v>
      </c>
      <c r="E126" s="93"/>
      <c r="F126" s="93">
        <f>C114/B126</f>
        <v>25.726380838822351</v>
      </c>
      <c r="G126" s="93"/>
    </row>
  </sheetData>
  <dataValidations count="5">
    <dataValidation type="list" allowBlank="1" showInputMessage="1" showErrorMessage="1" sqref="C59:L59" xr:uid="{00000000-0002-0000-4A00-000004000000}">
      <formula1>$N$19:$AQ$19</formula1>
    </dataValidation>
    <dataValidation type="list" allowBlank="1" showInputMessage="1" showErrorMessage="1" sqref="E11:E20" xr:uid="{00000000-0002-0000-4A00-000003000000}">
      <formula1>$N$16:$O$16</formula1>
    </dataValidation>
    <dataValidation type="list" allowBlank="1" showInputMessage="1" showErrorMessage="1" sqref="D11:D20" xr:uid="{00000000-0002-0000-4A00-000002000000}">
      <formula1>$N$22:$AE$22</formula1>
    </dataValidation>
    <dataValidation type="list" allowBlank="1" showInputMessage="1" showErrorMessage="1" sqref="B11:C20" xr:uid="{00000000-0002-0000-4A00-000001000000}">
      <formula1>$N$7:$Q$7</formula1>
    </dataValidation>
    <dataValidation type="list" allowBlank="1" showInputMessage="1" showErrorMessage="1" sqref="D7" xr:uid="{00000000-0002-0000-4A00-000000000000}">
      <formula1>$N$11:$O$11</formula1>
    </dataValidation>
  </dataValidations>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4DC54-46FB-41AB-97E5-17DF4B0F4AC2}">
  <sheetPr codeName="Sheet48">
    <tabColor indexed="60"/>
  </sheetPr>
  <dimension ref="A1:AQ149"/>
  <sheetViews>
    <sheetView topLeftCell="A36"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Low Flow Faucet Aerator</v>
      </c>
      <c r="C7" s="98" t="s">
        <v>806</v>
      </c>
      <c r="D7" s="97" t="s">
        <v>212</v>
      </c>
      <c r="E7" s="97">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Faucet Aerator_Res, E - HWat  (RET)</v>
      </c>
      <c r="J11" s="83" t="str">
        <f t="shared" ref="J11:J20" si="3">IF(B11="","",CONCATENATE($C$7,IF(C11="","",CONCATENATE(" with ",C11," Secondary Fuel"))))</f>
        <v>Low Flow Faucet Aerator</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Low Flow Faucet Aerator_Res, P - HWat  (RET)</v>
      </c>
      <c r="J12" s="83" t="str">
        <f t="shared" si="3"/>
        <v>Low Flow Faucet Aerator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Low Flow Faucet Aerator_Res, E - HWat  (RET)</v>
      </c>
      <c r="D33" s="83" t="str">
        <f t="shared" ca="1" si="5"/>
        <v>Low Flow Faucet Aerator_Res,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Faucet Aerator_Res, E - HWat  (RET)</v>
      </c>
      <c r="N33" s="84" t="str">
        <f t="shared" ca="1" si="6"/>
        <v>Low Flow Faucet Aerator_Res,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Low Flow Faucet Aerator</v>
      </c>
      <c r="D34" s="83" t="str">
        <f t="shared" si="8"/>
        <v>Low Flow 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Low Flow Faucet Aerator_Res, E - HWat  (RET)</v>
      </c>
      <c r="D35" s="82" t="str">
        <f ca="1">D33</f>
        <v>Low Flow Faucet Aerator_Res,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Low Flow Faucet Aerator</v>
      </c>
      <c r="D36" s="82" t="str">
        <f>D34</f>
        <v>Low Flow 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805</v>
      </c>
      <c r="D38" s="82"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Flow Faucet Aerator</v>
      </c>
      <c r="D52" s="66" t="str">
        <f t="shared" si="16"/>
        <v>Low Flow Faucet Aerator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804</v>
      </c>
      <c r="D55" s="65" t="s">
        <v>804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803</v>
      </c>
      <c r="D56" s="65" t="s">
        <v>803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C140</f>
        <v>101.63059010219919</v>
      </c>
      <c r="D64" s="67">
        <f>G149</f>
        <v>1.0789835983209326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E140</f>
        <v>0.40162409781977737</v>
      </c>
      <c r="D65" s="67">
        <f>E149</f>
        <v>0.40162409781977737</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v>8</v>
      </c>
      <c r="D66" s="65">
        <v>8</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3</v>
      </c>
      <c r="D68" s="71">
        <f>C111</f>
        <v>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G140</f>
        <v>4.9302764389821958E-2</v>
      </c>
      <c r="D69" s="70">
        <f>G149</f>
        <v>1.0789835983209326</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Low Flow Faucet Aerator</v>
      </c>
      <c r="D71" s="66" t="str">
        <f t="shared" si="23"/>
        <v>Low Flow Faucet Aerator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10</v>
      </c>
      <c r="D76" s="65">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7</v>
      </c>
      <c r="D77" s="65">
        <f>ROUND(D76-D76*1/3,0)</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v>5</v>
      </c>
      <c r="D78" s="71">
        <v>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f>C78/C64</f>
        <v>4.9197785774657277E-2</v>
      </c>
      <c r="D79" s="70">
        <f>D78/D64</f>
        <v>4.6339907370054396</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t="e">
        <f>#REF!-#REF!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802</v>
      </c>
    </row>
    <row r="106" spans="1:22">
      <c r="B106" s="1" t="s">
        <v>2079</v>
      </c>
    </row>
    <row r="107" spans="1:22" s="63" customFormat="1" ht="15.75" thickBot="1">
      <c r="B107" s="63" t="s">
        <v>50</v>
      </c>
    </row>
    <row r="109" spans="1:22">
      <c r="B109" s="94" t="s">
        <v>520</v>
      </c>
      <c r="C109" s="94" t="s">
        <v>519</v>
      </c>
      <c r="D109" s="94" t="s">
        <v>409</v>
      </c>
      <c r="E109" s="94" t="s">
        <v>122</v>
      </c>
    </row>
    <row r="110" spans="1:22">
      <c r="B110" s="93" t="s">
        <v>518</v>
      </c>
      <c r="C110" s="93">
        <v>10</v>
      </c>
      <c r="D110" s="93" t="s">
        <v>796</v>
      </c>
      <c r="E110" s="93"/>
    </row>
    <row r="111" spans="1:22">
      <c r="B111" s="93" t="s">
        <v>438</v>
      </c>
      <c r="C111" s="93">
        <v>3</v>
      </c>
      <c r="D111" s="93" t="s">
        <v>796</v>
      </c>
      <c r="E111" s="93"/>
    </row>
    <row r="112" spans="1:22">
      <c r="B112" s="93" t="s">
        <v>484</v>
      </c>
      <c r="C112" s="97">
        <v>2.1999999999999999E-2</v>
      </c>
      <c r="D112" s="93" t="s">
        <v>796</v>
      </c>
      <c r="E112" s="93"/>
      <c r="I112" s="262"/>
    </row>
    <row r="113" spans="2:11">
      <c r="B113" s="93" t="s">
        <v>801</v>
      </c>
      <c r="C113" s="93">
        <v>1</v>
      </c>
      <c r="D113" s="93" t="s">
        <v>796</v>
      </c>
      <c r="E113" s="286" t="s">
        <v>343</v>
      </c>
    </row>
    <row r="114" spans="2:11">
      <c r="B114" s="93" t="s">
        <v>2080</v>
      </c>
      <c r="C114" s="93">
        <v>1</v>
      </c>
      <c r="D114" s="93" t="s">
        <v>796</v>
      </c>
      <c r="E114" s="286" t="s">
        <v>2081</v>
      </c>
    </row>
    <row r="115" spans="2:11">
      <c r="B115" s="93" t="s">
        <v>795</v>
      </c>
      <c r="C115" s="93" t="s">
        <v>35</v>
      </c>
      <c r="D115" s="93" t="s">
        <v>796</v>
      </c>
      <c r="E115" s="286" t="s">
        <v>800</v>
      </c>
    </row>
    <row r="116" spans="2:11">
      <c r="B116" s="93" t="s">
        <v>794</v>
      </c>
      <c r="C116" s="93" t="s">
        <v>35</v>
      </c>
      <c r="D116" s="93" t="s">
        <v>796</v>
      </c>
      <c r="E116" s="286" t="s">
        <v>799</v>
      </c>
    </row>
    <row r="117" spans="2:11">
      <c r="B117" s="93" t="s">
        <v>798</v>
      </c>
      <c r="C117" s="93">
        <v>0.94</v>
      </c>
      <c r="D117" s="93" t="s">
        <v>796</v>
      </c>
      <c r="E117" s="286" t="s">
        <v>797</v>
      </c>
    </row>
    <row r="118" spans="2:11">
      <c r="B118" s="93" t="s">
        <v>793</v>
      </c>
      <c r="C118" s="93" t="s">
        <v>35</v>
      </c>
      <c r="D118" s="93" t="s">
        <v>796</v>
      </c>
      <c r="E118" s="93"/>
    </row>
    <row r="119" spans="2:11">
      <c r="B119" s="93" t="s">
        <v>738</v>
      </c>
      <c r="C119" s="93" t="s">
        <v>35</v>
      </c>
      <c r="D119" s="93" t="s">
        <v>796</v>
      </c>
      <c r="E119" s="93"/>
    </row>
    <row r="120" spans="2:11">
      <c r="B120" s="93" t="s">
        <v>792</v>
      </c>
      <c r="C120" s="93" t="s">
        <v>35</v>
      </c>
      <c r="D120" s="93" t="s">
        <v>796</v>
      </c>
      <c r="E120" s="93"/>
    </row>
    <row r="121" spans="2:11">
      <c r="B121" s="93" t="s">
        <v>791</v>
      </c>
      <c r="C121" s="93" t="s">
        <v>35</v>
      </c>
      <c r="D121" s="93" t="s">
        <v>796</v>
      </c>
      <c r="E121" s="93"/>
    </row>
    <row r="122" spans="2:11">
      <c r="B122" s="93" t="s">
        <v>790</v>
      </c>
      <c r="C122" s="93" t="s">
        <v>35</v>
      </c>
      <c r="D122" s="93" t="s">
        <v>796</v>
      </c>
      <c r="E122" s="93"/>
    </row>
    <row r="123" spans="2:11">
      <c r="B123" s="93" t="s">
        <v>2084</v>
      </c>
      <c r="C123" s="93" t="s">
        <v>35</v>
      </c>
      <c r="D123" s="93" t="s">
        <v>796</v>
      </c>
      <c r="E123" s="93"/>
    </row>
    <row r="125" spans="2:11">
      <c r="B125" s="94" t="s">
        <v>789</v>
      </c>
      <c r="C125" s="94" t="s">
        <v>795</v>
      </c>
      <c r="D125" s="94" t="s">
        <v>794</v>
      </c>
      <c r="E125" s="94" t="s">
        <v>793</v>
      </c>
      <c r="F125" s="94" t="s">
        <v>738</v>
      </c>
      <c r="G125" s="94" t="s">
        <v>792</v>
      </c>
      <c r="H125" s="94" t="s">
        <v>791</v>
      </c>
      <c r="I125" s="94" t="s">
        <v>790</v>
      </c>
      <c r="J125" s="94" t="s">
        <v>2082</v>
      </c>
      <c r="K125" s="94" t="s">
        <v>309</v>
      </c>
    </row>
    <row r="126" spans="2:11">
      <c r="B126" s="93" t="s">
        <v>788</v>
      </c>
      <c r="C126" s="93">
        <v>1.63</v>
      </c>
      <c r="D126" s="93">
        <v>4.5</v>
      </c>
      <c r="E126" s="93">
        <v>4.5</v>
      </c>
      <c r="F126" s="93">
        <v>2.42</v>
      </c>
      <c r="G126" s="93">
        <v>0.75</v>
      </c>
      <c r="H126" s="93">
        <v>1</v>
      </c>
      <c r="I126" s="93">
        <v>0.10539999999999999</v>
      </c>
      <c r="J126" s="93">
        <f>(0.0045+0.0053)/2</f>
        <v>4.8999999999999998E-3</v>
      </c>
      <c r="K126" s="93">
        <f>(112+92)/2</f>
        <v>102</v>
      </c>
    </row>
    <row r="127" spans="2:11">
      <c r="B127" s="93" t="s">
        <v>787</v>
      </c>
      <c r="C127" s="93">
        <v>1.53</v>
      </c>
      <c r="D127" s="93">
        <v>1.6</v>
      </c>
      <c r="E127" s="93">
        <v>1.6</v>
      </c>
      <c r="F127" s="93">
        <v>2.56</v>
      </c>
      <c r="G127" s="93">
        <v>0.9</v>
      </c>
      <c r="H127" s="93">
        <v>2.83</v>
      </c>
      <c r="I127" s="93">
        <v>8.7900000000000006E-2</v>
      </c>
      <c r="J127" s="93">
        <v>3.8E-3</v>
      </c>
      <c r="K127" s="93">
        <v>16</v>
      </c>
    </row>
    <row r="128" spans="2:11">
      <c r="B128" s="93" t="s">
        <v>786</v>
      </c>
      <c r="C128" s="93">
        <v>1.53</v>
      </c>
      <c r="D128" s="93">
        <v>1.6</v>
      </c>
      <c r="E128" s="93">
        <v>1.6</v>
      </c>
      <c r="F128" s="93">
        <v>2.1</v>
      </c>
      <c r="G128" s="93">
        <v>0.9</v>
      </c>
      <c r="H128" s="93">
        <v>1.5</v>
      </c>
      <c r="I128" s="93">
        <v>8.7900000000000006E-2</v>
      </c>
      <c r="J128" s="93">
        <v>4.4000000000000003E-3</v>
      </c>
      <c r="K128" s="93">
        <v>24</v>
      </c>
    </row>
    <row r="129" spans="2:11">
      <c r="B129" s="93" t="s">
        <v>785</v>
      </c>
      <c r="C129" s="93">
        <v>1.58</v>
      </c>
      <c r="D129" s="93">
        <v>9</v>
      </c>
      <c r="E129" s="93">
        <v>9</v>
      </c>
      <c r="F129" s="93">
        <v>2.56</v>
      </c>
      <c r="G129" s="93">
        <v>0.79500000000000004</v>
      </c>
      <c r="H129" s="93">
        <v>3.83</v>
      </c>
      <c r="I129" s="93">
        <v>0.1004</v>
      </c>
      <c r="J129" s="93">
        <v>4.3E-3</v>
      </c>
      <c r="K129" s="93">
        <v>60</v>
      </c>
    </row>
    <row r="130" spans="2:11">
      <c r="B130" s="93" t="s">
        <v>784</v>
      </c>
      <c r="C130" s="93">
        <v>1.58</v>
      </c>
      <c r="D130" s="93">
        <v>6.9</v>
      </c>
      <c r="E130" s="93">
        <v>6.9</v>
      </c>
      <c r="F130" s="93">
        <v>2.1</v>
      </c>
      <c r="G130" s="93">
        <v>0.79500000000000004</v>
      </c>
      <c r="H130" s="93">
        <v>2.5</v>
      </c>
      <c r="I130" s="93">
        <v>0.1004</v>
      </c>
      <c r="J130" s="93">
        <v>5.0000000000000001E-3</v>
      </c>
      <c r="K130" s="93">
        <v>58</v>
      </c>
    </row>
    <row r="131" spans="2:11">
      <c r="B131" s="93" t="s">
        <v>783</v>
      </c>
      <c r="C131" s="93">
        <v>1.58</v>
      </c>
      <c r="D131" s="93">
        <v>8.3000000000000007</v>
      </c>
      <c r="E131" s="93">
        <v>8.3000000000000007</v>
      </c>
      <c r="F131" s="93">
        <v>2.42</v>
      </c>
      <c r="G131" s="93">
        <v>0.79500000000000004</v>
      </c>
      <c r="H131" s="93">
        <v>3.42</v>
      </c>
      <c r="I131" s="93">
        <v>0.1004</v>
      </c>
      <c r="J131" s="93">
        <f>AVERAGE(J126:J130)</f>
        <v>4.4799999999999996E-3</v>
      </c>
      <c r="K131" s="93">
        <f>K129</f>
        <v>60</v>
      </c>
    </row>
    <row r="133" spans="2:11">
      <c r="B133" s="94" t="s">
        <v>789</v>
      </c>
      <c r="C133" s="94" t="s">
        <v>500</v>
      </c>
      <c r="D133" s="94"/>
      <c r="E133" s="94" t="s">
        <v>244</v>
      </c>
      <c r="F133" s="94" t="s">
        <v>9</v>
      </c>
      <c r="G133" s="94" t="s">
        <v>2083</v>
      </c>
      <c r="H133" s="94" t="s">
        <v>497</v>
      </c>
    </row>
    <row r="134" spans="2:11">
      <c r="B134" s="93" t="s">
        <v>788</v>
      </c>
      <c r="C134" s="93">
        <f t="shared" ref="C134:C139" si="28">$C$113*(((C126*D126)-($C$117*E126))*F126*365.25*G126*I126)/H126</f>
        <v>216.95470322624996</v>
      </c>
      <c r="D134" s="93"/>
      <c r="E134" s="93">
        <f t="shared" ref="E134:E139" si="29">C134/($C$113*((C126*D126)*F126*365.25*G126*I126)/H126)</f>
        <v>0.42331288343558282</v>
      </c>
      <c r="F134" s="93"/>
      <c r="G134" s="93">
        <f t="shared" ref="G134:G139" si="30">$C$111/C134</f>
        <v>1.3827771213936153E-2</v>
      </c>
      <c r="H134" s="93">
        <f t="shared" ref="H134:H139" si="31">1/COUNT($G$134:$G$139)</f>
        <v>0.16666666666666666</v>
      </c>
    </row>
    <row r="135" spans="2:11">
      <c r="B135" s="93" t="s">
        <v>787</v>
      </c>
      <c r="C135" s="93">
        <f t="shared" si="28"/>
        <v>24.674430245088352</v>
      </c>
      <c r="D135" s="93"/>
      <c r="E135" s="93">
        <f t="shared" si="29"/>
        <v>0.38562091503267987</v>
      </c>
      <c r="F135" s="93"/>
      <c r="G135" s="93">
        <f t="shared" si="30"/>
        <v>0.12158335451726082</v>
      </c>
      <c r="H135" s="93">
        <f t="shared" si="31"/>
        <v>0.16666666666666666</v>
      </c>
    </row>
    <row r="136" spans="2:11">
      <c r="B136" s="93" t="s">
        <v>786</v>
      </c>
      <c r="C136" s="93">
        <f t="shared" si="28"/>
        <v>38.187536184000024</v>
      </c>
      <c r="D136" s="93"/>
      <c r="E136" s="93">
        <f t="shared" si="29"/>
        <v>0.38562091503267987</v>
      </c>
      <c r="F136" s="93"/>
      <c r="G136" s="93">
        <f t="shared" si="30"/>
        <v>7.8559663696160451E-2</v>
      </c>
      <c r="H136" s="93">
        <f t="shared" si="31"/>
        <v>0.16666666666666666</v>
      </c>
    </row>
    <row r="137" spans="2:11">
      <c r="B137" s="93" t="s">
        <v>785</v>
      </c>
      <c r="C137" s="93">
        <f t="shared" si="28"/>
        <v>112.2418305136293</v>
      </c>
      <c r="D137" s="93"/>
      <c r="E137" s="93">
        <f t="shared" si="29"/>
        <v>0.40506329113924056</v>
      </c>
      <c r="F137" s="93"/>
      <c r="G137" s="93">
        <f t="shared" si="30"/>
        <v>2.6728003154186941E-2</v>
      </c>
      <c r="H137" s="93">
        <f t="shared" si="31"/>
        <v>0.16666666666666666</v>
      </c>
    </row>
    <row r="138" spans="2:11">
      <c r="B138" s="93" t="s">
        <v>784</v>
      </c>
      <c r="C138" s="93">
        <f t="shared" si="28"/>
        <v>108.14324992128006</v>
      </c>
      <c r="D138" s="93"/>
      <c r="E138" s="93">
        <f t="shared" si="29"/>
        <v>0.40506329113924067</v>
      </c>
      <c r="F138" s="93"/>
      <c r="G138" s="93">
        <f t="shared" si="30"/>
        <v>2.7740982467086651E-2</v>
      </c>
      <c r="H138" s="93">
        <f t="shared" si="31"/>
        <v>0.16666666666666666</v>
      </c>
    </row>
    <row r="139" spans="2:11">
      <c r="B139" s="93" t="s">
        <v>783</v>
      </c>
      <c r="C139" s="93">
        <f t="shared" si="28"/>
        <v>109.58179052294743</v>
      </c>
      <c r="D139" s="93"/>
      <c r="E139" s="93">
        <f t="shared" si="29"/>
        <v>0.40506329113924067</v>
      </c>
      <c r="F139" s="93"/>
      <c r="G139" s="93">
        <f t="shared" si="30"/>
        <v>2.737681129030076E-2</v>
      </c>
      <c r="H139" s="93">
        <f t="shared" si="31"/>
        <v>0.16666666666666666</v>
      </c>
    </row>
    <row r="140" spans="2:11">
      <c r="B140" s="7" t="s">
        <v>0</v>
      </c>
      <c r="C140" s="7">
        <f>SUMPRODUCT(C134:C139,$H$134:$H$139)</f>
        <v>101.63059010219919</v>
      </c>
      <c r="D140" s="7"/>
      <c r="E140" s="7">
        <f>SUMPRODUCT(E134:E139,$H$134:$H$139)</f>
        <v>0.40162409781977737</v>
      </c>
      <c r="F140" s="7">
        <f>SUMPRODUCT(F134:F139,$H$134:$H$139)</f>
        <v>0</v>
      </c>
      <c r="G140" s="7">
        <f>SUMPRODUCT(G134:G139,$H$134:$H$139)</f>
        <v>4.9302764389821958E-2</v>
      </c>
      <c r="H140" s="93"/>
    </row>
    <row r="142" spans="2:11">
      <c r="B142" s="94" t="s">
        <v>789</v>
      </c>
      <c r="C142" s="94" t="s">
        <v>2017</v>
      </c>
      <c r="D142" s="94"/>
      <c r="E142" s="94" t="s">
        <v>244</v>
      </c>
      <c r="F142" s="94" t="s">
        <v>9</v>
      </c>
      <c r="G142" s="94" t="s">
        <v>2047</v>
      </c>
      <c r="H142" s="94" t="s">
        <v>497</v>
      </c>
    </row>
    <row r="143" spans="2:11">
      <c r="B143" s="93" t="s">
        <v>788</v>
      </c>
      <c r="C143" s="93">
        <f>$C$114*(((C126*D126)-($C$117*E126))*F126*365.25*G126*J126)/H126</f>
        <v>10.086129466874999</v>
      </c>
      <c r="D143" s="93"/>
      <c r="E143" s="93">
        <f t="shared" ref="E143:E148" si="32">C143/($C$114*((C126*D126)*F126*365.25*G126*J126)/H126)</f>
        <v>0.42331288343558282</v>
      </c>
      <c r="F143" s="93"/>
      <c r="G143" s="93">
        <f t="shared" ref="G143:G148" si="33">$C$111/C143</f>
        <v>0.29743818080589191</v>
      </c>
      <c r="H143" s="93">
        <f t="shared" ref="H143:H148" si="34">1/COUNT($G$134:$G$139)</f>
        <v>0.16666666666666666</v>
      </c>
    </row>
    <row r="144" spans="2:11">
      <c r="B144" s="93" t="s">
        <v>787</v>
      </c>
      <c r="C144" s="93">
        <f>$C$113*(((C127*D127)-($C$117*E127))*F127*365.25*G127*J127)/H127</f>
        <v>1.06669891844523</v>
      </c>
      <c r="D144" s="93"/>
      <c r="E144" s="93">
        <f t="shared" si="32"/>
        <v>0.38562091503267976</v>
      </c>
      <c r="F144" s="93"/>
      <c r="G144" s="93">
        <f t="shared" si="33"/>
        <v>2.8124149637019022</v>
      </c>
      <c r="H144" s="93">
        <f t="shared" si="34"/>
        <v>0.16666666666666666</v>
      </c>
    </row>
    <row r="145" spans="2:8">
      <c r="B145" s="93" t="s">
        <v>786</v>
      </c>
      <c r="C145" s="93">
        <f>$C$113*(((C128*D128)-($C$117*E128))*F128*365.25*G128*J128)/H128</f>
        <v>1.911549024000001</v>
      </c>
      <c r="D145" s="93"/>
      <c r="E145" s="93">
        <f t="shared" si="32"/>
        <v>0.38562091503267981</v>
      </c>
      <c r="F145" s="93"/>
      <c r="G145" s="93">
        <f t="shared" si="33"/>
        <v>1.5694078270210234</v>
      </c>
      <c r="H145" s="93">
        <f t="shared" si="34"/>
        <v>0.16666666666666666</v>
      </c>
    </row>
    <row r="146" spans="2:8">
      <c r="B146" s="93" t="s">
        <v>785</v>
      </c>
      <c r="C146" s="93">
        <f>$C$113*(((C129*D129)-($C$117*E129))*F129*365.25*G129*J129)/H129</f>
        <v>4.8071700319582265</v>
      </c>
      <c r="D146" s="93"/>
      <c r="E146" s="93">
        <f t="shared" si="32"/>
        <v>0.40506329113924056</v>
      </c>
      <c r="F146" s="93"/>
      <c r="G146" s="93">
        <f t="shared" si="33"/>
        <v>0.62406779457683004</v>
      </c>
      <c r="H146" s="93">
        <f t="shared" si="34"/>
        <v>0.16666666666666666</v>
      </c>
    </row>
    <row r="147" spans="2:8">
      <c r="B147" s="93" t="s">
        <v>784</v>
      </c>
      <c r="C147" s="93">
        <f>$C$113*(((C130*D130)-($C$117*E130))*F130*365.25*G130*J130)/H130</f>
        <v>5.3856200160000025</v>
      </c>
      <c r="D147" s="93"/>
      <c r="E147" s="93">
        <f t="shared" si="32"/>
        <v>0.40506329113924061</v>
      </c>
      <c r="F147" s="93"/>
      <c r="G147" s="93">
        <f t="shared" si="33"/>
        <v>0.55703892793910004</v>
      </c>
      <c r="H147" s="93">
        <f t="shared" si="34"/>
        <v>0.16666666666666666</v>
      </c>
    </row>
    <row r="148" spans="2:8">
      <c r="B148" s="93" t="s">
        <v>783</v>
      </c>
      <c r="C148" s="93">
        <f>$C$113*(((C131*D131)-($C$117*E131))*F131*365.25*G131*J131)/H131</f>
        <v>4.8897053938526334</v>
      </c>
      <c r="D148" s="93"/>
      <c r="E148" s="93">
        <f t="shared" si="32"/>
        <v>0.40506329113924061</v>
      </c>
      <c r="F148" s="93"/>
      <c r="G148" s="93">
        <f t="shared" si="33"/>
        <v>0.6135338958808475</v>
      </c>
      <c r="H148" s="93">
        <f t="shared" si="34"/>
        <v>0.16666666666666666</v>
      </c>
    </row>
    <row r="149" spans="2:8">
      <c r="B149" s="7" t="s">
        <v>0</v>
      </c>
      <c r="C149" s="7">
        <f>SUMPRODUCT(C143:C148,$H$134:$H$139)</f>
        <v>4.6911454751885149</v>
      </c>
      <c r="D149" s="7"/>
      <c r="E149" s="7">
        <f>SUMPRODUCT(E143:E148,$H$134:$H$139)</f>
        <v>0.40162409781977737</v>
      </c>
      <c r="F149" s="7">
        <f>SUMPRODUCT(F143:F148,$H$134:$H$139)</f>
        <v>0</v>
      </c>
      <c r="G149" s="7">
        <f>SUMPRODUCT(G143:G148,$H$134:$H$139)</f>
        <v>1.0789835983209326</v>
      </c>
      <c r="H149" s="93"/>
    </row>
  </sheetData>
  <phoneticPr fontId="35" type="noConversion"/>
  <dataValidations count="5">
    <dataValidation type="list" allowBlank="1" showInputMessage="1" showErrorMessage="1" sqref="C59:L59" xr:uid="{00000000-0002-0000-5500-000004000000}">
      <formula1>$N$19:$AQ$19</formula1>
    </dataValidation>
    <dataValidation type="list" allowBlank="1" showInputMessage="1" showErrorMessage="1" sqref="E11:E20" xr:uid="{00000000-0002-0000-5500-000003000000}">
      <formula1>$N$16:$O$16</formula1>
    </dataValidation>
    <dataValidation type="list" allowBlank="1" showInputMessage="1" showErrorMessage="1" sqref="D11:D20" xr:uid="{00000000-0002-0000-5500-000002000000}">
      <formula1>$N$22:$AE$22</formula1>
    </dataValidation>
    <dataValidation type="list" allowBlank="1" showInputMessage="1" showErrorMessage="1" sqref="B11:C20" xr:uid="{00000000-0002-0000-5500-000001000000}">
      <formula1>$N$7:$Q$7</formula1>
    </dataValidation>
    <dataValidation type="list" allowBlank="1" showInputMessage="1" showErrorMessage="1" sqref="D7" xr:uid="{00000000-0002-0000-5500-000000000000}">
      <formula1>$N$11:$O$11</formula1>
    </dataValidation>
  </dataValidation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4A15C-BC42-4085-B62A-B4DE50A9E11F}">
  <sheetPr codeName="Sheet9">
    <tabColor indexed="60"/>
  </sheetPr>
  <dimension ref="A1:AQ165"/>
  <sheetViews>
    <sheetView topLeftCell="A48" zoomScaleNormal="100" workbookViewId="0">
      <selection activeCell="D76" sqref="D76:D7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HPWH</v>
      </c>
      <c r="C7" s="98" t="s">
        <v>858</v>
      </c>
      <c r="D7" s="97" t="s">
        <v>212</v>
      </c>
      <c r="E7" s="97">
        <f>C111</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HPWH_Res, E - HWat  (MD)</v>
      </c>
      <c r="J11" s="83" t="str">
        <f t="shared" ref="J11:J20" si="3">IF(B11="","",CONCATENATE($C$7,IF(C11="","",CONCATENATE(" with ",C11," Secondary Fuel"))))</f>
        <v>Thermostatic Restriction Valve</v>
      </c>
      <c r="K11" s="83"/>
      <c r="M11" s="94" t="s">
        <v>123</v>
      </c>
      <c r="N11" s="93" t="s">
        <v>212</v>
      </c>
      <c r="O11" s="93" t="s">
        <v>211</v>
      </c>
    </row>
    <row r="12" spans="1:17">
      <c r="A12" s="1">
        <v>2</v>
      </c>
      <c r="B12" s="97" t="s">
        <v>205</v>
      </c>
      <c r="C12" s="97"/>
      <c r="D12" s="97" t="s">
        <v>113</v>
      </c>
      <c r="E12" s="99" t="s">
        <v>204</v>
      </c>
      <c r="F12" s="99"/>
      <c r="G12" s="83" t="str">
        <f t="shared" si="0"/>
        <v>E</v>
      </c>
      <c r="H12" s="91" t="str">
        <f t="shared" si="1"/>
        <v xml:space="preserve">HWat </v>
      </c>
      <c r="I12" s="83" t="str">
        <f t="shared" ca="1" si="2"/>
        <v>HPWH_Res, E - HWat  (RET)</v>
      </c>
      <c r="J12" s="83" t="str">
        <f t="shared" si="3"/>
        <v>Thermostatic Restriction Valve</v>
      </c>
      <c r="K12" s="83"/>
      <c r="M12" s="94" t="s">
        <v>154</v>
      </c>
      <c r="N12" s="93" t="s">
        <v>210</v>
      </c>
      <c r="O12" s="93" t="s">
        <v>209</v>
      </c>
    </row>
    <row r="13" spans="1:17">
      <c r="A13" s="1">
        <v>3</v>
      </c>
      <c r="B13" s="97" t="s">
        <v>227</v>
      </c>
      <c r="C13" s="97"/>
      <c r="D13" s="97" t="s">
        <v>113</v>
      </c>
      <c r="E13" s="99" t="s">
        <v>202</v>
      </c>
      <c r="F13" s="99"/>
      <c r="G13" s="83" t="str">
        <f t="shared" si="0"/>
        <v>P</v>
      </c>
      <c r="H13" s="91" t="str">
        <f t="shared" si="1"/>
        <v xml:space="preserve">HWat </v>
      </c>
      <c r="I13" s="83" t="str">
        <f t="shared" ca="1" si="2"/>
        <v>HPWH_Res, P - HWat  (MD)</v>
      </c>
      <c r="J13" s="83" t="str">
        <f t="shared" si="3"/>
        <v>Thermostatic Restriction Valve</v>
      </c>
      <c r="K13" s="83"/>
    </row>
    <row r="14" spans="1:17">
      <c r="A14" s="1">
        <v>4</v>
      </c>
      <c r="B14" s="97" t="s">
        <v>227</v>
      </c>
      <c r="C14" s="97"/>
      <c r="D14" s="97" t="s">
        <v>113</v>
      </c>
      <c r="E14" s="99" t="s">
        <v>204</v>
      </c>
      <c r="F14" s="99"/>
      <c r="G14" s="83" t="str">
        <f t="shared" si="0"/>
        <v>P</v>
      </c>
      <c r="H14" s="91" t="str">
        <f t="shared" si="1"/>
        <v xml:space="preserve">HWat </v>
      </c>
      <c r="I14" s="83" t="str">
        <f t="shared" ca="1" si="2"/>
        <v>HPWH_Res, P - HWat  (RET)</v>
      </c>
      <c r="J14" s="83" t="str">
        <f t="shared" si="3"/>
        <v>Thermostatic Restriction Valve</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HPWH_Res, E - HWat  (MD)</v>
      </c>
      <c r="D33" s="83" t="str">
        <f t="shared" ca="1" si="5"/>
        <v>HPWH_Res, E - HWat  (RET)</v>
      </c>
      <c r="E33" s="83" t="str">
        <f t="shared" ca="1" si="5"/>
        <v>HPWH_Res, P - HWat  (MD)</v>
      </c>
      <c r="F33" s="83" t="str">
        <f t="shared" ca="1" si="5"/>
        <v>HPWH_Res, P - HWat  (RET)</v>
      </c>
      <c r="G33" s="83" t="str">
        <f t="shared" si="5"/>
        <v/>
      </c>
      <c r="H33" s="83" t="str">
        <f t="shared" si="5"/>
        <v/>
      </c>
      <c r="I33" s="83" t="str">
        <f t="shared" si="5"/>
        <v/>
      </c>
      <c r="J33" s="83" t="str">
        <f t="shared" si="5"/>
        <v/>
      </c>
      <c r="K33" s="83" t="str">
        <f t="shared" si="5"/>
        <v/>
      </c>
      <c r="L33" s="83" t="str">
        <f t="shared" si="5"/>
        <v/>
      </c>
      <c r="M33" s="84" t="str">
        <f t="shared" ref="M33:V33" ca="1" si="6">C33</f>
        <v>HPWH_Res, E - HWat  (MD)</v>
      </c>
      <c r="N33" s="84" t="str">
        <f t="shared" ca="1" si="6"/>
        <v>HPWH_Res, E - HWat  (RET)</v>
      </c>
      <c r="O33" s="84" t="str">
        <f t="shared" ca="1" si="6"/>
        <v>HPWH_Res, P - HWat  (MD)</v>
      </c>
      <c r="P33" s="84" t="str">
        <f t="shared" ca="1" si="6"/>
        <v>HPWH_Res, P - HWat  (RET)</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Thermostatic Restriction Valve</v>
      </c>
      <c r="D34" s="83" t="str">
        <f t="shared" si="8"/>
        <v>Thermostatic Restriction Valve</v>
      </c>
      <c r="E34" s="83" t="str">
        <f t="shared" si="8"/>
        <v>Thermostatic Restriction Valve</v>
      </c>
      <c r="F34" s="83" t="str">
        <f t="shared" si="8"/>
        <v>Thermostatic Restriction Valve</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HPWH_Res, E - HWat  (MD)</v>
      </c>
      <c r="D35" s="82" t="str">
        <f ca="1">D33</f>
        <v>HPWH_Res, E - HWat  (RET)</v>
      </c>
      <c r="E35" s="82" t="str">
        <f ca="1">E33</f>
        <v>HPWH_Res, P - HWat  (MD)</v>
      </c>
      <c r="F35" s="82" t="str">
        <f ca="1">F33</f>
        <v>HPWH_Res,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
        <v>2315</v>
      </c>
      <c r="D36" s="82" t="s">
        <v>2315</v>
      </c>
      <c r="E36" s="82" t="s">
        <v>2315</v>
      </c>
      <c r="F36" s="82" t="s">
        <v>2315</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Residential</v>
      </c>
      <c r="F37" s="83" t="str">
        <f t="shared" si="10"/>
        <v>Residential</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2316</v>
      </c>
      <c r="D38" s="82" t="s">
        <v>2316</v>
      </c>
      <c r="E38" s="82" t="s">
        <v>2316</v>
      </c>
      <c r="F38" s="82" t="s">
        <v>2316</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f t="shared" si="11"/>
        <v>15</v>
      </c>
      <c r="F39" s="83">
        <f t="shared" si="11"/>
        <v>15</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Prp</v>
      </c>
      <c r="F41" s="83" t="str">
        <f t="shared" si="12"/>
        <v>Prp</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Water Heating</v>
      </c>
      <c r="F43" s="83" t="str">
        <f t="shared" si="14"/>
        <v>Water Heating</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ca="1" si="9"/>
        <v>-</v>
      </c>
      <c r="P44" s="64" t="str">
        <f t="shared" ca="1" si="9"/>
        <v>-</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ca="1" si="9"/>
        <v>-</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ca="1" si="9"/>
        <v>-</v>
      </c>
      <c r="P46" s="64" t="str">
        <f t="shared" ca="1" si="9"/>
        <v>-</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ca="1" si="9"/>
        <v>-</v>
      </c>
      <c r="P47" s="64" t="str">
        <f t="shared" ca="1" si="9"/>
        <v>-</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ca="1" si="9"/>
        <v>-</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ca="1" si="9"/>
        <v>-</v>
      </c>
      <c r="P49" s="64" t="str">
        <f t="shared" ca="1" si="9"/>
        <v>-</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ca="1" si="15"/>
        <v>-</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ca="1" si="15"/>
        <v>-</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Thermostatic Restriction Valve</v>
      </c>
      <c r="D52" s="66" t="str">
        <f t="shared" si="16"/>
        <v>Thermostatic Restriction Valve</v>
      </c>
      <c r="E52" s="66" t="str">
        <f t="shared" si="16"/>
        <v>Thermostatic Restriction Valve</v>
      </c>
      <c r="F52" s="66" t="str">
        <f t="shared" si="16"/>
        <v>Thermostatic Restriction Valve</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ca="1" si="15"/>
        <v>-</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MD</v>
      </c>
      <c r="F53" s="83" t="str">
        <f t="shared" si="17"/>
        <v>RET</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ca="1" si="15"/>
        <v>-</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82" t="e">
        <f>#REF!</f>
        <v>#REF!</v>
      </c>
      <c r="F54" s="82" t="e">
        <f>#REF!</f>
        <v>#REF!</v>
      </c>
      <c r="G54" s="65"/>
      <c r="H54" s="65"/>
      <c r="I54" s="65"/>
      <c r="J54" s="65"/>
      <c r="K54" s="65"/>
      <c r="L54" s="65"/>
      <c r="M54" s="64" t="str">
        <f t="shared" ca="1" si="15"/>
        <v>-</v>
      </c>
      <c r="N54" s="64" t="str">
        <f t="shared" ca="1" si="15"/>
        <v>-</v>
      </c>
      <c r="O54" s="64" t="str">
        <f t="shared" ca="1" si="15"/>
        <v>-</v>
      </c>
      <c r="P54" s="64" t="str">
        <f t="shared" ca="1" si="15"/>
        <v>-</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2317</v>
      </c>
      <c r="D55" s="65" t="s">
        <v>2317</v>
      </c>
      <c r="E55" s="65" t="s">
        <v>2317</v>
      </c>
      <c r="F55" s="65" t="s">
        <v>2317</v>
      </c>
      <c r="G55" s="65"/>
      <c r="H55" s="65"/>
      <c r="I55" s="65"/>
      <c r="J55" s="65"/>
      <c r="K55" s="65"/>
      <c r="L55" s="65"/>
      <c r="M55" s="64" t="str">
        <f t="shared" ca="1" si="15"/>
        <v>-</v>
      </c>
      <c r="N55" s="64" t="str">
        <f t="shared" ca="1" si="15"/>
        <v>-</v>
      </c>
      <c r="O55" s="64" t="str">
        <f t="shared" ca="1" si="15"/>
        <v>-</v>
      </c>
      <c r="P55" s="64" t="str">
        <f t="shared" ca="1" si="15"/>
        <v>-</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2318</v>
      </c>
      <c r="D56" s="65" t="s">
        <v>2326</v>
      </c>
      <c r="E56" s="65" t="s">
        <v>2319</v>
      </c>
      <c r="F56" s="65" t="s">
        <v>2326</v>
      </c>
      <c r="G56" s="65"/>
      <c r="H56" s="65"/>
      <c r="I56" s="65"/>
      <c r="J56" s="65"/>
      <c r="K56" s="65"/>
      <c r="L56" s="65"/>
      <c r="M56" s="64" t="str">
        <f t="shared" ca="1" si="15"/>
        <v>-</v>
      </c>
      <c r="N56" s="64" t="str">
        <f t="shared" ca="1" si="15"/>
        <v>-</v>
      </c>
      <c r="O56" s="64" t="str">
        <f t="shared" ca="1" si="15"/>
        <v>-</v>
      </c>
      <c r="P56" s="64" t="str">
        <f t="shared" ca="1" si="15"/>
        <v>-</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t="e">
        <f t="shared" ref="D57:F58" si="18">C57</f>
        <v>#REF!</v>
      </c>
      <c r="E57" s="65" t="e">
        <f t="shared" si="18"/>
        <v>#REF!</v>
      </c>
      <c r="F57" s="65" t="e">
        <f t="shared" si="18"/>
        <v>#REF!</v>
      </c>
      <c r="G57" s="65"/>
      <c r="H57" s="65"/>
      <c r="I57" s="65"/>
      <c r="J57" s="65"/>
      <c r="K57" s="65"/>
      <c r="L57" s="65"/>
      <c r="M57" s="64" t="str">
        <f t="shared" ca="1" si="15"/>
        <v>-</v>
      </c>
      <c r="N57" s="64" t="str">
        <f t="shared" ca="1" si="15"/>
        <v>-</v>
      </c>
      <c r="O57" s="64" t="str">
        <f t="shared" ca="1" si="15"/>
        <v>-</v>
      </c>
      <c r="P57" s="64" t="str">
        <f t="shared" ca="1" si="15"/>
        <v>-</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t="e">
        <f t="shared" si="18"/>
        <v>#REF!</v>
      </c>
      <c r="E58" s="65" t="e">
        <f t="shared" si="18"/>
        <v>#REF!</v>
      </c>
      <c r="F58" s="65" t="e">
        <f t="shared" si="18"/>
        <v>#REF!</v>
      </c>
      <c r="G58" s="65"/>
      <c r="H58" s="65"/>
      <c r="I58" s="65"/>
      <c r="J58" s="65"/>
      <c r="K58" s="65"/>
      <c r="L58" s="65"/>
      <c r="M58" s="64" t="str">
        <f t="shared" ca="1" si="15"/>
        <v>-</v>
      </c>
      <c r="N58" s="64" t="str">
        <f t="shared" ca="1" si="15"/>
        <v>-</v>
      </c>
      <c r="O58" s="64" t="str">
        <f t="shared" ca="1" si="15"/>
        <v>-</v>
      </c>
      <c r="P58" s="64" t="str">
        <f t="shared" ca="1" si="15"/>
        <v>-</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82" t="s">
        <v>92</v>
      </c>
      <c r="E59" s="82" t="s">
        <v>92</v>
      </c>
      <c r="F59" s="82" t="s">
        <v>92</v>
      </c>
      <c r="G59" s="65"/>
      <c r="H59" s="65"/>
      <c r="I59" s="65"/>
      <c r="J59" s="65"/>
      <c r="K59" s="65"/>
      <c r="L59" s="65"/>
      <c r="M59" s="64" t="str">
        <f t="shared" ca="1" si="15"/>
        <v>-</v>
      </c>
      <c r="N59" s="64" t="str">
        <f t="shared" ca="1" si="15"/>
        <v>-</v>
      </c>
      <c r="O59" s="64" t="str">
        <f t="shared" ca="1" si="15"/>
        <v>-</v>
      </c>
      <c r="P59" s="64" t="str">
        <f t="shared" ca="1" si="15"/>
        <v>-</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ca="1" si="15"/>
        <v>-</v>
      </c>
      <c r="P60" s="64" t="str">
        <f t="shared" ca="1" si="15"/>
        <v>-</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ca="1" si="15"/>
        <v>-</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ca="1" si="15"/>
        <v>-</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ca="1" si="15"/>
        <v>-</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H135</f>
        <v>1632.5922393860808</v>
      </c>
      <c r="D64" s="183">
        <f>H156</f>
        <v>1632.5922393860808</v>
      </c>
      <c r="E64" s="67">
        <f>H144</f>
        <v>16.734829667209478</v>
      </c>
      <c r="F64" s="67">
        <f>H165</f>
        <v>16.734829667209478</v>
      </c>
      <c r="G64" s="65"/>
      <c r="H64" s="65"/>
      <c r="I64" s="65"/>
      <c r="J64" s="65"/>
      <c r="K64" s="65"/>
      <c r="L64" s="65"/>
      <c r="M64" s="64" t="str">
        <f t="shared" ca="1" si="15"/>
        <v>-</v>
      </c>
      <c r="N64" s="64" t="str">
        <f t="shared" ca="1" si="15"/>
        <v>-</v>
      </c>
      <c r="O64" s="64" t="str">
        <f t="shared" ca="1" si="15"/>
        <v>-</v>
      </c>
      <c r="P64" s="64" t="str">
        <f t="shared" ca="1" si="15"/>
        <v>-</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J135</f>
        <v>0.61336824324324335</v>
      </c>
      <c r="D65" s="74">
        <f>J156</f>
        <v>0.61336824324324335</v>
      </c>
      <c r="E65" s="74">
        <f>J144</f>
        <v>0.83939527027027039</v>
      </c>
      <c r="F65" s="74">
        <f>J165</f>
        <v>0.83939527027027039</v>
      </c>
      <c r="G65" s="65"/>
      <c r="H65" s="65"/>
      <c r="I65" s="65"/>
      <c r="J65" s="65"/>
      <c r="K65" s="65"/>
      <c r="L65" s="65"/>
      <c r="M65" s="69" t="s">
        <v>84</v>
      </c>
      <c r="N65" s="69"/>
      <c r="O65" s="69"/>
      <c r="P65" s="69"/>
      <c r="Q65" s="69"/>
      <c r="R65" s="69"/>
      <c r="S65" s="69"/>
      <c r="T65" s="69"/>
      <c r="U65" s="69"/>
      <c r="V65" s="69"/>
    </row>
    <row r="66" spans="1:22">
      <c r="A66" s="1">
        <f t="shared" si="7"/>
        <v>34</v>
      </c>
      <c r="B66" s="65" t="s">
        <v>83</v>
      </c>
      <c r="C66" s="65">
        <f>(2062+2231+2432+3116)/4</f>
        <v>2460.25</v>
      </c>
      <c r="D66" s="65">
        <f>(2062+2231+2432+3116)/4</f>
        <v>2460.25</v>
      </c>
      <c r="E66" s="65">
        <f>(2062+2231+2432+3116)/4</f>
        <v>2460.25</v>
      </c>
      <c r="F66" s="65">
        <f>(2062+2231+2432+3116)/4</f>
        <v>2460.25</v>
      </c>
      <c r="G66" s="65"/>
      <c r="H66" s="65"/>
      <c r="I66" s="65"/>
      <c r="J66" s="65"/>
      <c r="K66" s="65"/>
      <c r="L66" s="65"/>
      <c r="M66" s="64" t="str">
        <f t="shared" ref="M66:V68" ca="1" si="19">IF(M$33="","","-")</f>
        <v>-</v>
      </c>
      <c r="N66" s="64" t="str">
        <f t="shared" ca="1" si="19"/>
        <v>-</v>
      </c>
      <c r="O66" s="64" t="str">
        <f t="shared" ca="1" si="19"/>
        <v>-</v>
      </c>
      <c r="P66" s="64" t="str">
        <f t="shared" ca="1" si="19"/>
        <v>-</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65">
        <f>(1032+1319)/2</f>
        <v>1175.5</v>
      </c>
      <c r="D67" s="65">
        <f>(1032+1319)/2</f>
        <v>1175.5</v>
      </c>
      <c r="E67" s="65">
        <f>(1032+1319)/2</f>
        <v>1175.5</v>
      </c>
      <c r="F67" s="65">
        <f>(1032+1319)/2</f>
        <v>1175.5</v>
      </c>
      <c r="G67" s="65"/>
      <c r="H67" s="65"/>
      <c r="I67" s="65"/>
      <c r="J67" s="65"/>
      <c r="K67" s="65"/>
      <c r="L67" s="65"/>
      <c r="M67" s="64" t="str">
        <f t="shared" ca="1" si="19"/>
        <v>-</v>
      </c>
      <c r="N67" s="64" t="str">
        <f t="shared" ca="1" si="19"/>
        <v>-</v>
      </c>
      <c r="O67" s="64" t="str">
        <f t="shared" ca="1" si="19"/>
        <v>-</v>
      </c>
      <c r="P67" s="64" t="str">
        <f t="shared" ca="1" si="19"/>
        <v>-</v>
      </c>
      <c r="Q67" s="64" t="str">
        <f t="shared" si="19"/>
        <v/>
      </c>
      <c r="R67" s="64" t="str">
        <f t="shared" si="19"/>
        <v/>
      </c>
      <c r="S67" s="64" t="str">
        <f t="shared" si="19"/>
        <v/>
      </c>
      <c r="T67" s="64" t="str">
        <f t="shared" si="19"/>
        <v/>
      </c>
      <c r="U67" s="64" t="str">
        <f t="shared" si="19"/>
        <v/>
      </c>
      <c r="V67" s="64" t="str">
        <f t="shared" si="19"/>
        <v/>
      </c>
    </row>
    <row r="68" spans="1:22">
      <c r="A68" s="1">
        <f t="shared" si="7"/>
        <v>36</v>
      </c>
      <c r="B68" s="604" t="s">
        <v>9</v>
      </c>
      <c r="C68" s="70">
        <f>K135</f>
        <v>1284.75</v>
      </c>
      <c r="D68" s="71">
        <f>D66</f>
        <v>2460.25</v>
      </c>
      <c r="E68" s="70">
        <f>K144</f>
        <v>1284.75</v>
      </c>
      <c r="F68" s="65">
        <f>F66</f>
        <v>2460.25</v>
      </c>
      <c r="G68" s="65"/>
      <c r="H68" s="65"/>
      <c r="I68" s="65"/>
      <c r="J68" s="65"/>
      <c r="K68" s="65"/>
      <c r="L68" s="65"/>
      <c r="M68" s="64" t="str">
        <f t="shared" ca="1" si="19"/>
        <v>-</v>
      </c>
      <c r="N68" s="64" t="str">
        <f t="shared" ca="1" si="19"/>
        <v>-</v>
      </c>
      <c r="O68" s="64" t="str">
        <f t="shared" ca="1" si="19"/>
        <v>-</v>
      </c>
      <c r="P68" s="64" t="str">
        <f t="shared" ca="1" si="19"/>
        <v>-</v>
      </c>
      <c r="Q68" s="64" t="str">
        <f t="shared" si="19"/>
        <v/>
      </c>
      <c r="R68" s="64" t="str">
        <f t="shared" si="19"/>
        <v/>
      </c>
      <c r="S68" s="64" t="str">
        <f t="shared" si="19"/>
        <v/>
      </c>
      <c r="T68" s="64" t="str">
        <f t="shared" si="19"/>
        <v/>
      </c>
      <c r="U68" s="64" t="str">
        <f t="shared" si="19"/>
        <v/>
      </c>
      <c r="V68" s="64" t="str">
        <f t="shared" si="19"/>
        <v/>
      </c>
    </row>
    <row r="69" spans="1:22">
      <c r="A69" s="1">
        <f t="shared" si="7"/>
        <v>37</v>
      </c>
      <c r="B69" s="604" t="s">
        <v>81</v>
      </c>
      <c r="C69" s="70">
        <f>L135</f>
        <v>1.2355950339716406</v>
      </c>
      <c r="D69" s="70">
        <f>L156</f>
        <v>2.3599805814653916</v>
      </c>
      <c r="E69" s="70">
        <f>L144</f>
        <v>92.369671032234351</v>
      </c>
      <c r="F69" s="70">
        <f>L165</f>
        <v>176.70227055778895</v>
      </c>
      <c r="G69" s="70" t="str">
        <f t="shared" ref="G69:L69" si="20">IFERROR(G68/G64,"")</f>
        <v/>
      </c>
      <c r="H69" s="70" t="str">
        <f t="shared" si="20"/>
        <v/>
      </c>
      <c r="I69" s="70" t="str">
        <f t="shared" si="20"/>
        <v/>
      </c>
      <c r="J69" s="70" t="str">
        <f t="shared" si="20"/>
        <v/>
      </c>
      <c r="K69" s="70" t="str">
        <f t="shared" si="20"/>
        <v/>
      </c>
      <c r="L69" s="70" t="str">
        <f t="shared" si="20"/>
        <v/>
      </c>
      <c r="M69" s="69">
        <v>8</v>
      </c>
      <c r="N69" s="69"/>
      <c r="O69" s="69"/>
      <c r="P69" s="69"/>
      <c r="Q69" s="69"/>
      <c r="R69" s="69"/>
      <c r="S69" s="69"/>
      <c r="T69" s="69"/>
      <c r="U69" s="69"/>
      <c r="V69" s="69"/>
    </row>
    <row r="70" spans="1:22">
      <c r="A70" s="1">
        <f t="shared" si="7"/>
        <v>38</v>
      </c>
      <c r="M70" s="64" t="str">
        <f t="shared" ref="M70:V85" ca="1" si="21">IF(M$33="","","-")</f>
        <v>-</v>
      </c>
      <c r="N70" s="64" t="str">
        <f t="shared" ca="1" si="21"/>
        <v>-</v>
      </c>
      <c r="O70" s="64" t="str">
        <f t="shared" ca="1" si="21"/>
        <v>-</v>
      </c>
      <c r="P70" s="64" t="str">
        <f t="shared" ca="1" si="21"/>
        <v>-</v>
      </c>
      <c r="Q70" s="64" t="str">
        <f t="shared" si="21"/>
        <v/>
      </c>
      <c r="R70" s="64" t="str">
        <f t="shared" si="21"/>
        <v/>
      </c>
      <c r="S70" s="64" t="str">
        <f t="shared" si="21"/>
        <v/>
      </c>
      <c r="T70" s="64" t="str">
        <f t="shared" si="21"/>
        <v/>
      </c>
      <c r="U70" s="64" t="str">
        <f t="shared" si="21"/>
        <v/>
      </c>
      <c r="V70" s="64" t="str">
        <f t="shared" si="21"/>
        <v/>
      </c>
    </row>
    <row r="71" spans="1:22">
      <c r="A71" s="1">
        <f t="shared" si="7"/>
        <v>39</v>
      </c>
      <c r="B71" s="1" t="s">
        <v>80</v>
      </c>
      <c r="C71" s="66" t="str">
        <f t="shared" ref="C71:L71" si="22">C52</f>
        <v>Thermostatic Restriction Valve</v>
      </c>
      <c r="D71" s="66" t="str">
        <f t="shared" si="22"/>
        <v>Thermostatic Restriction Valve</v>
      </c>
      <c r="E71" s="66" t="str">
        <f t="shared" si="22"/>
        <v>Thermostatic Restriction Valve</v>
      </c>
      <c r="F71" s="66" t="str">
        <f t="shared" si="22"/>
        <v>Thermostatic Restriction Valve</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ca="1" si="21"/>
        <v>-</v>
      </c>
      <c r="Q71" s="64" t="str">
        <f t="shared" si="21"/>
        <v/>
      </c>
      <c r="R71" s="64" t="str">
        <f t="shared" si="21"/>
        <v/>
      </c>
      <c r="S71" s="64" t="str">
        <f t="shared" si="21"/>
        <v/>
      </c>
      <c r="T71" s="64" t="str">
        <f t="shared" si="21"/>
        <v/>
      </c>
      <c r="U71" s="64" t="str">
        <f t="shared" si="21"/>
        <v/>
      </c>
      <c r="V71" s="64" t="str">
        <f t="shared" si="21"/>
        <v/>
      </c>
    </row>
    <row r="72" spans="1:22">
      <c r="A72" s="1">
        <f t="shared" si="7"/>
        <v>40</v>
      </c>
      <c r="B72" s="604" t="s">
        <v>79</v>
      </c>
      <c r="C72" s="76"/>
      <c r="D72" s="65"/>
      <c r="E72" s="182"/>
      <c r="F72" s="65"/>
      <c r="G72" s="65"/>
      <c r="H72" s="65"/>
      <c r="I72" s="65"/>
      <c r="J72" s="65"/>
      <c r="K72" s="65"/>
      <c r="L72" s="65"/>
      <c r="M72" s="64" t="str">
        <f t="shared" ca="1" si="21"/>
        <v>-</v>
      </c>
      <c r="N72" s="64" t="str">
        <f t="shared" ca="1" si="21"/>
        <v>-</v>
      </c>
      <c r="O72" s="64" t="str">
        <f t="shared" ca="1" si="21"/>
        <v>-</v>
      </c>
      <c r="P72" s="64" t="str">
        <f t="shared" ca="1" si="21"/>
        <v>-</v>
      </c>
      <c r="Q72" s="64" t="str">
        <f t="shared" si="21"/>
        <v/>
      </c>
      <c r="R72" s="64" t="str">
        <f t="shared" si="21"/>
        <v/>
      </c>
      <c r="S72" s="64" t="str">
        <f t="shared" si="21"/>
        <v/>
      </c>
      <c r="T72" s="64" t="str">
        <f t="shared" si="21"/>
        <v/>
      </c>
      <c r="U72" s="64" t="str">
        <f t="shared" si="21"/>
        <v/>
      </c>
      <c r="V72" s="64" t="str">
        <f t="shared" si="21"/>
        <v/>
      </c>
    </row>
    <row r="73" spans="1:22">
      <c r="A73" s="1">
        <f t="shared" si="7"/>
        <v>41</v>
      </c>
      <c r="B73" s="604" t="s">
        <v>78</v>
      </c>
      <c r="C73" s="68"/>
      <c r="D73" s="65"/>
      <c r="E73" s="182"/>
      <c r="F73" s="65"/>
      <c r="G73" s="65"/>
      <c r="H73" s="65"/>
      <c r="I73" s="65"/>
      <c r="J73" s="65"/>
      <c r="K73" s="65"/>
      <c r="L73" s="65"/>
      <c r="M73" s="64" t="str">
        <f t="shared" ca="1" si="21"/>
        <v>-</v>
      </c>
      <c r="N73" s="64" t="str">
        <f t="shared" ca="1" si="21"/>
        <v>-</v>
      </c>
      <c r="O73" s="64" t="str">
        <f t="shared" ca="1" si="21"/>
        <v>-</v>
      </c>
      <c r="P73" s="64" t="str">
        <f t="shared" ca="1" si="21"/>
        <v>-</v>
      </c>
      <c r="Q73" s="64" t="str">
        <f t="shared" si="21"/>
        <v/>
      </c>
      <c r="R73" s="64" t="str">
        <f t="shared" si="21"/>
        <v/>
      </c>
      <c r="S73" s="64" t="str">
        <f t="shared" si="21"/>
        <v/>
      </c>
      <c r="T73" s="64" t="str">
        <f t="shared" si="21"/>
        <v/>
      </c>
      <c r="U73" s="64" t="str">
        <f t="shared" si="21"/>
        <v/>
      </c>
      <c r="V73" s="64" t="str">
        <f t="shared" si="21"/>
        <v/>
      </c>
    </row>
    <row r="74" spans="1:22">
      <c r="A74" s="1">
        <f t="shared" si="7"/>
        <v>42</v>
      </c>
      <c r="M74" s="64" t="str">
        <f t="shared" ca="1" si="21"/>
        <v>-</v>
      </c>
      <c r="N74" s="64" t="str">
        <f t="shared" ca="1" si="21"/>
        <v>-</v>
      </c>
      <c r="O74" s="64" t="str">
        <f t="shared" ca="1" si="21"/>
        <v>-</v>
      </c>
      <c r="P74" s="64" t="str">
        <f t="shared" ca="1" si="21"/>
        <v>-</v>
      </c>
      <c r="Q74" s="64" t="str">
        <f t="shared" si="21"/>
        <v/>
      </c>
      <c r="R74" s="64" t="str">
        <f t="shared" si="21"/>
        <v/>
      </c>
      <c r="S74" s="64" t="str">
        <f t="shared" si="21"/>
        <v/>
      </c>
      <c r="T74" s="64" t="str">
        <f t="shared" si="21"/>
        <v/>
      </c>
      <c r="U74" s="64" t="str">
        <f t="shared" si="21"/>
        <v/>
      </c>
      <c r="V74" s="64" t="str">
        <f t="shared" si="21"/>
        <v/>
      </c>
    </row>
    <row r="75" spans="1:22">
      <c r="A75" s="1">
        <f t="shared" si="7"/>
        <v>43</v>
      </c>
      <c r="B75" s="1" t="s">
        <v>77</v>
      </c>
      <c r="M75" s="64" t="str">
        <f t="shared" ca="1" si="21"/>
        <v>-</v>
      </c>
      <c r="N75" s="64" t="str">
        <f t="shared" ca="1" si="21"/>
        <v>-</v>
      </c>
      <c r="O75" s="64" t="str">
        <f t="shared" ca="1" si="21"/>
        <v>-</v>
      </c>
      <c r="P75" s="64" t="str">
        <f t="shared" ca="1" si="21"/>
        <v>-</v>
      </c>
      <c r="Q75" s="64" t="str">
        <f t="shared" si="21"/>
        <v/>
      </c>
      <c r="R75" s="64" t="str">
        <f t="shared" si="21"/>
        <v/>
      </c>
      <c r="S75" s="64" t="str">
        <f t="shared" si="21"/>
        <v/>
      </c>
      <c r="T75" s="64" t="str">
        <f t="shared" si="21"/>
        <v/>
      </c>
      <c r="U75" s="64" t="str">
        <f t="shared" si="21"/>
        <v/>
      </c>
      <c r="V75" s="64" t="str">
        <f t="shared" si="21"/>
        <v/>
      </c>
    </row>
    <row r="76" spans="1:22">
      <c r="A76" s="1">
        <f t="shared" si="7"/>
        <v>44</v>
      </c>
      <c r="B76" s="604" t="s">
        <v>76</v>
      </c>
      <c r="C76" s="65"/>
      <c r="D76" s="65">
        <v>15</v>
      </c>
      <c r="E76" s="65"/>
      <c r="F76" s="65">
        <v>15</v>
      </c>
      <c r="G76" s="65"/>
      <c r="H76" s="65"/>
      <c r="I76" s="65"/>
      <c r="J76" s="65"/>
      <c r="K76" s="65"/>
      <c r="L76" s="65"/>
      <c r="M76" s="64" t="str">
        <f t="shared" ca="1" si="21"/>
        <v>-</v>
      </c>
      <c r="N76" s="64" t="str">
        <f t="shared" ca="1" si="21"/>
        <v>-</v>
      </c>
      <c r="O76" s="64" t="str">
        <f t="shared" ca="1" si="21"/>
        <v>-</v>
      </c>
      <c r="P76" s="64" t="str">
        <f t="shared" ca="1" si="21"/>
        <v>-</v>
      </c>
      <c r="Q76" s="64" t="str">
        <f t="shared" si="21"/>
        <v/>
      </c>
      <c r="R76" s="64" t="str">
        <f t="shared" si="21"/>
        <v/>
      </c>
      <c r="S76" s="64" t="str">
        <f t="shared" si="21"/>
        <v/>
      </c>
      <c r="T76" s="64" t="str">
        <f t="shared" si="21"/>
        <v/>
      </c>
      <c r="U76" s="64" t="str">
        <f t="shared" si="21"/>
        <v/>
      </c>
      <c r="V76" s="64" t="str">
        <f t="shared" si="21"/>
        <v/>
      </c>
    </row>
    <row r="77" spans="1:22">
      <c r="A77" s="1">
        <f t="shared" si="7"/>
        <v>45</v>
      </c>
      <c r="B77" s="604" t="s">
        <v>75</v>
      </c>
      <c r="C77" s="65"/>
      <c r="D77" s="65">
        <f>ROUND(D76-D76*1/3,0)</f>
        <v>10</v>
      </c>
      <c r="E77" s="65"/>
      <c r="F77" s="65">
        <f>ROUND(F76-F76*1/3,0)</f>
        <v>10</v>
      </c>
      <c r="G77" s="65"/>
      <c r="H77" s="65"/>
      <c r="I77" s="65"/>
      <c r="J77" s="65"/>
      <c r="K77" s="65"/>
      <c r="L77" s="65"/>
      <c r="M77" s="64" t="str">
        <f t="shared" ca="1" si="21"/>
        <v>-</v>
      </c>
      <c r="N77" s="64" t="str">
        <f t="shared" ca="1" si="21"/>
        <v>-</v>
      </c>
      <c r="O77" s="64" t="str">
        <f t="shared" ca="1" si="21"/>
        <v>-</v>
      </c>
      <c r="P77" s="64" t="str">
        <f t="shared" ca="1" si="21"/>
        <v>-</v>
      </c>
      <c r="Q77" s="64" t="str">
        <f t="shared" si="21"/>
        <v/>
      </c>
      <c r="R77" s="64" t="str">
        <f t="shared" si="21"/>
        <v/>
      </c>
      <c r="S77" s="64" t="str">
        <f t="shared" si="21"/>
        <v/>
      </c>
      <c r="T77" s="64" t="str">
        <f t="shared" si="21"/>
        <v/>
      </c>
      <c r="U77" s="64" t="str">
        <f t="shared" si="21"/>
        <v/>
      </c>
      <c r="V77" s="64" t="str">
        <f t="shared" si="21"/>
        <v/>
      </c>
    </row>
    <row r="78" spans="1:22">
      <c r="A78" s="1">
        <f t="shared" si="7"/>
        <v>46</v>
      </c>
      <c r="B78" s="604" t="s">
        <v>74</v>
      </c>
      <c r="C78" s="71"/>
      <c r="D78" s="65">
        <f>D67</f>
        <v>1175.5</v>
      </c>
      <c r="E78" s="65"/>
      <c r="F78" s="65">
        <f>F67</f>
        <v>1175.5</v>
      </c>
      <c r="G78" s="65"/>
      <c r="H78" s="65"/>
      <c r="I78" s="65"/>
      <c r="J78" s="65"/>
      <c r="K78" s="65"/>
      <c r="L78" s="65"/>
      <c r="M78" s="64" t="str">
        <f t="shared" ca="1" si="21"/>
        <v>-</v>
      </c>
      <c r="N78" s="64" t="str">
        <f t="shared" ca="1" si="21"/>
        <v>-</v>
      </c>
      <c r="O78" s="64" t="str">
        <f t="shared" ca="1" si="21"/>
        <v>-</v>
      </c>
      <c r="P78" s="64" t="str">
        <f t="shared" ca="1" si="21"/>
        <v>-</v>
      </c>
      <c r="Q78" s="64" t="str">
        <f t="shared" si="21"/>
        <v/>
      </c>
      <c r="R78" s="64" t="str">
        <f t="shared" si="21"/>
        <v/>
      </c>
      <c r="S78" s="64" t="str">
        <f t="shared" si="21"/>
        <v/>
      </c>
      <c r="T78" s="64" t="str">
        <f t="shared" si="21"/>
        <v/>
      </c>
      <c r="U78" s="64" t="str">
        <f t="shared" si="21"/>
        <v/>
      </c>
      <c r="V78" s="64" t="str">
        <f t="shared" si="21"/>
        <v/>
      </c>
    </row>
    <row r="79" spans="1:22">
      <c r="A79" s="1">
        <f t="shared" si="7"/>
        <v>47</v>
      </c>
      <c r="B79" s="604" t="s">
        <v>73</v>
      </c>
      <c r="C79" s="70"/>
      <c r="D79" s="67">
        <f>D78/D64</f>
        <v>0.7200205731971594</v>
      </c>
      <c r="E79" s="65"/>
      <c r="F79" s="67">
        <f>F78/F64</f>
        <v>70.242722715206085</v>
      </c>
      <c r="G79" s="65"/>
      <c r="H79" s="65"/>
      <c r="I79" s="65"/>
      <c r="J79" s="65"/>
      <c r="K79" s="65"/>
      <c r="L79" s="65"/>
      <c r="M79" s="64" t="str">
        <f t="shared" ca="1" si="21"/>
        <v>-</v>
      </c>
      <c r="N79" s="64" t="str">
        <f t="shared" ca="1" si="21"/>
        <v>-</v>
      </c>
      <c r="O79" s="64" t="str">
        <f t="shared" ca="1" si="21"/>
        <v>-</v>
      </c>
      <c r="P79" s="64" t="str">
        <f t="shared" ca="1" si="21"/>
        <v>-</v>
      </c>
      <c r="Q79" s="64" t="str">
        <f t="shared" si="21"/>
        <v/>
      </c>
      <c r="R79" s="64" t="str">
        <f t="shared" si="21"/>
        <v/>
      </c>
      <c r="S79" s="64" t="str">
        <f t="shared" si="21"/>
        <v/>
      </c>
      <c r="T79" s="64" t="str">
        <f t="shared" si="21"/>
        <v/>
      </c>
      <c r="U79" s="64" t="str">
        <f t="shared" si="21"/>
        <v/>
      </c>
      <c r="V79" s="64" t="str">
        <f t="shared" si="21"/>
        <v/>
      </c>
    </row>
    <row r="80" spans="1:22">
      <c r="A80" s="1">
        <f t="shared" si="7"/>
        <v>48</v>
      </c>
      <c r="B80" s="604" t="s">
        <v>72</v>
      </c>
      <c r="C80" s="65"/>
      <c r="D80" s="65"/>
      <c r="E80" s="65"/>
      <c r="F80" s="65"/>
      <c r="G80" s="65"/>
      <c r="H80" s="65"/>
      <c r="I80" s="65"/>
      <c r="J80" s="65"/>
      <c r="K80" s="65"/>
      <c r="L80" s="65"/>
      <c r="M80" s="64" t="str">
        <f t="shared" ca="1" si="21"/>
        <v>-</v>
      </c>
      <c r="N80" s="64" t="str">
        <f t="shared" ca="1" si="21"/>
        <v>-</v>
      </c>
      <c r="O80" s="64" t="str">
        <f t="shared" ca="1" si="21"/>
        <v>-</v>
      </c>
      <c r="P80" s="64" t="str">
        <f t="shared" ca="1" si="21"/>
        <v>-</v>
      </c>
      <c r="Q80" s="64" t="str">
        <f t="shared" si="21"/>
        <v/>
      </c>
      <c r="R80" s="64" t="str">
        <f t="shared" si="21"/>
        <v/>
      </c>
      <c r="S80" s="64" t="str">
        <f t="shared" si="21"/>
        <v/>
      </c>
      <c r="T80" s="64" t="str">
        <f t="shared" si="21"/>
        <v/>
      </c>
      <c r="U80" s="64" t="str">
        <f t="shared" si="21"/>
        <v/>
      </c>
      <c r="V80" s="64" t="str">
        <f t="shared" si="21"/>
        <v/>
      </c>
    </row>
    <row r="81" spans="1:22">
      <c r="A81" s="1">
        <f t="shared" si="7"/>
        <v>49</v>
      </c>
      <c r="M81" s="64" t="str">
        <f t="shared" ca="1" si="21"/>
        <v>-</v>
      </c>
      <c r="N81" s="64" t="str">
        <f t="shared" ca="1" si="21"/>
        <v>-</v>
      </c>
      <c r="O81" s="64" t="str">
        <f t="shared" ca="1" si="21"/>
        <v>-</v>
      </c>
      <c r="P81" s="64" t="str">
        <f t="shared" ca="1" si="21"/>
        <v>-</v>
      </c>
      <c r="Q81" s="64" t="str">
        <f t="shared" si="21"/>
        <v/>
      </c>
      <c r="R81" s="64" t="str">
        <f t="shared" si="21"/>
        <v/>
      </c>
      <c r="S81" s="64" t="str">
        <f t="shared" si="21"/>
        <v/>
      </c>
      <c r="T81" s="64" t="str">
        <f t="shared" si="21"/>
        <v/>
      </c>
      <c r="U81" s="64" t="str">
        <f t="shared" si="21"/>
        <v/>
      </c>
      <c r="V81" s="64" t="str">
        <f t="shared" si="21"/>
        <v/>
      </c>
    </row>
    <row r="82" spans="1:22">
      <c r="A82" s="1">
        <f t="shared" si="7"/>
        <v>50</v>
      </c>
      <c r="B82" s="1" t="s">
        <v>71</v>
      </c>
      <c r="C82" s="66"/>
      <c r="D82" s="66"/>
      <c r="E82" s="66"/>
      <c r="F82" s="66" t="str">
        <f t="shared" ref="F82:L82" si="23">F71</f>
        <v>Thermostatic Restriction Valve</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ca="1" si="21"/>
        <v>-</v>
      </c>
      <c r="O82" s="64" t="str">
        <f t="shared" ca="1" si="21"/>
        <v>-</v>
      </c>
      <c r="P82" s="64" t="str">
        <f t="shared" ca="1" si="21"/>
        <v>-</v>
      </c>
      <c r="Q82" s="64" t="str">
        <f t="shared" si="21"/>
        <v/>
      </c>
      <c r="R82" s="64" t="str">
        <f t="shared" si="21"/>
        <v/>
      </c>
      <c r="S82" s="64" t="str">
        <f t="shared" si="21"/>
        <v/>
      </c>
      <c r="T82" s="64" t="str">
        <f t="shared" si="21"/>
        <v/>
      </c>
      <c r="U82" s="64" t="str">
        <f t="shared" si="21"/>
        <v/>
      </c>
      <c r="V82" s="64" t="str">
        <f t="shared" si="21"/>
        <v/>
      </c>
    </row>
    <row r="83" spans="1:22">
      <c r="A83" s="1">
        <f t="shared" si="7"/>
        <v>51</v>
      </c>
      <c r="B83" s="65" t="s">
        <v>70</v>
      </c>
      <c r="C83" s="65"/>
      <c r="D83" s="65"/>
      <c r="E83" s="65"/>
      <c r="F83" s="65"/>
      <c r="G83" s="65"/>
      <c r="H83" s="65"/>
      <c r="I83" s="65"/>
      <c r="J83" s="65"/>
      <c r="K83" s="65"/>
      <c r="L83" s="65"/>
      <c r="M83" s="64" t="str">
        <f t="shared" ca="1" si="21"/>
        <v>-</v>
      </c>
      <c r="N83" s="64" t="str">
        <f t="shared" ca="1" si="21"/>
        <v>-</v>
      </c>
      <c r="O83" s="64" t="str">
        <f t="shared" ca="1" si="21"/>
        <v>-</v>
      </c>
      <c r="P83" s="64" t="str">
        <f t="shared" ca="1" si="21"/>
        <v>-</v>
      </c>
      <c r="Q83" s="64" t="str">
        <f t="shared" si="21"/>
        <v/>
      </c>
      <c r="R83" s="64" t="str">
        <f t="shared" si="21"/>
        <v/>
      </c>
      <c r="S83" s="64" t="str">
        <f t="shared" si="21"/>
        <v/>
      </c>
      <c r="T83" s="64" t="str">
        <f t="shared" si="21"/>
        <v/>
      </c>
      <c r="U83" s="64" t="str">
        <f t="shared" si="21"/>
        <v/>
      </c>
      <c r="V83" s="64" t="str">
        <f t="shared" si="21"/>
        <v/>
      </c>
    </row>
    <row r="84" spans="1:22">
      <c r="A84" s="1">
        <f t="shared" si="7"/>
        <v>52</v>
      </c>
      <c r="B84" s="65" t="s">
        <v>69</v>
      </c>
      <c r="C84" s="65"/>
      <c r="D84" s="65"/>
      <c r="E84" s="65"/>
      <c r="F84" s="65"/>
      <c r="G84" s="65"/>
      <c r="H84" s="65"/>
      <c r="I84" s="65"/>
      <c r="J84" s="65"/>
      <c r="K84" s="65"/>
      <c r="L84" s="65"/>
      <c r="M84" s="64" t="str">
        <f t="shared" ca="1" si="21"/>
        <v>-</v>
      </c>
      <c r="N84" s="64" t="str">
        <f t="shared" ca="1" si="21"/>
        <v>-</v>
      </c>
      <c r="O84" s="64" t="str">
        <f t="shared" ca="1" si="21"/>
        <v>-</v>
      </c>
      <c r="P84" s="64" t="str">
        <f t="shared" ca="1" si="21"/>
        <v>-</v>
      </c>
      <c r="Q84" s="64" t="str">
        <f t="shared" si="21"/>
        <v/>
      </c>
      <c r="R84" s="64" t="str">
        <f t="shared" si="21"/>
        <v/>
      </c>
      <c r="S84" s="64" t="str">
        <f t="shared" si="21"/>
        <v/>
      </c>
      <c r="T84" s="64" t="str">
        <f t="shared" si="21"/>
        <v/>
      </c>
      <c r="U84" s="64" t="str">
        <f t="shared" si="21"/>
        <v/>
      </c>
      <c r="V84" s="64" t="str">
        <f t="shared" si="21"/>
        <v/>
      </c>
    </row>
    <row r="85" spans="1:22">
      <c r="A85" s="1">
        <f t="shared" si="7"/>
        <v>53</v>
      </c>
      <c r="B85" s="65" t="s">
        <v>68</v>
      </c>
      <c r="C85" s="65"/>
      <c r="D85" s="65"/>
      <c r="E85" s="65"/>
      <c r="F85" s="65"/>
      <c r="G85" s="65"/>
      <c r="H85" s="65"/>
      <c r="I85" s="65"/>
      <c r="J85" s="65"/>
      <c r="K85" s="65"/>
      <c r="L85" s="65"/>
      <c r="M85" s="64" t="str">
        <f t="shared" ca="1" si="21"/>
        <v>-</v>
      </c>
      <c r="N85" s="64" t="str">
        <f t="shared" ca="1" si="21"/>
        <v>-</v>
      </c>
      <c r="O85" s="64" t="str">
        <f t="shared" ca="1" si="21"/>
        <v>-</v>
      </c>
      <c r="P85" s="64" t="str">
        <f t="shared" ca="1" si="21"/>
        <v>-</v>
      </c>
      <c r="Q85" s="64" t="str">
        <f t="shared" si="21"/>
        <v/>
      </c>
      <c r="R85" s="64" t="str">
        <f t="shared" si="21"/>
        <v/>
      </c>
      <c r="S85" s="64" t="str">
        <f t="shared" si="21"/>
        <v/>
      </c>
      <c r="T85" s="64" t="str">
        <f t="shared" si="21"/>
        <v/>
      </c>
      <c r="U85" s="64" t="str">
        <f t="shared" si="21"/>
        <v/>
      </c>
      <c r="V85" s="64" t="str">
        <f t="shared" si="21"/>
        <v/>
      </c>
    </row>
    <row r="86" spans="1:22">
      <c r="A86" s="1">
        <f t="shared" si="7"/>
        <v>54</v>
      </c>
      <c r="B86" s="65" t="s">
        <v>67</v>
      </c>
      <c r="C86" s="65"/>
      <c r="D86" s="65"/>
      <c r="E86" s="65"/>
      <c r="F86" s="65"/>
      <c r="G86" s="65"/>
      <c r="H86" s="65"/>
      <c r="I86" s="65"/>
      <c r="J86" s="65"/>
      <c r="K86" s="65"/>
      <c r="L86" s="65"/>
      <c r="M86" s="64" t="str">
        <f t="shared" ref="M86:V101" ca="1" si="24">IF(M$33="","","-")</f>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c r="A87" s="1">
        <f t="shared" si="7"/>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c r="A88" s="1">
        <f t="shared" si="7"/>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c r="A89" s="1">
        <f t="shared" si="7"/>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c r="A90" s="1">
        <f t="shared" si="7"/>
        <v>58</v>
      </c>
      <c r="B90" s="65" t="s">
        <v>63</v>
      </c>
      <c r="C90" s="65"/>
      <c r="D90" s="65"/>
      <c r="E90" s="65"/>
      <c r="F90" s="65"/>
      <c r="G90" s="65"/>
      <c r="H90" s="65"/>
      <c r="I90" s="65"/>
      <c r="J90" s="65"/>
      <c r="K90" s="65"/>
      <c r="L90" s="65"/>
      <c r="M90" s="64" t="str">
        <f t="shared" ca="1" si="24"/>
        <v>-</v>
      </c>
      <c r="N90" s="64" t="str">
        <f t="shared" ca="1" si="24"/>
        <v>-</v>
      </c>
      <c r="O90" s="64" t="str">
        <f t="shared" ca="1" si="24"/>
        <v>-</v>
      </c>
      <c r="P90" s="64" t="str">
        <f t="shared" ca="1" si="24"/>
        <v>-</v>
      </c>
      <c r="Q90" s="64" t="str">
        <f t="shared" si="24"/>
        <v/>
      </c>
      <c r="R90" s="64" t="str">
        <f t="shared" si="24"/>
        <v/>
      </c>
      <c r="S90" s="64" t="str">
        <f t="shared" si="24"/>
        <v/>
      </c>
      <c r="T90" s="64" t="str">
        <f t="shared" si="24"/>
        <v/>
      </c>
      <c r="U90" s="64" t="str">
        <f t="shared" si="24"/>
        <v/>
      </c>
      <c r="V90" s="64" t="str">
        <f t="shared" si="24"/>
        <v/>
      </c>
    </row>
    <row r="91" spans="1:22">
      <c r="A91" s="1">
        <f t="shared" si="7"/>
        <v>59</v>
      </c>
      <c r="B91" s="65" t="s">
        <v>62</v>
      </c>
      <c r="C91" s="65"/>
      <c r="D91" s="65"/>
      <c r="E91" s="65"/>
      <c r="F91" s="65"/>
      <c r="G91" s="65"/>
      <c r="H91" s="65"/>
      <c r="I91" s="65"/>
      <c r="J91" s="65"/>
      <c r="K91" s="65"/>
      <c r="L91" s="65"/>
      <c r="M91" s="64" t="str">
        <f t="shared" ca="1" si="24"/>
        <v>-</v>
      </c>
      <c r="N91" s="64" t="str">
        <f t="shared" ca="1" si="24"/>
        <v>-</v>
      </c>
      <c r="O91" s="64" t="str">
        <f t="shared" ca="1" si="24"/>
        <v>-</v>
      </c>
      <c r="P91" s="64" t="str">
        <f t="shared" ca="1" si="24"/>
        <v>-</v>
      </c>
      <c r="Q91" s="64" t="str">
        <f t="shared" si="24"/>
        <v/>
      </c>
      <c r="R91" s="64" t="str">
        <f t="shared" si="24"/>
        <v/>
      </c>
      <c r="S91" s="64" t="str">
        <f t="shared" si="24"/>
        <v/>
      </c>
      <c r="T91" s="64" t="str">
        <f t="shared" si="24"/>
        <v/>
      </c>
      <c r="U91" s="64" t="str">
        <f t="shared" si="24"/>
        <v/>
      </c>
      <c r="V91" s="64" t="str">
        <f t="shared" si="24"/>
        <v/>
      </c>
    </row>
    <row r="92" spans="1:22">
      <c r="A92" s="1">
        <f t="shared" si="7"/>
        <v>60</v>
      </c>
      <c r="B92" s="65" t="s">
        <v>61</v>
      </c>
      <c r="C92" s="65"/>
      <c r="D92" s="65"/>
      <c r="E92" s="65"/>
      <c r="F92" s="65"/>
      <c r="G92" s="65"/>
      <c r="H92" s="65"/>
      <c r="I92" s="65"/>
      <c r="J92" s="65"/>
      <c r="K92" s="65"/>
      <c r="L92" s="65"/>
      <c r="M92" s="64" t="str">
        <f t="shared" ca="1" si="24"/>
        <v>-</v>
      </c>
      <c r="N92" s="64" t="str">
        <f t="shared" ca="1" si="24"/>
        <v>-</v>
      </c>
      <c r="O92" s="64" t="str">
        <f t="shared" ca="1" si="24"/>
        <v>-</v>
      </c>
      <c r="P92" s="64" t="str">
        <f t="shared" ca="1" si="24"/>
        <v>-</v>
      </c>
      <c r="Q92" s="64" t="str">
        <f t="shared" si="24"/>
        <v/>
      </c>
      <c r="R92" s="64" t="str">
        <f t="shared" si="24"/>
        <v/>
      </c>
      <c r="S92" s="64" t="str">
        <f t="shared" si="24"/>
        <v/>
      </c>
      <c r="T92" s="64" t="str">
        <f t="shared" si="24"/>
        <v/>
      </c>
      <c r="U92" s="64" t="str">
        <f t="shared" si="24"/>
        <v/>
      </c>
      <c r="V92" s="64" t="str">
        <f t="shared" si="24"/>
        <v/>
      </c>
    </row>
    <row r="93" spans="1:22">
      <c r="A93" s="1">
        <f t="shared" si="7"/>
        <v>61</v>
      </c>
      <c r="B93" s="65" t="s">
        <v>60</v>
      </c>
      <c r="C93" s="65"/>
      <c r="D93" s="65"/>
      <c r="E93" s="65"/>
      <c r="F93" s="65"/>
      <c r="G93" s="65"/>
      <c r="H93" s="65"/>
      <c r="I93" s="65"/>
      <c r="J93" s="65"/>
      <c r="K93" s="65"/>
      <c r="L93" s="65"/>
      <c r="M93" s="64" t="str">
        <f t="shared" ca="1" si="24"/>
        <v>-</v>
      </c>
      <c r="N93" s="64" t="str">
        <f t="shared" ca="1" si="24"/>
        <v>-</v>
      </c>
      <c r="O93" s="64" t="str">
        <f t="shared" ca="1" si="24"/>
        <v>-</v>
      </c>
      <c r="P93" s="64" t="str">
        <f t="shared" ca="1" si="24"/>
        <v>-</v>
      </c>
      <c r="Q93" s="64" t="str">
        <f t="shared" si="24"/>
        <v/>
      </c>
      <c r="R93" s="64" t="str">
        <f t="shared" si="24"/>
        <v/>
      </c>
      <c r="S93" s="64" t="str">
        <f t="shared" si="24"/>
        <v/>
      </c>
      <c r="T93" s="64" t="str">
        <f t="shared" si="24"/>
        <v/>
      </c>
      <c r="U93" s="64" t="str">
        <f t="shared" si="24"/>
        <v/>
      </c>
      <c r="V93" s="64" t="str">
        <f t="shared" si="24"/>
        <v/>
      </c>
    </row>
    <row r="94" spans="1:22">
      <c r="A94" s="1">
        <f t="shared" si="7"/>
        <v>62</v>
      </c>
      <c r="B94" s="65" t="s">
        <v>59</v>
      </c>
      <c r="C94" s="65"/>
      <c r="D94" s="65"/>
      <c r="E94" s="65"/>
      <c r="F94" s="65"/>
      <c r="G94" s="65"/>
      <c r="H94" s="65"/>
      <c r="I94" s="65"/>
      <c r="J94" s="65"/>
      <c r="K94" s="65"/>
      <c r="L94" s="65"/>
      <c r="M94" s="64" t="str">
        <f t="shared" ca="1" si="24"/>
        <v>-</v>
      </c>
      <c r="N94" s="64" t="str">
        <f t="shared" ca="1" si="24"/>
        <v>-</v>
      </c>
      <c r="O94" s="64" t="str">
        <f t="shared" ca="1" si="24"/>
        <v>-</v>
      </c>
      <c r="P94" s="64" t="str">
        <f t="shared" ca="1" si="24"/>
        <v>-</v>
      </c>
      <c r="Q94" s="64" t="str">
        <f t="shared" si="24"/>
        <v/>
      </c>
      <c r="R94" s="64" t="str">
        <f t="shared" si="24"/>
        <v/>
      </c>
      <c r="S94" s="64" t="str">
        <f t="shared" si="24"/>
        <v/>
      </c>
      <c r="T94" s="64" t="str">
        <f t="shared" si="24"/>
        <v/>
      </c>
      <c r="U94" s="64" t="str">
        <f t="shared" si="24"/>
        <v/>
      </c>
      <c r="V94" s="64" t="str">
        <f t="shared" si="24"/>
        <v/>
      </c>
    </row>
    <row r="95" spans="1:22">
      <c r="A95" s="1">
        <f t="shared" si="7"/>
        <v>63</v>
      </c>
      <c r="B95" s="65" t="s">
        <v>58</v>
      </c>
      <c r="C95" s="65"/>
      <c r="D95" s="65"/>
      <c r="E95" s="65"/>
      <c r="F95" s="65"/>
      <c r="G95" s="65"/>
      <c r="H95" s="65"/>
      <c r="I95" s="65"/>
      <c r="J95" s="65"/>
      <c r="K95" s="65"/>
      <c r="L95" s="65"/>
      <c r="M95" s="64" t="str">
        <f t="shared" ca="1" si="24"/>
        <v>-</v>
      </c>
      <c r="N95" s="64" t="str">
        <f t="shared" ca="1" si="24"/>
        <v>-</v>
      </c>
      <c r="O95" s="64" t="str">
        <f t="shared" ca="1" si="24"/>
        <v>-</v>
      </c>
      <c r="P95" s="64" t="str">
        <f t="shared" ca="1" si="24"/>
        <v>-</v>
      </c>
      <c r="Q95" s="64" t="str">
        <f t="shared" si="24"/>
        <v/>
      </c>
      <c r="R95" s="64" t="str">
        <f t="shared" si="24"/>
        <v/>
      </c>
      <c r="S95" s="64" t="str">
        <f t="shared" si="24"/>
        <v/>
      </c>
      <c r="T95" s="64" t="str">
        <f t="shared" si="24"/>
        <v/>
      </c>
      <c r="U95" s="64" t="str">
        <f t="shared" si="24"/>
        <v/>
      </c>
      <c r="V95" s="64" t="str">
        <f t="shared" si="24"/>
        <v/>
      </c>
    </row>
    <row r="96" spans="1:22">
      <c r="A96" s="1">
        <f t="shared" si="7"/>
        <v>64</v>
      </c>
      <c r="B96" s="65" t="s">
        <v>57</v>
      </c>
      <c r="C96" s="65"/>
      <c r="D96" s="65"/>
      <c r="E96" s="65"/>
      <c r="F96" s="65"/>
      <c r="G96" s="65"/>
      <c r="H96" s="65"/>
      <c r="I96" s="65"/>
      <c r="J96" s="65"/>
      <c r="K96" s="65"/>
      <c r="L96" s="65"/>
      <c r="M96" s="64" t="str">
        <f t="shared" ca="1" si="24"/>
        <v>-</v>
      </c>
      <c r="N96" s="64" t="str">
        <f t="shared" ca="1" si="24"/>
        <v>-</v>
      </c>
      <c r="O96" s="64" t="str">
        <f t="shared" ca="1" si="24"/>
        <v>-</v>
      </c>
      <c r="P96" s="64" t="str">
        <f t="shared" ca="1" si="24"/>
        <v>-</v>
      </c>
      <c r="Q96" s="64" t="str">
        <f t="shared" si="24"/>
        <v/>
      </c>
      <c r="R96" s="64" t="str">
        <f t="shared" si="24"/>
        <v/>
      </c>
      <c r="S96" s="64" t="str">
        <f t="shared" si="24"/>
        <v/>
      </c>
      <c r="T96" s="64" t="str">
        <f t="shared" si="24"/>
        <v/>
      </c>
      <c r="U96" s="64" t="str">
        <f t="shared" si="24"/>
        <v/>
      </c>
      <c r="V96" s="64" t="str">
        <f t="shared" si="24"/>
        <v/>
      </c>
    </row>
    <row r="97" spans="1:22">
      <c r="A97" s="1">
        <f t="shared" si="7"/>
        <v>65</v>
      </c>
      <c r="B97" s="65" t="s">
        <v>56</v>
      </c>
      <c r="C97" s="65"/>
      <c r="D97" s="65"/>
      <c r="E97" s="65"/>
      <c r="F97" s="65"/>
      <c r="G97" s="65"/>
      <c r="H97" s="65"/>
      <c r="I97" s="65"/>
      <c r="J97" s="65"/>
      <c r="K97" s="65"/>
      <c r="L97" s="65"/>
      <c r="M97" s="64" t="str">
        <f t="shared" ca="1" si="24"/>
        <v>-</v>
      </c>
      <c r="N97" s="64" t="str">
        <f t="shared" ca="1" si="24"/>
        <v>-</v>
      </c>
      <c r="O97" s="64" t="str">
        <f t="shared" ca="1" si="24"/>
        <v>-</v>
      </c>
      <c r="P97" s="64" t="str">
        <f t="shared" ca="1" si="24"/>
        <v>-</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ca="1" si="24"/>
        <v>-</v>
      </c>
      <c r="P98" s="64" t="str">
        <f t="shared" ca="1" si="24"/>
        <v>-</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ca="1" si="24"/>
        <v>-</v>
      </c>
      <c r="O99" s="64" t="str">
        <f t="shared" ca="1" si="24"/>
        <v>-</v>
      </c>
      <c r="P99" s="64" t="str">
        <f t="shared" ca="1" si="24"/>
        <v>-</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ca="1" si="24"/>
        <v>-</v>
      </c>
      <c r="O100" s="64" t="str">
        <f t="shared" ca="1" si="24"/>
        <v>-</v>
      </c>
      <c r="P100" s="64" t="str">
        <f t="shared" ca="1" si="24"/>
        <v>-</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ca="1" si="24"/>
        <v>-</v>
      </c>
      <c r="O101" s="64" t="str">
        <f t="shared" ca="1" si="24"/>
        <v>-</v>
      </c>
      <c r="P101" s="64" t="str">
        <f t="shared" ca="1" si="24"/>
        <v>-</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183"/>
      <c r="D102" s="65"/>
      <c r="E102" s="65"/>
      <c r="F102" s="65"/>
      <c r="G102" s="65"/>
      <c r="H102" s="65"/>
      <c r="I102" s="65"/>
      <c r="J102" s="65"/>
      <c r="K102" s="65"/>
      <c r="L102" s="65"/>
      <c r="M102" s="64" t="str">
        <f t="shared" ref="M102:V103" ca="1" si="26">IF(M$33="","","-")</f>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c r="A103" s="1">
        <f t="shared" si="25"/>
        <v>71</v>
      </c>
      <c r="B103" s="65" t="s">
        <v>51</v>
      </c>
      <c r="C103" s="76"/>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5" spans="1:22">
      <c r="B105" t="s">
        <v>2255</v>
      </c>
    </row>
    <row r="106" spans="1:22">
      <c r="B106" t="s">
        <v>2256</v>
      </c>
    </row>
    <row r="108" spans="1:22" s="63" customFormat="1" ht="15.75" thickBot="1">
      <c r="B108" s="63" t="s">
        <v>50</v>
      </c>
    </row>
    <row r="110" spans="1:22">
      <c r="B110" s="94" t="s">
        <v>520</v>
      </c>
      <c r="C110" s="94" t="s">
        <v>519</v>
      </c>
      <c r="D110" s="94" t="s">
        <v>409</v>
      </c>
      <c r="E110" s="94" t="s">
        <v>122</v>
      </c>
    </row>
    <row r="111" spans="1:22">
      <c r="B111" s="93" t="s">
        <v>518</v>
      </c>
      <c r="C111" s="93">
        <v>15</v>
      </c>
      <c r="D111" s="93" t="s">
        <v>2321</v>
      </c>
      <c r="E111" s="93"/>
    </row>
    <row r="112" spans="1:22">
      <c r="B112" s="93" t="s">
        <v>438</v>
      </c>
      <c r="C112" s="93" t="s">
        <v>1955</v>
      </c>
      <c r="D112" s="93" t="s">
        <v>2321</v>
      </c>
      <c r="E112" s="93"/>
    </row>
    <row r="113" spans="2:13">
      <c r="B113" s="93" t="s">
        <v>484</v>
      </c>
      <c r="C113" s="97">
        <v>0.12</v>
      </c>
      <c r="D113" s="93" t="s">
        <v>2321</v>
      </c>
      <c r="E113" s="93"/>
    </row>
    <row r="114" spans="2:13">
      <c r="B114" s="93" t="s">
        <v>730</v>
      </c>
      <c r="C114" s="93">
        <v>17.600000000000001</v>
      </c>
      <c r="D114" s="93" t="s">
        <v>2321</v>
      </c>
      <c r="E114" s="286"/>
    </row>
    <row r="115" spans="2:13">
      <c r="B115" s="93" t="s">
        <v>738</v>
      </c>
      <c r="C115" s="93">
        <v>2.56</v>
      </c>
      <c r="D115" s="93" t="s">
        <v>2321</v>
      </c>
      <c r="E115" s="286"/>
    </row>
    <row r="116" spans="2:13">
      <c r="B116" s="93" t="s">
        <v>2322</v>
      </c>
      <c r="C116" s="93">
        <v>8.33</v>
      </c>
      <c r="D116" s="93" t="s">
        <v>2321</v>
      </c>
      <c r="E116" s="286"/>
    </row>
    <row r="117" spans="2:13">
      <c r="B117" s="93" t="s">
        <v>2261</v>
      </c>
      <c r="C117" s="93" t="s">
        <v>1955</v>
      </c>
      <c r="D117" s="93" t="s">
        <v>2321</v>
      </c>
      <c r="E117" s="286"/>
    </row>
    <row r="118" spans="2:13">
      <c r="B118" s="93" t="s">
        <v>2262</v>
      </c>
      <c r="C118" s="93">
        <v>3.7</v>
      </c>
      <c r="D118" s="93" t="s">
        <v>2321</v>
      </c>
      <c r="E118" s="654" t="s">
        <v>2323</v>
      </c>
    </row>
    <row r="119" spans="2:13">
      <c r="B119" s="93" t="s">
        <v>758</v>
      </c>
      <c r="C119" s="93">
        <v>75</v>
      </c>
      <c r="D119" s="93" t="s">
        <v>2321</v>
      </c>
      <c r="E119" s="286"/>
    </row>
    <row r="120" spans="2:13">
      <c r="B120" s="93" t="s">
        <v>309</v>
      </c>
      <c r="C120" s="93">
        <v>2533</v>
      </c>
      <c r="D120" s="93" t="s">
        <v>2321</v>
      </c>
      <c r="E120" s="286"/>
    </row>
    <row r="121" spans="2:13">
      <c r="B121" s="93"/>
      <c r="C121" s="93"/>
      <c r="D121" s="93" t="s">
        <v>2321</v>
      </c>
      <c r="E121" s="286"/>
    </row>
    <row r="122" spans="2:13">
      <c r="B122" s="93"/>
      <c r="C122" s="93"/>
      <c r="D122" s="93" t="s">
        <v>2321</v>
      </c>
      <c r="E122" s="286"/>
    </row>
    <row r="123" spans="2:13">
      <c r="B123" s="93"/>
      <c r="C123" s="93"/>
      <c r="D123" s="93"/>
      <c r="E123" s="286"/>
    </row>
    <row r="125" spans="2:13">
      <c r="B125" s="1" t="s">
        <v>2325</v>
      </c>
    </row>
    <row r="126" spans="2:13">
      <c r="B126" s="94" t="s">
        <v>716</v>
      </c>
      <c r="C126" s="94" t="s">
        <v>715</v>
      </c>
      <c r="D126" s="94" t="s">
        <v>714</v>
      </c>
      <c r="E126" s="94" t="s">
        <v>713</v>
      </c>
      <c r="F126" s="94" t="s">
        <v>2261</v>
      </c>
      <c r="G126" s="94" t="s">
        <v>2262</v>
      </c>
      <c r="H126" s="94" t="s">
        <v>2324</v>
      </c>
      <c r="I126" s="94" t="s">
        <v>499</v>
      </c>
      <c r="J126" s="94" t="s">
        <v>244</v>
      </c>
      <c r="K126" s="94" t="s">
        <v>9</v>
      </c>
      <c r="L126" s="94" t="s">
        <v>8</v>
      </c>
      <c r="M126" s="94" t="s">
        <v>497</v>
      </c>
    </row>
    <row r="127" spans="2:13">
      <c r="B127" s="712" t="s">
        <v>711</v>
      </c>
      <c r="C127" s="712" t="s">
        <v>710</v>
      </c>
      <c r="D127" s="284">
        <v>50</v>
      </c>
      <c r="E127" s="93" t="s">
        <v>707</v>
      </c>
      <c r="F127" s="93">
        <f>0.8808-(0.0008*D127)</f>
        <v>0.84079999999999999</v>
      </c>
      <c r="G127" s="93">
        <f>$C$118</f>
        <v>3.7</v>
      </c>
      <c r="H127" s="530">
        <f>$C$114*$C$115*365.25*$C$116*$C$119*((1/F127)-(1/G127))/3412</f>
        <v>2769.4288247340401</v>
      </c>
      <c r="I127" s="539">
        <f>H127*$C$113/$C$120</f>
        <v>0.13120073389975712</v>
      </c>
      <c r="J127" s="530">
        <f>H127/($C$114*$C$115*365.25*$C$116*$C$119*(1/F127)/3412)</f>
        <v>0.77275675675675681</v>
      </c>
      <c r="K127" s="93">
        <f>(1030+1199)/2</f>
        <v>1114.5</v>
      </c>
      <c r="L127" s="93">
        <f>K127/H127</f>
        <v>0.40242955155456295</v>
      </c>
      <c r="M127" s="93">
        <f>1/COUNT($F$127:$F$134)</f>
        <v>0.125</v>
      </c>
    </row>
    <row r="128" spans="2:13">
      <c r="B128" s="712"/>
      <c r="C128" s="712"/>
      <c r="D128" s="284">
        <v>50</v>
      </c>
      <c r="E128" s="93" t="s">
        <v>706</v>
      </c>
      <c r="F128" s="93">
        <f>0.9254-(0.0003*D128)</f>
        <v>0.91039999999999999</v>
      </c>
      <c r="G128" s="93">
        <f t="shared" ref="G128:G134" si="27">$C$118</f>
        <v>3.7</v>
      </c>
      <c r="H128" s="530">
        <f t="shared" ref="H128:H134" si="28">$C$114*$C$115*365.25*$C$116*$C$119*((1/F128)-(1/G128))/3412</f>
        <v>2495.4453384165427</v>
      </c>
      <c r="I128" s="539">
        <f t="shared" ref="I128:I134" si="29">H128*$C$113/$C$120</f>
        <v>0.1182208608803731</v>
      </c>
      <c r="J128" s="530">
        <f t="shared" ref="J128:J134" si="30">H128/($C$114*$C$115*365.25*$C$116*$C$119*(1/F128)/3412)</f>
        <v>0.75394594594594588</v>
      </c>
      <c r="K128" s="93">
        <f>(1030+1199)/2</f>
        <v>1114.5</v>
      </c>
      <c r="L128" s="93">
        <f t="shared" ref="L128:L134" si="31">K128/H128</f>
        <v>0.44661366964951982</v>
      </c>
      <c r="M128" s="93">
        <f t="shared" ref="M128:M134" si="32">1/COUNT($F$127:$F$134)</f>
        <v>0.125</v>
      </c>
    </row>
    <row r="129" spans="2:13">
      <c r="B129" s="712"/>
      <c r="C129" s="712"/>
      <c r="D129" s="284">
        <v>50</v>
      </c>
      <c r="E129" s="93" t="s">
        <v>705</v>
      </c>
      <c r="F129" s="93">
        <f>0.9307-(0.0002*D129)</f>
        <v>0.92069999999999996</v>
      </c>
      <c r="G129" s="93">
        <f t="shared" si="27"/>
        <v>3.7</v>
      </c>
      <c r="H129" s="530">
        <f t="shared" si="28"/>
        <v>2458.4176216938495</v>
      </c>
      <c r="I129" s="539">
        <f t="shared" si="29"/>
        <v>0.116466685591497</v>
      </c>
      <c r="J129" s="530">
        <f t="shared" si="30"/>
        <v>0.75116216216216236</v>
      </c>
      <c r="K129" s="93">
        <f>(1030+1199)/2</f>
        <v>1114.5</v>
      </c>
      <c r="L129" s="93">
        <f t="shared" si="31"/>
        <v>0.45334038861636111</v>
      </c>
      <c r="M129" s="93">
        <f t="shared" si="32"/>
        <v>0.125</v>
      </c>
    </row>
    <row r="130" spans="2:13">
      <c r="B130" s="712"/>
      <c r="C130" s="712"/>
      <c r="D130" s="284">
        <v>50</v>
      </c>
      <c r="E130" s="93" t="s">
        <v>704</v>
      </c>
      <c r="F130" s="93">
        <f>0.9349-(0.0001*D130)</f>
        <v>0.92989999999999995</v>
      </c>
      <c r="G130" s="93">
        <f t="shared" si="27"/>
        <v>3.7</v>
      </c>
      <c r="H130" s="530">
        <f t="shared" si="28"/>
        <v>2426.0378683223175</v>
      </c>
      <c r="I130" s="539">
        <f t="shared" si="29"/>
        <v>0.11493270596078883</v>
      </c>
      <c r="J130" s="530">
        <f t="shared" si="30"/>
        <v>0.74867567567567561</v>
      </c>
      <c r="K130" s="93">
        <f>(1030+1199)/2</f>
        <v>1114.5</v>
      </c>
      <c r="L130" s="93">
        <f t="shared" si="31"/>
        <v>0.4593910155123474</v>
      </c>
      <c r="M130" s="93">
        <f t="shared" si="32"/>
        <v>0.125</v>
      </c>
    </row>
    <row r="131" spans="2:13">
      <c r="B131" s="712"/>
      <c r="C131" s="712" t="s">
        <v>709</v>
      </c>
      <c r="D131" s="284">
        <v>110</v>
      </c>
      <c r="E131" s="93" t="s">
        <v>707</v>
      </c>
      <c r="F131" s="93">
        <f>1.9236-(0.0011*D131)</f>
        <v>1.8026</v>
      </c>
      <c r="G131" s="93">
        <f t="shared" si="27"/>
        <v>3.7</v>
      </c>
      <c r="H131" s="530">
        <f t="shared" si="28"/>
        <v>857.23107394041119</v>
      </c>
      <c r="I131" s="539">
        <f t="shared" si="29"/>
        <v>4.0611026005862354E-2</v>
      </c>
      <c r="J131" s="530">
        <f t="shared" si="30"/>
        <v>0.51281081081081092</v>
      </c>
      <c r="K131" s="93">
        <f>(1113+1797)/2</f>
        <v>1455</v>
      </c>
      <c r="L131" s="93">
        <f t="shared" si="31"/>
        <v>1.6973253119626663</v>
      </c>
      <c r="M131" s="93">
        <f t="shared" si="32"/>
        <v>0.125</v>
      </c>
    </row>
    <row r="132" spans="2:13">
      <c r="B132" s="712"/>
      <c r="C132" s="712"/>
      <c r="D132" s="284">
        <v>110</v>
      </c>
      <c r="E132" s="93" t="s">
        <v>706</v>
      </c>
      <c r="F132" s="93">
        <f>2.044-(0.0011*D132)</f>
        <v>1.923</v>
      </c>
      <c r="G132" s="93">
        <f t="shared" si="27"/>
        <v>3.7</v>
      </c>
      <c r="H132" s="530">
        <f t="shared" si="28"/>
        <v>752.56933746258971</v>
      </c>
      <c r="I132" s="539">
        <f t="shared" si="29"/>
        <v>3.5652712394595637E-2</v>
      </c>
      <c r="J132" s="530">
        <f t="shared" si="30"/>
        <v>0.48027027027027036</v>
      </c>
      <c r="K132" s="93">
        <f>(1113+1797)/2</f>
        <v>1455</v>
      </c>
      <c r="L132" s="93">
        <f t="shared" si="31"/>
        <v>1.9333766705215094</v>
      </c>
      <c r="M132" s="93">
        <f t="shared" si="32"/>
        <v>0.125</v>
      </c>
    </row>
    <row r="133" spans="2:13">
      <c r="B133" s="712"/>
      <c r="C133" s="712"/>
      <c r="D133" s="284">
        <v>110</v>
      </c>
      <c r="E133" s="93" t="s">
        <v>705</v>
      </c>
      <c r="F133" s="93">
        <f>2.1171-(0.0011*D133)</f>
        <v>1.9961000000000002</v>
      </c>
      <c r="G133" s="93">
        <f t="shared" si="27"/>
        <v>3.7</v>
      </c>
      <c r="H133" s="530">
        <f t="shared" si="28"/>
        <v>695.18466619337073</v>
      </c>
      <c r="I133" s="539">
        <f t="shared" si="29"/>
        <v>3.2934133416188116E-2</v>
      </c>
      <c r="J133" s="530">
        <f t="shared" si="30"/>
        <v>0.46051351351351361</v>
      </c>
      <c r="K133" s="93">
        <f>(1113+1797)/2</f>
        <v>1455</v>
      </c>
      <c r="L133" s="93">
        <f t="shared" si="31"/>
        <v>2.0929690638419247</v>
      </c>
      <c r="M133" s="93">
        <f t="shared" si="32"/>
        <v>0.125</v>
      </c>
    </row>
    <row r="134" spans="2:13">
      <c r="B134" s="712"/>
      <c r="C134" s="712"/>
      <c r="D134" s="284">
        <v>110</v>
      </c>
      <c r="E134" s="93" t="s">
        <v>704</v>
      </c>
      <c r="F134" s="93">
        <f>2.2418-(0.0011*D134)</f>
        <v>2.1208</v>
      </c>
      <c r="G134" s="93">
        <f t="shared" si="27"/>
        <v>3.7</v>
      </c>
      <c r="H134" s="530">
        <f t="shared" si="28"/>
        <v>606.42318432552622</v>
      </c>
      <c r="I134" s="539">
        <f t="shared" si="29"/>
        <v>2.8729088874482094E-2</v>
      </c>
      <c r="J134" s="530">
        <f t="shared" si="30"/>
        <v>0.4268108108108109</v>
      </c>
      <c r="K134" s="93">
        <f>(1113+1797)/2</f>
        <v>1455</v>
      </c>
      <c r="L134" s="93">
        <f t="shared" si="31"/>
        <v>2.3993146001142334</v>
      </c>
      <c r="M134" s="93">
        <f t="shared" si="32"/>
        <v>0.125</v>
      </c>
    </row>
    <row r="135" spans="2:13">
      <c r="B135" s="7" t="s">
        <v>0</v>
      </c>
      <c r="C135" s="7"/>
      <c r="D135" s="7"/>
      <c r="E135" s="7"/>
      <c r="F135" s="7"/>
      <c r="G135" s="7"/>
      <c r="H135" s="107">
        <f>SUMPRODUCT(H127:H134,$M$127:$M$134)</f>
        <v>1632.5922393860808</v>
      </c>
      <c r="I135" s="107">
        <f>SUMPRODUCT(I127:I134,$M$127:$M$134)</f>
        <v>7.7343493377943037E-2</v>
      </c>
      <c r="J135" s="107">
        <f>SUMPRODUCT(J127:J134,$M$127:$M$134)</f>
        <v>0.61336824324324335</v>
      </c>
      <c r="K135" s="107">
        <f>SUMPRODUCT(K127:K134,$M$127:$M$134)</f>
        <v>1284.75</v>
      </c>
      <c r="L135" s="107">
        <f>SUMPRODUCT(L127:L134,$M$127:$M$134)</f>
        <v>1.2355950339716406</v>
      </c>
      <c r="M135" s="7"/>
    </row>
    <row r="136" spans="2:13">
      <c r="B136" s="712" t="s">
        <v>2320</v>
      </c>
      <c r="C136" s="712" t="s">
        <v>710</v>
      </c>
      <c r="D136" s="284">
        <v>50</v>
      </c>
      <c r="E136" s="93" t="s">
        <v>707</v>
      </c>
      <c r="F136" s="93">
        <f>0.3456-(0.002*D136)</f>
        <v>0.24560000000000001</v>
      </c>
      <c r="G136" s="93">
        <f>$C$118</f>
        <v>3.7</v>
      </c>
      <c r="H136" s="530">
        <f>$C$114*$C$115*365.25*$C$116*$C$119*((1/F136)-(1/G136))/1000000</f>
        <v>39.083339121429709</v>
      </c>
      <c r="I136" s="93"/>
      <c r="J136" s="530">
        <f>H136/($C$114*$C$115*365.25*$C$116*$C$119*(1/F136)/1000000)</f>
        <v>0.93362162162162166</v>
      </c>
      <c r="K136" s="93">
        <f>(1030+1199)/2</f>
        <v>1114.5</v>
      </c>
      <c r="L136" s="93">
        <f>K136/H136</f>
        <v>28.515987248103649</v>
      </c>
      <c r="M136" s="93">
        <f>1/COUNT($F$127:$F$134)</f>
        <v>0.125</v>
      </c>
    </row>
    <row r="137" spans="2:13">
      <c r="B137" s="712"/>
      <c r="C137" s="712"/>
      <c r="D137" s="284">
        <v>50</v>
      </c>
      <c r="E137" s="93" t="s">
        <v>706</v>
      </c>
      <c r="F137" s="93">
        <f>0.5982-(0.0019*D137)</f>
        <v>0.50319999999999998</v>
      </c>
      <c r="G137" s="93">
        <f t="shared" ref="G137:G143" si="33">$C$118</f>
        <v>3.7</v>
      </c>
      <c r="H137" s="530">
        <f t="shared" ref="H137:H143" si="34">$C$114*$C$115*365.25*$C$116*$C$119*((1/F137)-(1/G137))/1000000</f>
        <v>17.653150858378382</v>
      </c>
      <c r="I137" s="93"/>
      <c r="J137" s="530">
        <f t="shared" ref="J137:J143" si="35">H137/($C$114*$C$115*365.25*$C$116*$C$119*(1/F137)/1000000)</f>
        <v>0.86400000000000021</v>
      </c>
      <c r="K137" s="93">
        <f>(1030+1199)/2</f>
        <v>1114.5</v>
      </c>
      <c r="L137" s="93">
        <f t="shared" ref="L137:L143" si="36">K137/H137</f>
        <v>63.13320545102836</v>
      </c>
      <c r="M137" s="93">
        <f t="shared" ref="M137:M143" si="37">1/COUNT($F$127:$F$134)</f>
        <v>0.125</v>
      </c>
    </row>
    <row r="138" spans="2:13">
      <c r="B138" s="712"/>
      <c r="C138" s="712"/>
      <c r="D138" s="284">
        <v>50</v>
      </c>
      <c r="E138" s="93" t="s">
        <v>705</v>
      </c>
      <c r="F138" s="93">
        <f>0.6483-(0.0017*D138)</f>
        <v>0.56330000000000002</v>
      </c>
      <c r="G138" s="93">
        <f t="shared" si="33"/>
        <v>3.7</v>
      </c>
      <c r="H138" s="530">
        <f t="shared" si="34"/>
        <v>15.473217531890166</v>
      </c>
      <c r="I138" s="93"/>
      <c r="J138" s="530">
        <f t="shared" si="35"/>
        <v>0.84775675675675688</v>
      </c>
      <c r="K138" s="93">
        <f>(1030+1199)/2</f>
        <v>1114.5</v>
      </c>
      <c r="L138" s="93">
        <f t="shared" si="36"/>
        <v>72.027682523238965</v>
      </c>
      <c r="M138" s="93">
        <f t="shared" si="37"/>
        <v>0.125</v>
      </c>
    </row>
    <row r="139" spans="2:13">
      <c r="B139" s="712"/>
      <c r="C139" s="712"/>
      <c r="D139" s="284">
        <v>50</v>
      </c>
      <c r="E139" s="93" t="s">
        <v>704</v>
      </c>
      <c r="F139" s="93">
        <f>0.692-(0.0013*D139)</f>
        <v>0.627</v>
      </c>
      <c r="G139" s="93">
        <f t="shared" si="33"/>
        <v>3.7</v>
      </c>
      <c r="H139" s="530">
        <f t="shared" si="34"/>
        <v>13.618912132916076</v>
      </c>
      <c r="I139" s="93"/>
      <c r="J139" s="530">
        <f t="shared" si="35"/>
        <v>0.8305405405405405</v>
      </c>
      <c r="K139" s="93">
        <f>(1030+1199)/2</f>
        <v>1114.5</v>
      </c>
      <c r="L139" s="93">
        <f t="shared" si="36"/>
        <v>81.834730198921079</v>
      </c>
      <c r="M139" s="93">
        <f t="shared" si="37"/>
        <v>0.125</v>
      </c>
    </row>
    <row r="140" spans="2:13">
      <c r="B140" s="712"/>
      <c r="C140" s="712" t="s">
        <v>709</v>
      </c>
      <c r="D140" s="284">
        <v>110</v>
      </c>
      <c r="E140" s="93" t="s">
        <v>707</v>
      </c>
      <c r="F140" s="93">
        <f>0.647-(0.0006*D140)</f>
        <v>0.58100000000000007</v>
      </c>
      <c r="G140" s="93">
        <f t="shared" si="33"/>
        <v>3.7</v>
      </c>
      <c r="H140" s="530">
        <f t="shared" si="34"/>
        <v>14.917176929365027</v>
      </c>
      <c r="I140" s="93"/>
      <c r="J140" s="530">
        <f t="shared" si="35"/>
        <v>0.84297297297297291</v>
      </c>
      <c r="K140" s="93">
        <f>(1113+1797)/2</f>
        <v>1455</v>
      </c>
      <c r="L140" s="93">
        <f t="shared" si="36"/>
        <v>97.538562885567003</v>
      </c>
      <c r="M140" s="93">
        <f t="shared" si="37"/>
        <v>0.125</v>
      </c>
    </row>
    <row r="141" spans="2:13">
      <c r="B141" s="712"/>
      <c r="C141" s="712"/>
      <c r="D141" s="284">
        <v>110</v>
      </c>
      <c r="E141" s="93" t="s">
        <v>706</v>
      </c>
      <c r="F141" s="93">
        <f>0.7689-(0.0005*D141)</f>
        <v>0.71389999999999998</v>
      </c>
      <c r="G141" s="93">
        <f t="shared" si="33"/>
        <v>3.7</v>
      </c>
      <c r="H141" s="530">
        <f t="shared" si="34"/>
        <v>11.622896326249952</v>
      </c>
      <c r="I141" s="93"/>
      <c r="J141" s="530">
        <f t="shared" si="35"/>
        <v>0.80705405405405417</v>
      </c>
      <c r="K141" s="93">
        <f>(1113+1797)/2</f>
        <v>1455</v>
      </c>
      <c r="L141" s="93">
        <f t="shared" si="36"/>
        <v>125.18394375711047</v>
      </c>
      <c r="M141" s="93">
        <f t="shared" si="37"/>
        <v>0.125</v>
      </c>
    </row>
    <row r="142" spans="2:13">
      <c r="B142" s="712"/>
      <c r="C142" s="712"/>
      <c r="D142" s="284">
        <v>110</v>
      </c>
      <c r="E142" s="93" t="s">
        <v>705</v>
      </c>
      <c r="F142" s="93">
        <f>0.7897-(0.0004*D142)</f>
        <v>0.74569999999999992</v>
      </c>
      <c r="G142" s="93">
        <f t="shared" si="33"/>
        <v>3.7</v>
      </c>
      <c r="H142" s="530">
        <f t="shared" si="34"/>
        <v>11.008745956762269</v>
      </c>
      <c r="I142" s="93"/>
      <c r="J142" s="530">
        <f t="shared" si="35"/>
        <v>0.79845945945945951</v>
      </c>
      <c r="K142" s="93">
        <f>(1113+1797)/2</f>
        <v>1455</v>
      </c>
      <c r="L142" s="93">
        <f t="shared" si="36"/>
        <v>132.16764250121031</v>
      </c>
      <c r="M142" s="93">
        <f t="shared" si="37"/>
        <v>0.125</v>
      </c>
    </row>
    <row r="143" spans="2:13">
      <c r="B143" s="712"/>
      <c r="C143" s="712"/>
      <c r="D143" s="284">
        <v>110</v>
      </c>
      <c r="E143" s="93" t="s">
        <v>704</v>
      </c>
      <c r="F143" s="93">
        <f>0.8072-(0.0003*D143)</f>
        <v>0.7742</v>
      </c>
      <c r="G143" s="93">
        <f t="shared" si="33"/>
        <v>3.7</v>
      </c>
      <c r="H143" s="530">
        <f t="shared" si="34"/>
        <v>10.501198480684231</v>
      </c>
      <c r="I143" s="93"/>
      <c r="J143" s="530">
        <f t="shared" si="35"/>
        <v>0.79075675675675683</v>
      </c>
      <c r="K143" s="93">
        <f>(1113+1797)/2</f>
        <v>1455</v>
      </c>
      <c r="L143" s="93">
        <f t="shared" si="36"/>
        <v>138.555613692695</v>
      </c>
      <c r="M143" s="93">
        <f t="shared" si="37"/>
        <v>0.125</v>
      </c>
    </row>
    <row r="144" spans="2:13">
      <c r="B144" s="7" t="s">
        <v>0</v>
      </c>
      <c r="C144" s="7"/>
      <c r="D144" s="7"/>
      <c r="E144" s="7"/>
      <c r="F144" s="7"/>
      <c r="G144" s="7"/>
      <c r="H144" s="107">
        <f>SUMPRODUCT(H136:H143,$M$127:$M$134)</f>
        <v>16.734829667209478</v>
      </c>
      <c r="I144" s="107">
        <f>SUMPRODUCT(I136:I143,$M$127:$M$134)</f>
        <v>0</v>
      </c>
      <c r="J144" s="107">
        <f>SUMPRODUCT(J136:J143,$M$127:$M$134)</f>
        <v>0.83939527027027039</v>
      </c>
      <c r="K144" s="107">
        <f>SUMPRODUCT(K136:K143,$M$127:$M$134)</f>
        <v>1284.75</v>
      </c>
      <c r="L144" s="107">
        <f>SUMPRODUCT(L136:L143,$M$127:$M$134)</f>
        <v>92.369671032234351</v>
      </c>
      <c r="M144" s="7"/>
    </row>
    <row r="146" spans="2:13">
      <c r="B146" s="1" t="s">
        <v>207</v>
      </c>
    </row>
    <row r="147" spans="2:13">
      <c r="B147" s="94" t="s">
        <v>716</v>
      </c>
      <c r="C147" s="94" t="s">
        <v>715</v>
      </c>
      <c r="D147" s="94" t="s">
        <v>714</v>
      </c>
      <c r="E147" s="94" t="s">
        <v>713</v>
      </c>
      <c r="F147" s="94" t="s">
        <v>2261</v>
      </c>
      <c r="G147" s="94" t="s">
        <v>2262</v>
      </c>
      <c r="H147" s="94" t="s">
        <v>2324</v>
      </c>
      <c r="I147" s="94" t="s">
        <v>499</v>
      </c>
      <c r="J147" s="94" t="s">
        <v>244</v>
      </c>
      <c r="K147" s="94" t="s">
        <v>9</v>
      </c>
      <c r="L147" s="94" t="s">
        <v>8</v>
      </c>
      <c r="M147" s="94" t="s">
        <v>497</v>
      </c>
    </row>
    <row r="148" spans="2:13">
      <c r="B148" s="712" t="s">
        <v>711</v>
      </c>
      <c r="C148" s="712" t="s">
        <v>710</v>
      </c>
      <c r="D148" s="284">
        <v>50</v>
      </c>
      <c r="E148" s="93" t="s">
        <v>707</v>
      </c>
      <c r="F148" s="93">
        <f>0.8808-(0.0008*D148)</f>
        <v>0.84079999999999999</v>
      </c>
      <c r="G148" s="93">
        <f>$C$118</f>
        <v>3.7</v>
      </c>
      <c r="H148" s="530">
        <f>$C$114*$C$115*365.25*$C$116*$C$119*((1/F148)-(1/G148))/3412</f>
        <v>2769.4288247340401</v>
      </c>
      <c r="I148" s="539">
        <f>H148*$C$113/$C$120</f>
        <v>0.13120073389975712</v>
      </c>
      <c r="J148" s="530">
        <f>H148/($C$114*$C$115*365.25*$C$116*$C$119*(1/F148)/3412)</f>
        <v>0.77275675675675681</v>
      </c>
      <c r="K148" s="93">
        <f>(2062+2231)/2</f>
        <v>2146.5</v>
      </c>
      <c r="L148" s="93">
        <f>K148/H148</f>
        <v>0.77506956699135876</v>
      </c>
      <c r="M148" s="93">
        <f>1/COUNT($F$127:$F$134)</f>
        <v>0.125</v>
      </c>
    </row>
    <row r="149" spans="2:13">
      <c r="B149" s="712"/>
      <c r="C149" s="712"/>
      <c r="D149" s="284">
        <v>50</v>
      </c>
      <c r="E149" s="93" t="s">
        <v>706</v>
      </c>
      <c r="F149" s="93">
        <f>0.9254-(0.0003*D149)</f>
        <v>0.91039999999999999</v>
      </c>
      <c r="G149" s="93">
        <f t="shared" ref="G149:G155" si="38">$C$118</f>
        <v>3.7</v>
      </c>
      <c r="H149" s="530">
        <f t="shared" ref="H149:H155" si="39">$C$114*$C$115*365.25*$C$116*$C$119*((1/F149)-(1/G149))/3412</f>
        <v>2495.4453384165427</v>
      </c>
      <c r="I149" s="539">
        <f t="shared" ref="I149:I155" si="40">H149*$C$113/$C$120</f>
        <v>0.1182208608803731</v>
      </c>
      <c r="J149" s="530">
        <f t="shared" ref="J149:J155" si="41">H149/($C$114*$C$115*365.25*$C$116*$C$119*(1/F149)/3412)</f>
        <v>0.75394594594594588</v>
      </c>
      <c r="K149" s="93">
        <f>(2062+2231)/2</f>
        <v>2146.5</v>
      </c>
      <c r="L149" s="93">
        <f t="shared" ref="L149:L155" si="42">K149/H149</f>
        <v>0.86016710803292451</v>
      </c>
      <c r="M149" s="93">
        <f t="shared" ref="M149:M155" si="43">1/COUNT($F$127:$F$134)</f>
        <v>0.125</v>
      </c>
    </row>
    <row r="150" spans="2:13">
      <c r="B150" s="712"/>
      <c r="C150" s="712"/>
      <c r="D150" s="284">
        <v>50</v>
      </c>
      <c r="E150" s="93" t="s">
        <v>705</v>
      </c>
      <c r="F150" s="93">
        <f>0.9307-(0.0002*D150)</f>
        <v>0.92069999999999996</v>
      </c>
      <c r="G150" s="93">
        <f t="shared" si="38"/>
        <v>3.7</v>
      </c>
      <c r="H150" s="530">
        <f t="shared" si="39"/>
        <v>2458.4176216938495</v>
      </c>
      <c r="I150" s="539">
        <f t="shared" si="40"/>
        <v>0.116466685591497</v>
      </c>
      <c r="J150" s="530">
        <f t="shared" si="41"/>
        <v>0.75116216216216236</v>
      </c>
      <c r="K150" s="93">
        <f>(2062+2231)/2</f>
        <v>2146.5</v>
      </c>
      <c r="L150" s="93">
        <f t="shared" si="42"/>
        <v>0.87312260580082468</v>
      </c>
      <c r="M150" s="93">
        <f t="shared" si="43"/>
        <v>0.125</v>
      </c>
    </row>
    <row r="151" spans="2:13">
      <c r="B151" s="712"/>
      <c r="C151" s="712"/>
      <c r="D151" s="284">
        <v>50</v>
      </c>
      <c r="E151" s="93" t="s">
        <v>704</v>
      </c>
      <c r="F151" s="93">
        <f>0.9349-(0.0001*D151)</f>
        <v>0.92989999999999995</v>
      </c>
      <c r="G151" s="93">
        <f t="shared" si="38"/>
        <v>3.7</v>
      </c>
      <c r="H151" s="530">
        <f t="shared" si="39"/>
        <v>2426.0378683223175</v>
      </c>
      <c r="I151" s="539">
        <f t="shared" si="40"/>
        <v>0.11493270596078883</v>
      </c>
      <c r="J151" s="530">
        <f t="shared" si="41"/>
        <v>0.74867567567567561</v>
      </c>
      <c r="K151" s="93">
        <f>(2062+2231)/2</f>
        <v>2146.5</v>
      </c>
      <c r="L151" s="93">
        <f t="shared" si="42"/>
        <v>0.88477596661933933</v>
      </c>
      <c r="M151" s="93">
        <f t="shared" si="43"/>
        <v>0.125</v>
      </c>
    </row>
    <row r="152" spans="2:13">
      <c r="B152" s="712"/>
      <c r="C152" s="712" t="s">
        <v>709</v>
      </c>
      <c r="D152" s="284">
        <v>110</v>
      </c>
      <c r="E152" s="93" t="s">
        <v>707</v>
      </c>
      <c r="F152" s="93">
        <f>1.9236-(0.0011*D152)</f>
        <v>1.8026</v>
      </c>
      <c r="G152" s="93">
        <f t="shared" si="38"/>
        <v>3.7</v>
      </c>
      <c r="H152" s="530">
        <f t="shared" si="39"/>
        <v>857.23107394041119</v>
      </c>
      <c r="I152" s="539">
        <f t="shared" si="40"/>
        <v>4.0611026005862354E-2</v>
      </c>
      <c r="J152" s="530">
        <f t="shared" si="41"/>
        <v>0.51281081081081092</v>
      </c>
      <c r="K152" s="93">
        <f>(2432+3116)/2</f>
        <v>2774</v>
      </c>
      <c r="L152" s="93">
        <f t="shared" si="42"/>
        <v>3.2360002854875853</v>
      </c>
      <c r="M152" s="93">
        <f t="shared" si="43"/>
        <v>0.125</v>
      </c>
    </row>
    <row r="153" spans="2:13">
      <c r="B153" s="712"/>
      <c r="C153" s="712"/>
      <c r="D153" s="284">
        <v>110</v>
      </c>
      <c r="E153" s="93" t="s">
        <v>706</v>
      </c>
      <c r="F153" s="93">
        <f>2.044-(0.0011*D153)</f>
        <v>1.923</v>
      </c>
      <c r="G153" s="93">
        <f t="shared" si="38"/>
        <v>3.7</v>
      </c>
      <c r="H153" s="530">
        <f t="shared" si="39"/>
        <v>752.56933746258971</v>
      </c>
      <c r="I153" s="539">
        <f t="shared" si="40"/>
        <v>3.5652712394595637E-2</v>
      </c>
      <c r="J153" s="530">
        <f t="shared" si="41"/>
        <v>0.48027027027027036</v>
      </c>
      <c r="K153" s="93">
        <f>(2432+3116)/2</f>
        <v>2774</v>
      </c>
      <c r="L153" s="93">
        <f t="shared" si="42"/>
        <v>3.6860390955509743</v>
      </c>
      <c r="M153" s="93">
        <f t="shared" si="43"/>
        <v>0.125</v>
      </c>
    </row>
    <row r="154" spans="2:13">
      <c r="B154" s="712"/>
      <c r="C154" s="712"/>
      <c r="D154" s="284">
        <v>110</v>
      </c>
      <c r="E154" s="93" t="s">
        <v>705</v>
      </c>
      <c r="F154" s="93">
        <f>2.1171-(0.0011*D154)</f>
        <v>1.9961000000000002</v>
      </c>
      <c r="G154" s="93">
        <f t="shared" si="38"/>
        <v>3.7</v>
      </c>
      <c r="H154" s="530">
        <f t="shared" si="39"/>
        <v>695.18466619337073</v>
      </c>
      <c r="I154" s="539">
        <f t="shared" si="40"/>
        <v>3.2934133416188116E-2</v>
      </c>
      <c r="J154" s="530">
        <f t="shared" si="41"/>
        <v>0.46051351351351361</v>
      </c>
      <c r="K154" s="93">
        <f>(2432+3116)/2</f>
        <v>2774</v>
      </c>
      <c r="L154" s="93">
        <f t="shared" si="42"/>
        <v>3.9903066550498276</v>
      </c>
      <c r="M154" s="93">
        <f t="shared" si="43"/>
        <v>0.125</v>
      </c>
    </row>
    <row r="155" spans="2:13">
      <c r="B155" s="712"/>
      <c r="C155" s="712"/>
      <c r="D155" s="284">
        <v>110</v>
      </c>
      <c r="E155" s="93" t="s">
        <v>704</v>
      </c>
      <c r="F155" s="93">
        <f>2.2418-(0.0011*D155)</f>
        <v>2.1208</v>
      </c>
      <c r="G155" s="93">
        <f t="shared" si="38"/>
        <v>3.7</v>
      </c>
      <c r="H155" s="530">
        <f t="shared" si="39"/>
        <v>606.42318432552622</v>
      </c>
      <c r="I155" s="539">
        <f t="shared" si="40"/>
        <v>2.8729088874482094E-2</v>
      </c>
      <c r="J155" s="530">
        <f t="shared" si="41"/>
        <v>0.4268108108108109</v>
      </c>
      <c r="K155" s="93">
        <f>(2432+3116)/2</f>
        <v>2774</v>
      </c>
      <c r="L155" s="93">
        <f t="shared" si="42"/>
        <v>4.5743633681902978</v>
      </c>
      <c r="M155" s="93">
        <f t="shared" si="43"/>
        <v>0.125</v>
      </c>
    </row>
    <row r="156" spans="2:13">
      <c r="B156" s="7" t="s">
        <v>0</v>
      </c>
      <c r="C156" s="7"/>
      <c r="D156" s="7"/>
      <c r="E156" s="7"/>
      <c r="F156" s="7"/>
      <c r="G156" s="7"/>
      <c r="H156" s="107">
        <f>SUMPRODUCT(H148:H155,$M$127:$M$134)</f>
        <v>1632.5922393860808</v>
      </c>
      <c r="I156" s="107">
        <f>SUMPRODUCT(I148:I155,$M$127:$M$134)</f>
        <v>7.7343493377943037E-2</v>
      </c>
      <c r="J156" s="107">
        <f>SUMPRODUCT(J148:J155,$M$127:$M$134)</f>
        <v>0.61336824324324335</v>
      </c>
      <c r="K156" s="107">
        <f>SUMPRODUCT(K148:K155,$M$127:$M$134)</f>
        <v>2460.25</v>
      </c>
      <c r="L156" s="107">
        <f>SUMPRODUCT(L148:L155,$M$127:$M$134)</f>
        <v>2.3599805814653916</v>
      </c>
      <c r="M156" s="7"/>
    </row>
    <row r="157" spans="2:13">
      <c r="B157" s="712" t="s">
        <v>2320</v>
      </c>
      <c r="C157" s="712" t="s">
        <v>710</v>
      </c>
      <c r="D157" s="284">
        <v>50</v>
      </c>
      <c r="E157" s="93" t="s">
        <v>707</v>
      </c>
      <c r="F157" s="93">
        <f>0.3456-(0.002*D157)</f>
        <v>0.24560000000000001</v>
      </c>
      <c r="G157" s="93">
        <f>$C$118</f>
        <v>3.7</v>
      </c>
      <c r="H157" s="530">
        <f>$C$114*$C$115*365.25*$C$116*$C$119*((1/F157)-(1/G157))/1000000</f>
        <v>39.083339121429709</v>
      </c>
      <c r="I157" s="93"/>
      <c r="J157" s="530">
        <f>H157/($C$114*$C$115*365.25*$C$116*$C$119*(1/F157)/1000000)</f>
        <v>0.93362162162162166</v>
      </c>
      <c r="K157" s="93">
        <f>(2062+2231)/2</f>
        <v>2146.5</v>
      </c>
      <c r="L157" s="93">
        <f>K157/H157</f>
        <v>54.921100608393431</v>
      </c>
      <c r="M157" s="93">
        <f>1/COUNT($F$127:$F$134)</f>
        <v>0.125</v>
      </c>
    </row>
    <row r="158" spans="2:13">
      <c r="B158" s="712"/>
      <c r="C158" s="712"/>
      <c r="D158" s="284">
        <v>50</v>
      </c>
      <c r="E158" s="93" t="s">
        <v>706</v>
      </c>
      <c r="F158" s="93">
        <f>0.5982-(0.0019*D158)</f>
        <v>0.50319999999999998</v>
      </c>
      <c r="G158" s="93">
        <f t="shared" ref="G158:G164" si="44">$C$118</f>
        <v>3.7</v>
      </c>
      <c r="H158" s="530">
        <f t="shared" ref="H158:H164" si="45">$C$114*$C$115*365.25*$C$116*$C$119*((1/F158)-(1/G158))/1000000</f>
        <v>17.653150858378382</v>
      </c>
      <c r="I158" s="93"/>
      <c r="J158" s="530">
        <f t="shared" ref="J158:J164" si="46">H158/($C$114*$C$115*365.25*$C$116*$C$119*(1/F158)/1000000)</f>
        <v>0.86400000000000021</v>
      </c>
      <c r="K158" s="93">
        <f>(2062+2231)/2</f>
        <v>2146.5</v>
      </c>
      <c r="L158" s="93">
        <f t="shared" ref="L158:L164" si="47">K158/H158</f>
        <v>121.59302422667777</v>
      </c>
      <c r="M158" s="93">
        <f t="shared" ref="M158:M164" si="48">1/COUNT($F$127:$F$134)</f>
        <v>0.125</v>
      </c>
    </row>
    <row r="159" spans="2:13">
      <c r="B159" s="712"/>
      <c r="C159" s="712"/>
      <c r="D159" s="284">
        <v>50</v>
      </c>
      <c r="E159" s="93" t="s">
        <v>705</v>
      </c>
      <c r="F159" s="93">
        <f>0.6483-(0.0017*D159)</f>
        <v>0.56330000000000002</v>
      </c>
      <c r="G159" s="93">
        <f t="shared" si="44"/>
        <v>3.7</v>
      </c>
      <c r="H159" s="530">
        <f t="shared" si="45"/>
        <v>15.473217531890166</v>
      </c>
      <c r="I159" s="93"/>
      <c r="J159" s="530">
        <f t="shared" si="46"/>
        <v>0.84775675675675688</v>
      </c>
      <c r="K159" s="93">
        <f>(2062+2231)/2</f>
        <v>2146.5</v>
      </c>
      <c r="L159" s="93">
        <f t="shared" si="47"/>
        <v>138.72357158917222</v>
      </c>
      <c r="M159" s="93">
        <f t="shared" si="48"/>
        <v>0.125</v>
      </c>
    </row>
    <row r="160" spans="2:13">
      <c r="B160" s="712"/>
      <c r="C160" s="712"/>
      <c r="D160" s="284">
        <v>50</v>
      </c>
      <c r="E160" s="93" t="s">
        <v>704</v>
      </c>
      <c r="F160" s="93">
        <f>0.692-(0.0013*D160)</f>
        <v>0.627</v>
      </c>
      <c r="G160" s="93">
        <f t="shared" si="44"/>
        <v>3.7</v>
      </c>
      <c r="H160" s="530">
        <f t="shared" si="45"/>
        <v>13.618912132916076</v>
      </c>
      <c r="I160" s="93"/>
      <c r="J160" s="530">
        <f t="shared" si="46"/>
        <v>0.8305405405405405</v>
      </c>
      <c r="K160" s="93">
        <f>(2062+2231)/2</f>
        <v>2146.5</v>
      </c>
      <c r="L160" s="93">
        <f t="shared" si="47"/>
        <v>157.61170782591665</v>
      </c>
      <c r="M160" s="93">
        <f t="shared" si="48"/>
        <v>0.125</v>
      </c>
    </row>
    <row r="161" spans="2:13">
      <c r="B161" s="712"/>
      <c r="C161" s="712" t="s">
        <v>709</v>
      </c>
      <c r="D161" s="284">
        <v>110</v>
      </c>
      <c r="E161" s="93" t="s">
        <v>707</v>
      </c>
      <c r="F161" s="93">
        <f>0.647-(0.0006*D161)</f>
        <v>0.58100000000000007</v>
      </c>
      <c r="G161" s="93">
        <f t="shared" si="44"/>
        <v>3.7</v>
      </c>
      <c r="H161" s="530">
        <f t="shared" si="45"/>
        <v>14.917176929365027</v>
      </c>
      <c r="I161" s="93"/>
      <c r="J161" s="530">
        <f t="shared" si="46"/>
        <v>0.84297297297297291</v>
      </c>
      <c r="K161" s="93">
        <f>(2432+3116)/2</f>
        <v>2774</v>
      </c>
      <c r="L161" s="93">
        <f t="shared" si="47"/>
        <v>185.96011920588512</v>
      </c>
      <c r="M161" s="93">
        <f t="shared" si="48"/>
        <v>0.125</v>
      </c>
    </row>
    <row r="162" spans="2:13">
      <c r="B162" s="712"/>
      <c r="C162" s="712"/>
      <c r="D162" s="284">
        <v>110</v>
      </c>
      <c r="E162" s="93" t="s">
        <v>706</v>
      </c>
      <c r="F162" s="93">
        <f>0.7689-(0.0005*D162)</f>
        <v>0.71389999999999998</v>
      </c>
      <c r="G162" s="93">
        <f t="shared" si="44"/>
        <v>3.7</v>
      </c>
      <c r="H162" s="530">
        <f t="shared" si="45"/>
        <v>11.622896326249952</v>
      </c>
      <c r="I162" s="93"/>
      <c r="J162" s="530">
        <f t="shared" si="46"/>
        <v>0.80705405405405417</v>
      </c>
      <c r="K162" s="93">
        <f>(2432+3116)/2</f>
        <v>2774</v>
      </c>
      <c r="L162" s="93">
        <f t="shared" si="47"/>
        <v>238.66684534860786</v>
      </c>
      <c r="M162" s="93">
        <f t="shared" si="48"/>
        <v>0.125</v>
      </c>
    </row>
    <row r="163" spans="2:13">
      <c r="B163" s="712"/>
      <c r="C163" s="712"/>
      <c r="D163" s="284">
        <v>110</v>
      </c>
      <c r="E163" s="93" t="s">
        <v>705</v>
      </c>
      <c r="F163" s="93">
        <f>0.7897-(0.0004*D163)</f>
        <v>0.74569999999999992</v>
      </c>
      <c r="G163" s="93">
        <f t="shared" si="44"/>
        <v>3.7</v>
      </c>
      <c r="H163" s="530">
        <f t="shared" si="45"/>
        <v>11.008745956762269</v>
      </c>
      <c r="I163" s="93"/>
      <c r="J163" s="530">
        <f t="shared" si="46"/>
        <v>0.79845945945945951</v>
      </c>
      <c r="K163" s="93">
        <f>(2432+3116)/2</f>
        <v>2774</v>
      </c>
      <c r="L163" s="93">
        <f t="shared" si="47"/>
        <v>251.98147099543465</v>
      </c>
      <c r="M163" s="93">
        <f t="shared" si="48"/>
        <v>0.125</v>
      </c>
    </row>
    <row r="164" spans="2:13">
      <c r="B164" s="712"/>
      <c r="C164" s="712"/>
      <c r="D164" s="284">
        <v>110</v>
      </c>
      <c r="E164" s="93" t="s">
        <v>704</v>
      </c>
      <c r="F164" s="93">
        <f>0.8072-(0.0003*D164)</f>
        <v>0.7742</v>
      </c>
      <c r="G164" s="93">
        <f t="shared" si="44"/>
        <v>3.7</v>
      </c>
      <c r="H164" s="530">
        <f t="shared" si="45"/>
        <v>10.501198480684231</v>
      </c>
      <c r="I164" s="93"/>
      <c r="J164" s="530">
        <f t="shared" si="46"/>
        <v>0.79075675675675683</v>
      </c>
      <c r="K164" s="93">
        <f>(2432+3116)/2</f>
        <v>2774</v>
      </c>
      <c r="L164" s="93">
        <f t="shared" si="47"/>
        <v>264.16032466222401</v>
      </c>
      <c r="M164" s="93">
        <f t="shared" si="48"/>
        <v>0.125</v>
      </c>
    </row>
    <row r="165" spans="2:13">
      <c r="B165" s="7" t="s">
        <v>0</v>
      </c>
      <c r="C165" s="7"/>
      <c r="D165" s="7"/>
      <c r="E165" s="7"/>
      <c r="F165" s="7"/>
      <c r="G165" s="7"/>
      <c r="H165" s="107">
        <f>SUMPRODUCT(H157:H164,$M$127:$M$134)</f>
        <v>16.734829667209478</v>
      </c>
      <c r="I165" s="107">
        <f>SUMPRODUCT(I157:I164,$M$127:$M$134)</f>
        <v>0</v>
      </c>
      <c r="J165" s="107">
        <f>SUMPRODUCT(J157:J164,$M$127:$M$134)</f>
        <v>0.83939527027027039</v>
      </c>
      <c r="K165" s="107">
        <f>SUMPRODUCT(K157:K164,$M$127:$M$134)</f>
        <v>2460.25</v>
      </c>
      <c r="L165" s="107">
        <f>SUMPRODUCT(L157:L164,$M$127:$M$134)</f>
        <v>176.70227055778895</v>
      </c>
      <c r="M165" s="7"/>
    </row>
  </sheetData>
  <mergeCells count="12">
    <mergeCell ref="B127:B134"/>
    <mergeCell ref="C127:C130"/>
    <mergeCell ref="C131:C134"/>
    <mergeCell ref="C140:C143"/>
    <mergeCell ref="B136:B143"/>
    <mergeCell ref="C136:C139"/>
    <mergeCell ref="B148:B155"/>
    <mergeCell ref="C148:C151"/>
    <mergeCell ref="C152:C155"/>
    <mergeCell ref="B157:B164"/>
    <mergeCell ref="C157:C160"/>
    <mergeCell ref="C161:C164"/>
  </mergeCells>
  <phoneticPr fontId="35" type="noConversion"/>
  <dataValidations count="5">
    <dataValidation type="list" allowBlank="1" showInputMessage="1" showErrorMessage="1" sqref="C59:L59" xr:uid="{5B706FB1-3381-4ED9-A00B-4D4248CFF581}">
      <formula1>$N$19:$AQ$19</formula1>
    </dataValidation>
    <dataValidation type="list" allowBlank="1" showInputMessage="1" showErrorMessage="1" sqref="E11:E20" xr:uid="{1B8F76FA-9787-4007-985A-CF664026EBB3}">
      <formula1>$N$16:$O$16</formula1>
    </dataValidation>
    <dataValidation type="list" allowBlank="1" showInputMessage="1" showErrorMessage="1" sqref="D11:D20" xr:uid="{F75106B1-7551-4238-813C-3B14CB1145C7}">
      <formula1>$N$22:$AE$22</formula1>
    </dataValidation>
    <dataValidation type="list" allowBlank="1" showInputMessage="1" showErrorMessage="1" sqref="B11:C20" xr:uid="{835069D5-FD11-4D43-9006-3550AE99959F}">
      <formula1>$N$7:$Q$7</formula1>
    </dataValidation>
    <dataValidation type="list" allowBlank="1" showInputMessage="1" showErrorMessage="1" sqref="D7" xr:uid="{9A4D8791-CB1F-4771-889D-185D878EF7DB}">
      <formula1>$N$11:$O$11</formula1>
    </dataValidation>
  </dataValidations>
  <hyperlinks>
    <hyperlink ref="E118" r:id="rId1" xr:uid="{12197E49-2302-4BF6-BA39-42363D6133D7}"/>
  </hyperlinks>
  <pageMargins left="0.7" right="0.7" top="0.75" bottom="0.75" header="0.3" footer="0.3"/>
  <pageSetup orientation="portrait" r:id="rId2"/>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5E99-5388-42B0-881E-A3A0D691D897}">
  <sheetPr codeName="Sheet49">
    <tabColor indexed="60"/>
  </sheetPr>
  <dimension ref="A1:AQ135"/>
  <sheetViews>
    <sheetView topLeftCell="A45" zoomScaleNormal="100" workbookViewId="0">
      <selection activeCell="E84" sqref="E8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6.28515625" style="1" customWidth="1"/>
    <col min="10" max="10" width="20.8554687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Low Flow Showerhead</v>
      </c>
      <c r="C7" s="98" t="s">
        <v>819</v>
      </c>
      <c r="D7" s="97" t="s">
        <v>212</v>
      </c>
      <c r="E7" s="222">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Showerhead_Res, E - HWat  (RET)</v>
      </c>
      <c r="J11" s="83" t="str">
        <f t="shared" ref="J11:J20" si="3">IF(B11="","",CONCATENATE($C$7,IF(C11="","",CONCATENATE(" with ",C11," Secondary Fuel"))))</f>
        <v>Low Flow Showerhead</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Low Flow Showerhead_Res, P - HWat  (RET)</v>
      </c>
      <c r="J12" s="83" t="str">
        <f t="shared" si="3"/>
        <v>Low Flow Showerhead</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Low Flow Showerhead_Res, E - HWat  (RET)</v>
      </c>
      <c r="D33" s="83" t="str">
        <f t="shared" ca="1" si="5"/>
        <v>Low Flow Showerhead_Res,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Showerhead_Res, E - HWat  (RET)</v>
      </c>
      <c r="N33" s="84" t="str">
        <f t="shared" ca="1" si="6"/>
        <v>Low Flow Showerhead_Res,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Low Flow Showerhead</v>
      </c>
      <c r="D34" s="83" t="str">
        <f t="shared" si="8"/>
        <v>Low Flow Showerhead</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Low Flow Showerhead_Res, E - HWat  (RET)</v>
      </c>
      <c r="D35" s="82" t="str">
        <f ca="1">D33</f>
        <v>Low Flow Showerhead_Res,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Low Flow Showerhead</v>
      </c>
      <c r="D36" s="82" t="str">
        <f>D34</f>
        <v>Low Flow Showerhead</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818</v>
      </c>
      <c r="D38" s="82" t="s">
        <v>818</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Flow Showerhead</v>
      </c>
      <c r="D52" s="66" t="str">
        <f t="shared" si="16"/>
        <v>Low Flow Showerhead</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817</v>
      </c>
      <c r="D55" s="65" t="s">
        <v>817</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816</v>
      </c>
      <c r="D56" s="65" t="s">
        <v>816</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F129</f>
        <v>273.71199333611537</v>
      </c>
      <c r="D64" s="67">
        <f>G135</f>
        <v>12.850088350839696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H129</f>
        <v>0.36170212765957455</v>
      </c>
      <c r="D65" s="74">
        <f>H135</f>
        <v>0.3617021276595746</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12</v>
      </c>
      <c r="D68" s="71">
        <f>C111</f>
        <v>12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J129</f>
        <v>4.3958730046568188E-2</v>
      </c>
      <c r="D69" s="70">
        <f>J135</f>
        <v>0.94590124602231507</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Low Flow Showerhead</v>
      </c>
      <c r="D71" s="66" t="str">
        <f t="shared" si="23"/>
        <v>Low Flow Showerhead</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t="e">
        <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815</v>
      </c>
    </row>
    <row r="107" spans="1:22" s="63" customFormat="1" ht="15.75" thickBot="1">
      <c r="B107" s="63" t="s">
        <v>50</v>
      </c>
    </row>
    <row r="109" spans="1:22">
      <c r="B109" s="94" t="s">
        <v>520</v>
      </c>
      <c r="C109" s="94" t="s">
        <v>519</v>
      </c>
      <c r="D109" s="94" t="s">
        <v>409</v>
      </c>
      <c r="E109" s="94" t="s">
        <v>122</v>
      </c>
    </row>
    <row r="110" spans="1:22">
      <c r="B110" s="93" t="s">
        <v>518</v>
      </c>
      <c r="C110" s="93">
        <v>10</v>
      </c>
      <c r="D110" s="93" t="s">
        <v>812</v>
      </c>
      <c r="E110" s="93"/>
    </row>
    <row r="111" spans="1:22">
      <c r="B111" s="93" t="s">
        <v>438</v>
      </c>
      <c r="C111" s="93">
        <v>12</v>
      </c>
      <c r="D111" s="93" t="s">
        <v>812</v>
      </c>
      <c r="E111" s="93"/>
    </row>
    <row r="112" spans="1:22">
      <c r="B112" s="93" t="s">
        <v>484</v>
      </c>
      <c r="C112" s="97">
        <v>2.7799999999999998E-2</v>
      </c>
      <c r="D112" s="93" t="s">
        <v>812</v>
      </c>
      <c r="E112" s="93"/>
      <c r="F112" s="26"/>
      <c r="G112" s="26"/>
      <c r="H112" s="26"/>
      <c r="I112" s="26"/>
      <c r="J112" s="26"/>
      <c r="K112" s="26"/>
      <c r="L112" s="26"/>
      <c r="M112" s="26"/>
      <c r="N112" s="26"/>
      <c r="O112" s="27"/>
      <c r="P112" s="27"/>
      <c r="Q112" s="27"/>
      <c r="R112" s="27"/>
      <c r="S112" s="27"/>
      <c r="T112" s="27"/>
      <c r="U112" s="26"/>
    </row>
    <row r="113" spans="2:21">
      <c r="B113" s="93" t="s">
        <v>814</v>
      </c>
      <c r="C113" s="93">
        <v>1</v>
      </c>
      <c r="D113" s="93" t="s">
        <v>812</v>
      </c>
      <c r="E113" s="286"/>
      <c r="F113" s="26"/>
      <c r="G113" s="26"/>
      <c r="H113" s="26"/>
      <c r="I113" s="26"/>
      <c r="J113" s="26"/>
      <c r="K113" s="26"/>
      <c r="L113" s="26"/>
      <c r="M113" s="26"/>
      <c r="N113" s="26"/>
      <c r="O113" s="27"/>
      <c r="P113" s="27"/>
      <c r="Q113" s="27"/>
      <c r="R113" s="27"/>
      <c r="S113" s="27"/>
      <c r="T113" s="27"/>
      <c r="U113" s="26"/>
    </row>
    <row r="114" spans="2:21">
      <c r="B114" s="93" t="s">
        <v>813</v>
      </c>
      <c r="C114" s="93">
        <v>2.35</v>
      </c>
      <c r="D114" s="93" t="s">
        <v>812</v>
      </c>
      <c r="E114" s="286"/>
      <c r="F114" s="26"/>
      <c r="G114" s="26"/>
      <c r="H114" s="26"/>
      <c r="I114" s="26"/>
      <c r="J114" s="26"/>
      <c r="K114" s="26"/>
      <c r="L114" s="26"/>
      <c r="M114" s="26"/>
      <c r="N114" s="26"/>
      <c r="O114" s="27"/>
      <c r="P114" s="27"/>
      <c r="Q114" s="27"/>
      <c r="R114" s="27"/>
      <c r="S114" s="27"/>
      <c r="T114" s="27"/>
      <c r="U114" s="26"/>
    </row>
    <row r="115" spans="2:21">
      <c r="B115" s="93" t="s">
        <v>794</v>
      </c>
      <c r="C115" s="93">
        <v>7.8</v>
      </c>
      <c r="D115" s="93" t="s">
        <v>812</v>
      </c>
      <c r="E115" s="286"/>
      <c r="F115" s="26"/>
      <c r="G115" s="26"/>
      <c r="H115" s="26"/>
      <c r="I115" s="26"/>
      <c r="J115" s="26"/>
      <c r="K115" s="26"/>
      <c r="L115" s="26"/>
      <c r="M115" s="26"/>
      <c r="N115" s="26"/>
      <c r="O115" s="27"/>
      <c r="P115" s="27"/>
      <c r="Q115" s="27"/>
      <c r="R115" s="27"/>
      <c r="S115" s="27"/>
      <c r="T115" s="27"/>
      <c r="U115" s="26"/>
    </row>
    <row r="116" spans="2:21">
      <c r="B116" s="93" t="s">
        <v>798</v>
      </c>
      <c r="C116" s="93">
        <v>1.5</v>
      </c>
      <c r="D116" s="93" t="s">
        <v>812</v>
      </c>
      <c r="E116" s="286"/>
    </row>
    <row r="117" spans="2:21">
      <c r="B117" s="93" t="s">
        <v>793</v>
      </c>
      <c r="C117" s="93">
        <v>7.8</v>
      </c>
      <c r="D117" s="93" t="s">
        <v>812</v>
      </c>
      <c r="E117" s="93"/>
    </row>
    <row r="118" spans="2:21">
      <c r="B118" s="93" t="s">
        <v>738</v>
      </c>
      <c r="C118" s="93" t="s">
        <v>35</v>
      </c>
      <c r="D118" s="93" t="s">
        <v>812</v>
      </c>
      <c r="E118" s="93"/>
    </row>
    <row r="119" spans="2:21">
      <c r="B119" s="93" t="s">
        <v>741</v>
      </c>
      <c r="C119" s="93">
        <v>0.6</v>
      </c>
      <c r="D119" s="93" t="s">
        <v>812</v>
      </c>
      <c r="E119" s="93"/>
    </row>
    <row r="120" spans="2:21">
      <c r="B120" s="93" t="s">
        <v>809</v>
      </c>
      <c r="C120" s="93" t="s">
        <v>35</v>
      </c>
      <c r="D120" s="93" t="s">
        <v>812</v>
      </c>
      <c r="E120" s="93"/>
    </row>
    <row r="121" spans="2:21">
      <c r="B121" s="93" t="s">
        <v>790</v>
      </c>
      <c r="C121" s="93">
        <v>0.125</v>
      </c>
      <c r="D121" s="93" t="s">
        <v>812</v>
      </c>
      <c r="E121" s="93"/>
    </row>
    <row r="122" spans="2:21">
      <c r="B122" s="93" t="s">
        <v>2082</v>
      </c>
      <c r="C122" s="93" t="s">
        <v>35</v>
      </c>
      <c r="D122" s="93" t="s">
        <v>812</v>
      </c>
      <c r="E122" s="93"/>
    </row>
    <row r="123" spans="2:21">
      <c r="B123" s="93"/>
      <c r="C123" s="93"/>
      <c r="D123" s="93"/>
      <c r="E123" s="93"/>
    </row>
    <row r="125" spans="2:21">
      <c r="B125" s="94" t="s">
        <v>810</v>
      </c>
      <c r="C125" s="94" t="s">
        <v>738</v>
      </c>
      <c r="D125" s="94" t="s">
        <v>809</v>
      </c>
      <c r="E125" s="94" t="s">
        <v>309</v>
      </c>
      <c r="F125" s="94" t="s">
        <v>500</v>
      </c>
      <c r="G125" s="94" t="s">
        <v>499</v>
      </c>
      <c r="H125" s="94" t="s">
        <v>244</v>
      </c>
      <c r="I125" s="94" t="s">
        <v>9</v>
      </c>
      <c r="J125" s="94" t="s">
        <v>8</v>
      </c>
      <c r="K125" s="94" t="s">
        <v>497</v>
      </c>
    </row>
    <row r="126" spans="2:21">
      <c r="B126" s="93" t="s">
        <v>808</v>
      </c>
      <c r="C126" s="93">
        <v>2.56</v>
      </c>
      <c r="D126" s="93">
        <v>1.79</v>
      </c>
      <c r="E126" s="93">
        <v>286</v>
      </c>
      <c r="F126" s="93">
        <f>(($C$114*$C$115)-($C$116*$C$117))*C126*$C$119*365.25*$C$121/D126</f>
        <v>259.7478435754191</v>
      </c>
      <c r="G126" s="93">
        <f>F126*$C$112/E126</f>
        <v>2.5248216962925351E-2</v>
      </c>
      <c r="H126" s="93">
        <f>F126/(($C$114*$C$115)*C126*$C$119*365.25*$C$121/D126)</f>
        <v>0.3617021276595746</v>
      </c>
      <c r="I126" s="93"/>
      <c r="J126" s="93">
        <f>$C$111/F126</f>
        <v>4.6198651102624992E-2</v>
      </c>
      <c r="K126" s="93">
        <f>1/COUNT($J$126:$J$128)</f>
        <v>0.33333333333333331</v>
      </c>
    </row>
    <row r="127" spans="2:21">
      <c r="B127" s="93" t="s">
        <v>807</v>
      </c>
      <c r="C127" s="93">
        <v>2.1</v>
      </c>
      <c r="D127" s="93">
        <v>1.3</v>
      </c>
      <c r="E127" s="93">
        <v>236</v>
      </c>
      <c r="F127" s="93">
        <f>(($C$114*$C$115)-($C$116*$C$117))*C127*$C$119*365.25*$C$121/D127</f>
        <v>293.38706250000013</v>
      </c>
      <c r="G127" s="93">
        <f>F127*$C$112/E127</f>
        <v>3.4560001430084759E-2</v>
      </c>
      <c r="H127" s="93">
        <f>F127/(($C$114*$C$115)*C127*$C$119*365.25*$C$121/D127)</f>
        <v>0.36170212765957466</v>
      </c>
      <c r="I127" s="93"/>
      <c r="J127" s="93">
        <f>$C$111/F127</f>
        <v>4.0901599060797017E-2</v>
      </c>
      <c r="K127" s="93">
        <f>1/COUNT($J$126:$J$128)</f>
        <v>0.33333333333333331</v>
      </c>
    </row>
    <row r="128" spans="2:21">
      <c r="B128" s="93" t="s">
        <v>735</v>
      </c>
      <c r="C128" s="93">
        <v>2.42</v>
      </c>
      <c r="D128" s="93">
        <v>1.64</v>
      </c>
      <c r="E128" s="93">
        <f>(E127+E126)/2</f>
        <v>261</v>
      </c>
      <c r="F128" s="93">
        <f>(($C$114*$C$115)-($C$116*$C$117))*C128*$C$119*365.25*$C$121/D128</f>
        <v>268.00107393292689</v>
      </c>
      <c r="G128" s="93">
        <f>F128*$C$112/E128</f>
        <v>2.854570825798991E-2</v>
      </c>
      <c r="H128" s="93">
        <f>F128/(($C$114*$C$115)*C128*$C$119*365.25*$C$121/D128)</f>
        <v>0.36170212765957449</v>
      </c>
      <c r="I128" s="93"/>
      <c r="J128" s="93">
        <f>$C$111/F128</f>
        <v>4.4775939976282562E-2</v>
      </c>
      <c r="K128" s="93">
        <f>1/COUNT($J$126:$J$128)</f>
        <v>0.33333333333333331</v>
      </c>
    </row>
    <row r="129" spans="2:11">
      <c r="B129" s="7" t="s">
        <v>0</v>
      </c>
      <c r="C129" s="7"/>
      <c r="D129" s="7"/>
      <c r="E129" s="7"/>
      <c r="F129" s="7">
        <f>SUMPRODUCT(F126:F128,$K$126:$K$128)</f>
        <v>273.71199333611537</v>
      </c>
      <c r="G129" s="7">
        <f>SUMPRODUCT(G126:G128,$K$126:$K$128)</f>
        <v>2.945130888366667E-2</v>
      </c>
      <c r="H129" s="7">
        <f>SUMPRODUCT(H126:H128,$K$126:$K$128)</f>
        <v>0.36170212765957455</v>
      </c>
      <c r="I129" s="7">
        <f>SUMPRODUCT(I126:I128,$K$126:$K$128)</f>
        <v>0</v>
      </c>
      <c r="J129" s="7">
        <f>SUMPRODUCT(J126:J128,$K$126:$K$128)</f>
        <v>4.3958730046568188E-2</v>
      </c>
      <c r="K129" s="93"/>
    </row>
    <row r="131" spans="2:11">
      <c r="B131" s="94" t="s">
        <v>810</v>
      </c>
      <c r="C131" s="94" t="s">
        <v>738</v>
      </c>
      <c r="D131" s="94" t="s">
        <v>809</v>
      </c>
      <c r="E131" s="94" t="s">
        <v>309</v>
      </c>
      <c r="F131" s="94" t="s">
        <v>2082</v>
      </c>
      <c r="G131" s="94" t="s">
        <v>2017</v>
      </c>
      <c r="H131" s="94" t="s">
        <v>244</v>
      </c>
      <c r="I131" s="94" t="s">
        <v>9</v>
      </c>
      <c r="J131" s="94" t="s">
        <v>8</v>
      </c>
      <c r="K131" s="94" t="s">
        <v>497</v>
      </c>
    </row>
    <row r="132" spans="2:11">
      <c r="B132" s="93" t="s">
        <v>808</v>
      </c>
      <c r="C132" s="93">
        <v>2.56</v>
      </c>
      <c r="D132" s="93">
        <v>1.79</v>
      </c>
      <c r="E132" s="93">
        <v>286</v>
      </c>
      <c r="F132" s="93">
        <v>5.4000000000000003E-3</v>
      </c>
      <c r="G132" s="93">
        <f>(($C$114*$C$115)-($C$116*$C$117))*C132*$C$119*365.25*F132/D132</f>
        <v>11.221106842458106</v>
      </c>
      <c r="H132" s="93">
        <f>G132/(($C$114*$C$115)*C132*$C$119*365.25*F132/D132)</f>
        <v>0.36170212765957466</v>
      </c>
      <c r="I132" s="93"/>
      <c r="J132" s="93">
        <f>$C$111/G132</f>
        <v>1.0694132199681712</v>
      </c>
      <c r="K132" s="93">
        <f>1/COUNT($J$126:$J$128)</f>
        <v>0.33333333333333331</v>
      </c>
    </row>
    <row r="133" spans="2:11">
      <c r="B133" s="93" t="s">
        <v>807</v>
      </c>
      <c r="C133" s="93">
        <v>2.1</v>
      </c>
      <c r="D133" s="93">
        <v>1.3</v>
      </c>
      <c r="E133" s="93">
        <v>236</v>
      </c>
      <c r="F133" s="93">
        <v>6.3E-3</v>
      </c>
      <c r="G133" s="93">
        <f>(($C$114*$C$115)-($C$116*$C$117))*C133*$C$119*365.25*F133/D133</f>
        <v>14.786707950000006</v>
      </c>
      <c r="H133" s="93">
        <f>G133/(($C$114*$C$115)*C133*$C$119*365.25*F133/D133)</f>
        <v>0.36170212765957466</v>
      </c>
      <c r="I133" s="93"/>
      <c r="J133" s="93">
        <f>$C$111/G133</f>
        <v>0.81153966390470267</v>
      </c>
      <c r="K133" s="93">
        <f>1/COUNT($J$126:$J$128)</f>
        <v>0.33333333333333331</v>
      </c>
    </row>
    <row r="134" spans="2:11">
      <c r="B134" s="93" t="s">
        <v>735</v>
      </c>
      <c r="C134" s="93">
        <v>2.42</v>
      </c>
      <c r="D134" s="93">
        <v>1.64</v>
      </c>
      <c r="E134" s="93">
        <f>(E133+E132)/2</f>
        <v>261</v>
      </c>
      <c r="F134" s="93">
        <f>AVERAGE(F132:F133)</f>
        <v>5.8500000000000002E-3</v>
      </c>
      <c r="G134" s="93">
        <f>(($C$114*$C$115)-($C$116*$C$117))*C134*$C$119*365.25*F134/D134</f>
        <v>12.542450260060981</v>
      </c>
      <c r="H134" s="93">
        <f>G134/(($C$114*$C$115)*C134*$C$119*365.25*F134/D134)</f>
        <v>0.36170212765957455</v>
      </c>
      <c r="I134" s="93"/>
      <c r="J134" s="93">
        <f>$C$111/G134</f>
        <v>0.95675085419407169</v>
      </c>
      <c r="K134" s="93">
        <f>1/COUNT($J$126:$J$128)</f>
        <v>0.33333333333333331</v>
      </c>
    </row>
    <row r="135" spans="2:11">
      <c r="B135" s="7" t="s">
        <v>0</v>
      </c>
      <c r="C135" s="7"/>
      <c r="D135" s="7"/>
      <c r="E135" s="7"/>
      <c r="F135" s="7"/>
      <c r="G135" s="7">
        <f>SUMPRODUCT(G132:G134,$K$126:$K$128)</f>
        <v>12.850088350839696</v>
      </c>
      <c r="H135" s="7">
        <f>SUMPRODUCT(H132:H134,$K$126:$K$128)</f>
        <v>0.3617021276595746</v>
      </c>
      <c r="I135" s="7">
        <f>SUMPRODUCT(I132:I134,$K$126:$K$128)</f>
        <v>0</v>
      </c>
      <c r="J135" s="7">
        <f>SUMPRODUCT(J132:J134,$K$126:$K$128)</f>
        <v>0.94590124602231507</v>
      </c>
      <c r="K135" s="93"/>
    </row>
  </sheetData>
  <phoneticPr fontId="35" type="noConversion"/>
  <dataValidations count="5">
    <dataValidation type="list" allowBlank="1" showInputMessage="1" showErrorMessage="1" sqref="C59:L59" xr:uid="{00000000-0002-0000-5300-000004000000}">
      <formula1>$N$19:$AQ$19</formula1>
    </dataValidation>
    <dataValidation type="list" allowBlank="1" showInputMessage="1" showErrorMessage="1" sqref="E11:E20" xr:uid="{00000000-0002-0000-5300-000003000000}">
      <formula1>$N$16:$O$16</formula1>
    </dataValidation>
    <dataValidation type="list" allowBlank="1" showInputMessage="1" showErrorMessage="1" sqref="D11:D20" xr:uid="{00000000-0002-0000-5300-000002000000}">
      <formula1>$N$22:$AE$22</formula1>
    </dataValidation>
    <dataValidation type="list" allowBlank="1" showInputMessage="1" showErrorMessage="1" sqref="B11:C20" xr:uid="{00000000-0002-0000-5300-000001000000}">
      <formula1>$N$7:$Q$7</formula1>
    </dataValidation>
    <dataValidation type="list" allowBlank="1" showInputMessage="1" showErrorMessage="1" sqref="D7" xr:uid="{00000000-0002-0000-5300-000000000000}">
      <formula1>$N$11:$O$11</formula1>
    </dataValidation>
  </dataValidations>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8EF9E-8AA5-4A53-BF1F-F6DC0A409302}">
  <sheetPr codeName="Sheet46">
    <tabColor indexed="60"/>
  </sheetPr>
  <dimension ref="A1:AQ134"/>
  <sheetViews>
    <sheetView topLeftCell="A24"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4.42578125" style="1" customWidth="1"/>
    <col min="8" max="8" width="16.42578125" style="1" customWidth="1"/>
    <col min="9" max="9" width="15.42578125" style="1" customWidth="1"/>
    <col min="10" max="10" width="12.85546875" style="1" customWidth="1"/>
    <col min="11" max="11" width="20.42578125" style="1" bestFit="1" customWidth="1"/>
    <col min="12" max="12" width="19.85546875" style="1" bestFit="1" customWidth="1"/>
    <col min="13" max="13" width="18.42578125" style="1" customWidth="1"/>
    <col min="14" max="14" width="22.85546875" style="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Pipe Insulation</v>
      </c>
      <c r="C7" s="98" t="s">
        <v>840</v>
      </c>
      <c r="D7" s="97" t="s">
        <v>212</v>
      </c>
      <c r="E7" s="97">
        <f>C110</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Pipe Insulation_Res, E - HWat  (RET)</v>
      </c>
      <c r="J11" s="83" t="str">
        <f t="shared" ref="J11:J20" si="3">IF(B11="","",CONCATENATE($C$7,IF(C11="","",CONCATENATE(" with ",C11," Secondary Fuel"))))</f>
        <v>Pipe Insulation</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Pipe Insulation_Res, P - HWat  (RET)</v>
      </c>
      <c r="J12" s="83" t="str">
        <f t="shared" si="3"/>
        <v>Pipe Insulation</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Pipe Insulation_Res, E - HWat  (RET)</v>
      </c>
      <c r="D33" s="83" t="str">
        <f t="shared" ca="1" si="5"/>
        <v>Pipe Insulation_Res,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Pipe Insulation_Res, E - HWat  (RET)</v>
      </c>
      <c r="N33" s="84" t="str">
        <f t="shared" ca="1" si="6"/>
        <v>Pipe Insulation_Res,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Pipe Insulation</v>
      </c>
      <c r="D34" s="83" t="str">
        <f t="shared" si="8"/>
        <v>Pipe Insulation</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Pipe Insulation_Res, E - HWat  (RET)</v>
      </c>
      <c r="D35" s="82" t="str">
        <f ca="1">D33</f>
        <v>Pipe Insulation_Res,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Pipe Insulation</v>
      </c>
      <c r="D36" s="82" t="str">
        <f>D34</f>
        <v>Pipe Insulation</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839</v>
      </c>
      <c r="D38" s="82" t="s">
        <v>839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Pipe Insulation</v>
      </c>
      <c r="D52" s="66" t="str">
        <f t="shared" si="16"/>
        <v>Pipe Insulation</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838</v>
      </c>
      <c r="D55" s="65" t="s">
        <v>838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837</v>
      </c>
      <c r="D56" s="65" t="s">
        <v>837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t="s">
        <v>836</v>
      </c>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J127</f>
        <v>267.32995265742613</v>
      </c>
      <c r="D64" s="67">
        <f>J134</f>
        <v>12.245030171202673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L127</f>
        <v>0.87815582449229401</v>
      </c>
      <c r="D65" s="74">
        <f>L134</f>
        <v>0.87815582449229412</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M127</f>
        <v>16.065899999999999</v>
      </c>
      <c r="D68" s="71">
        <f>M134</f>
        <v>16.065899999999999</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N127</f>
        <v>6.1615519435871915E-2</v>
      </c>
      <c r="D69" s="70">
        <f>N134</f>
        <v>1.3451721770757024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Pipe Insulation</v>
      </c>
      <c r="D71" s="66" t="str">
        <f t="shared" si="23"/>
        <v>Pipe Insulation</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835</v>
      </c>
    </row>
    <row r="107" spans="1:22" s="63" customFormat="1" ht="15.75" thickBot="1">
      <c r="B107" s="63" t="s">
        <v>50</v>
      </c>
    </row>
    <row r="109" spans="1:22">
      <c r="B109" s="94" t="s">
        <v>520</v>
      </c>
      <c r="C109" s="94" t="s">
        <v>519</v>
      </c>
      <c r="D109" s="94" t="s">
        <v>409</v>
      </c>
      <c r="E109" s="94" t="s">
        <v>122</v>
      </c>
    </row>
    <row r="110" spans="1:22">
      <c r="B110" s="93" t="s">
        <v>518</v>
      </c>
      <c r="C110" s="93">
        <v>15</v>
      </c>
      <c r="D110" s="93" t="s">
        <v>832</v>
      </c>
      <c r="E110" s="93"/>
    </row>
    <row r="111" spans="1:22">
      <c r="B111" s="93" t="s">
        <v>438</v>
      </c>
      <c r="C111" s="93" t="s">
        <v>35</v>
      </c>
      <c r="D111" s="93" t="s">
        <v>832</v>
      </c>
      <c r="E111" s="93"/>
    </row>
    <row r="112" spans="1:22">
      <c r="B112" s="93" t="s">
        <v>484</v>
      </c>
      <c r="C112" s="93">
        <v>1</v>
      </c>
      <c r="D112" s="93" t="s">
        <v>832</v>
      </c>
      <c r="E112" s="93"/>
    </row>
    <row r="113" spans="2:15">
      <c r="B113" s="93" t="s">
        <v>834</v>
      </c>
      <c r="C113" s="93">
        <v>1</v>
      </c>
      <c r="D113" s="93" t="s">
        <v>832</v>
      </c>
      <c r="E113" s="93"/>
    </row>
    <row r="114" spans="2:15">
      <c r="B114" s="93" t="s">
        <v>829</v>
      </c>
      <c r="C114" s="93" t="s">
        <v>35</v>
      </c>
      <c r="D114" s="93" t="s">
        <v>832</v>
      </c>
      <c r="E114" s="93"/>
    </row>
    <row r="115" spans="2:15">
      <c r="B115" s="93" t="s">
        <v>824</v>
      </c>
      <c r="C115" s="93">
        <v>3</v>
      </c>
      <c r="D115" s="93" t="s">
        <v>832</v>
      </c>
      <c r="E115" s="93"/>
    </row>
    <row r="116" spans="2:15">
      <c r="B116" s="93" t="s">
        <v>830</v>
      </c>
      <c r="C116" s="93" t="s">
        <v>35</v>
      </c>
      <c r="D116" s="93" t="s">
        <v>832</v>
      </c>
      <c r="E116" s="93"/>
    </row>
    <row r="117" spans="2:15">
      <c r="B117" s="93" t="s">
        <v>833</v>
      </c>
      <c r="C117" s="93" t="s">
        <v>35</v>
      </c>
      <c r="D117" s="93" t="s">
        <v>832</v>
      </c>
      <c r="E117" s="93"/>
    </row>
    <row r="118" spans="2:15">
      <c r="B118" s="93" t="s">
        <v>758</v>
      </c>
      <c r="C118" s="93">
        <v>60</v>
      </c>
      <c r="D118" s="93" t="s">
        <v>832</v>
      </c>
      <c r="E118" s="93"/>
    </row>
    <row r="119" spans="2:15">
      <c r="B119" s="93" t="s">
        <v>756</v>
      </c>
      <c r="C119" s="93">
        <v>0.98</v>
      </c>
      <c r="D119" s="93" t="s">
        <v>832</v>
      </c>
      <c r="E119" s="93"/>
    </row>
    <row r="120" spans="2:15">
      <c r="B120" s="93" t="s">
        <v>2075</v>
      </c>
      <c r="C120" s="93">
        <f>'Drainwater Heat Recovery'!$F$138</f>
        <v>0.73</v>
      </c>
      <c r="D120" s="93" t="s">
        <v>740</v>
      </c>
      <c r="E120" s="93" t="s">
        <v>2078</v>
      </c>
    </row>
    <row r="122" spans="2:15">
      <c r="B122" s="94" t="s">
        <v>831</v>
      </c>
      <c r="C122" s="94" t="s">
        <v>830</v>
      </c>
      <c r="D122" s="94" t="s">
        <v>829</v>
      </c>
      <c r="E122" s="94" t="s">
        <v>828</v>
      </c>
      <c r="F122" s="94" t="s">
        <v>827</v>
      </c>
      <c r="G122" s="94" t="s">
        <v>826</v>
      </c>
      <c r="H122" s="94" t="s">
        <v>825</v>
      </c>
      <c r="I122" s="94" t="s">
        <v>824</v>
      </c>
      <c r="J122" s="94" t="s">
        <v>500</v>
      </c>
      <c r="K122" s="94" t="s">
        <v>499</v>
      </c>
      <c r="L122" s="94" t="s">
        <v>244</v>
      </c>
      <c r="M122" s="94" t="s">
        <v>9</v>
      </c>
      <c r="N122" s="94" t="s">
        <v>8</v>
      </c>
      <c r="O122" s="94" t="s">
        <v>497</v>
      </c>
    </row>
    <row r="123" spans="2:15">
      <c r="B123" s="286" t="s">
        <v>823</v>
      </c>
      <c r="C123" s="93">
        <v>0.14269999999999999</v>
      </c>
      <c r="D123" s="93">
        <v>0.44400000000000001</v>
      </c>
      <c r="E123" s="93">
        <v>0.67</v>
      </c>
      <c r="F123" s="93">
        <v>4</v>
      </c>
      <c r="G123" s="93">
        <v>2</v>
      </c>
      <c r="H123" s="93">
        <f>G123+(E123*F123)</f>
        <v>4.68</v>
      </c>
      <c r="I123" s="93">
        <f>3+D123</f>
        <v>3.444</v>
      </c>
      <c r="J123" s="93">
        <f>((1/D123)-(1/I123))*C123*H123*$C$118*8766/($C$119*3412)</f>
        <v>206.09268936965756</v>
      </c>
      <c r="K123" s="93">
        <f>J123*$C$112/8766</f>
        <v>2.3510459658870358E-2</v>
      </c>
      <c r="L123" s="93">
        <f>J123/(((1/D123))*C123*H123*$C$118*8766/($C$119*3412))</f>
        <v>0.87108013937282236</v>
      </c>
      <c r="M123" s="93">
        <f>(3+0.26)*H123</f>
        <v>15.256799999999998</v>
      </c>
      <c r="N123" s="93">
        <f>M123/J123</f>
        <v>7.4028826770437664E-2</v>
      </c>
      <c r="O123" s="93">
        <f>1/COUNT($N$123:$N$126)</f>
        <v>0.25</v>
      </c>
    </row>
    <row r="124" spans="2:15">
      <c r="B124" s="286" t="s">
        <v>822</v>
      </c>
      <c r="C124" s="93">
        <v>0.20549999999999999</v>
      </c>
      <c r="D124" s="93">
        <v>0.52100000000000002</v>
      </c>
      <c r="E124" s="93">
        <v>0.72</v>
      </c>
      <c r="F124" s="93">
        <v>4</v>
      </c>
      <c r="G124" s="93">
        <v>2</v>
      </c>
      <c r="H124" s="93">
        <f>G124+(E124*F124)</f>
        <v>4.88</v>
      </c>
      <c r="I124" s="93">
        <f>3+D124</f>
        <v>3.5209999999999999</v>
      </c>
      <c r="J124" s="93">
        <f>((1/D124)-(1/I124))*C124*H124*$C$118*8766/($C$119*3412)</f>
        <v>257.96855623857743</v>
      </c>
      <c r="K124" s="93">
        <f>J124*$C$112/8766</f>
        <v>2.9428308948046707E-2</v>
      </c>
      <c r="L124" s="93">
        <f>J124/(((1/D124))*C124*H124*$C$118*8766/($C$119*3412))</f>
        <v>0.85203067310423175</v>
      </c>
      <c r="M124" s="93">
        <f>(3+0.31)*H124</f>
        <v>16.152799999999999</v>
      </c>
      <c r="N124" s="93">
        <f>M124/J124</f>
        <v>6.2615383190583046E-2</v>
      </c>
      <c r="O124" s="93">
        <f>1/COUNT($N$123:$N$126)</f>
        <v>0.25</v>
      </c>
    </row>
    <row r="125" spans="2:15">
      <c r="B125" s="286" t="s">
        <v>821</v>
      </c>
      <c r="C125" s="93">
        <v>0.127</v>
      </c>
      <c r="D125" s="93">
        <v>0.33200000000000002</v>
      </c>
      <c r="E125" s="93">
        <v>0.73</v>
      </c>
      <c r="F125" s="93">
        <v>4</v>
      </c>
      <c r="G125" s="93">
        <v>2</v>
      </c>
      <c r="H125" s="93">
        <f>G125+(E125*F125)</f>
        <v>4.92</v>
      </c>
      <c r="I125" s="93">
        <f>3+D125</f>
        <v>3.3319999999999999</v>
      </c>
      <c r="J125" s="93">
        <f>((1/D125)-(1/I125))*C125*H125*$C$118*8766/($C$119*3412)</f>
        <v>266.54136686461896</v>
      </c>
      <c r="K125" s="93">
        <f>J125*$C$112/8766</f>
        <v>3.0406270461398467E-2</v>
      </c>
      <c r="L125" s="93">
        <f>J125/(((1/D125))*C125*H125*$C$118*8766/($C$119*3412))</f>
        <v>0.90036014405762288</v>
      </c>
      <c r="M125" s="93">
        <f>(3+0.26)*H125</f>
        <v>16.039199999999997</v>
      </c>
      <c r="N125" s="93">
        <f>M125/J125</f>
        <v>6.0175274812583175E-2</v>
      </c>
      <c r="O125" s="93">
        <f>1/COUNT($N$123:$N$126)</f>
        <v>0.25</v>
      </c>
    </row>
    <row r="126" spans="2:15">
      <c r="B126" s="286" t="s">
        <v>820</v>
      </c>
      <c r="C126" s="93">
        <v>0.17829999999999999</v>
      </c>
      <c r="D126" s="93">
        <v>0.374</v>
      </c>
      <c r="E126" s="93">
        <v>0.77</v>
      </c>
      <c r="F126" s="93">
        <v>4</v>
      </c>
      <c r="G126" s="93">
        <v>2</v>
      </c>
      <c r="H126" s="93">
        <f>G126+(E126*F126)</f>
        <v>5.08</v>
      </c>
      <c r="I126" s="93">
        <f>3+D126</f>
        <v>3.3740000000000001</v>
      </c>
      <c r="J126" s="93">
        <f>((1/D126)-(1/I126))*C126*H126*$C$118*8766/($C$119*3412)</f>
        <v>338.71719815685054</v>
      </c>
      <c r="K126" s="93">
        <f>J126*$C$112/8766</f>
        <v>3.863988114953805E-2</v>
      </c>
      <c r="L126" s="93">
        <f>J126/(((1/D126))*C126*H126*$C$118*8766/($C$119*3412))</f>
        <v>0.88915234143449928</v>
      </c>
      <c r="M126" s="93">
        <f>(3+0.31)*H126</f>
        <v>16.814800000000002</v>
      </c>
      <c r="N126" s="93">
        <f>M126/J126</f>
        <v>4.9642592969883784E-2</v>
      </c>
      <c r="O126" s="93">
        <f>1/COUNT($N$123:$N$126)</f>
        <v>0.25</v>
      </c>
    </row>
    <row r="127" spans="2:15">
      <c r="B127" s="7" t="s">
        <v>0</v>
      </c>
      <c r="C127" s="7"/>
      <c r="D127" s="7"/>
      <c r="E127" s="7"/>
      <c r="F127" s="7"/>
      <c r="G127" s="7"/>
      <c r="H127" s="7"/>
      <c r="I127" s="7"/>
      <c r="J127" s="7">
        <f>SUMPRODUCT(J123:J126,$O$123:$O$126)</f>
        <v>267.32995265742613</v>
      </c>
      <c r="K127" s="7">
        <f>SUMPRODUCT(K123:K126,$O$123:$O$126)</f>
        <v>3.0496230054463395E-2</v>
      </c>
      <c r="L127" s="7">
        <f>SUMPRODUCT(L123:L126,$O$123:$O$126)</f>
        <v>0.87815582449229401</v>
      </c>
      <c r="M127" s="7">
        <f>SUMPRODUCT(M123:M126,$O$123:$O$126)</f>
        <v>16.065899999999999</v>
      </c>
      <c r="N127" s="7">
        <f>SUMPRODUCT(N123:N126,$O$123:$O$126)</f>
        <v>6.1615519435871915E-2</v>
      </c>
      <c r="O127" s="93"/>
    </row>
    <row r="129" spans="2:15">
      <c r="B129" s="94" t="s">
        <v>831</v>
      </c>
      <c r="C129" s="94" t="s">
        <v>830</v>
      </c>
      <c r="D129" s="94" t="s">
        <v>829</v>
      </c>
      <c r="E129" s="94" t="s">
        <v>828</v>
      </c>
      <c r="F129" s="94" t="s">
        <v>827</v>
      </c>
      <c r="G129" s="94" t="s">
        <v>826</v>
      </c>
      <c r="H129" s="94" t="s">
        <v>825</v>
      </c>
      <c r="I129" s="94" t="s">
        <v>824</v>
      </c>
      <c r="J129" s="94" t="s">
        <v>2017</v>
      </c>
      <c r="K129" s="94"/>
      <c r="L129" s="94" t="s">
        <v>244</v>
      </c>
      <c r="M129" s="94" t="s">
        <v>9</v>
      </c>
      <c r="N129" s="94" t="s">
        <v>8</v>
      </c>
      <c r="O129" s="94" t="s">
        <v>497</v>
      </c>
    </row>
    <row r="130" spans="2:15">
      <c r="B130" s="286" t="s">
        <v>823</v>
      </c>
      <c r="C130" s="93">
        <v>0.14269999999999999</v>
      </c>
      <c r="D130" s="93">
        <v>0.44400000000000001</v>
      </c>
      <c r="E130" s="93">
        <v>0.67</v>
      </c>
      <c r="F130" s="93">
        <v>4</v>
      </c>
      <c r="G130" s="93">
        <v>2</v>
      </c>
      <c r="H130" s="93">
        <f>G130+(E130*F130)</f>
        <v>4.68</v>
      </c>
      <c r="I130" s="93">
        <f>3+D130</f>
        <v>3.444</v>
      </c>
      <c r="J130" s="93">
        <f>((1/D130)-(1/I130))*C130*H130*$C$118*8766/($C$120*100000)</f>
        <v>9.4400615206395351</v>
      </c>
      <c r="K130" s="93"/>
      <c r="L130" s="93">
        <f>J130/(((1/D130))*C130*H130*$C$118*8766/($C$120*100000))</f>
        <v>0.87108013937282236</v>
      </c>
      <c r="M130" s="93">
        <f>(3+0.26)*H130</f>
        <v>15.256799999999998</v>
      </c>
      <c r="N130" s="93">
        <f>M130/J130</f>
        <v>1.61617590803226</v>
      </c>
      <c r="O130" s="93">
        <f>1/COUNT($N$123:$N$126)</f>
        <v>0.25</v>
      </c>
    </row>
    <row r="131" spans="2:15">
      <c r="B131" s="286" t="s">
        <v>822</v>
      </c>
      <c r="C131" s="93">
        <v>0.20549999999999999</v>
      </c>
      <c r="D131" s="93">
        <v>0.52100000000000002</v>
      </c>
      <c r="E131" s="93">
        <v>0.72</v>
      </c>
      <c r="F131" s="93">
        <v>4</v>
      </c>
      <c r="G131" s="93">
        <v>2</v>
      </c>
      <c r="H131" s="93">
        <f>G131+(E131*F131)</f>
        <v>4.88</v>
      </c>
      <c r="I131" s="93">
        <f>3+D131</f>
        <v>3.5209999999999999</v>
      </c>
      <c r="J131" s="93">
        <f>((1/D131)-(1/I131))*C131*H131*$C$118*8766/($C$120*100000)</f>
        <v>11.816232049428844</v>
      </c>
      <c r="K131" s="93"/>
      <c r="L131" s="93">
        <f>J131/(((1/D131))*C131*H131*$C$118*8766/($C$120*100000))</f>
        <v>0.85203067310423175</v>
      </c>
      <c r="M131" s="93">
        <f>(3+0.31)*H131</f>
        <v>16.152799999999999</v>
      </c>
      <c r="N131" s="93">
        <f>M131/J131</f>
        <v>1.3670009130178489</v>
      </c>
      <c r="O131" s="93">
        <f>1/COUNT($N$123:$N$126)</f>
        <v>0.25</v>
      </c>
    </row>
    <row r="132" spans="2:15">
      <c r="B132" s="286" t="s">
        <v>821</v>
      </c>
      <c r="C132" s="93">
        <v>0.127</v>
      </c>
      <c r="D132" s="93">
        <v>0.33200000000000002</v>
      </c>
      <c r="E132" s="93">
        <v>0.73</v>
      </c>
      <c r="F132" s="93">
        <v>4</v>
      </c>
      <c r="G132" s="93">
        <v>2</v>
      </c>
      <c r="H132" s="93">
        <f>G132+(E132*F132)</f>
        <v>4.92</v>
      </c>
      <c r="I132" s="93">
        <f>3+D132</f>
        <v>3.3319999999999999</v>
      </c>
      <c r="J132" s="93">
        <f>((1/D132)-(1/I132))*C132*H132*$C$118*8766/($C$120*100000)</f>
        <v>12.208909052975866</v>
      </c>
      <c r="K132" s="93"/>
      <c r="L132" s="93">
        <f>J132/(((1/D132))*C132*H132*$C$118*8766/($C$120*100000))</f>
        <v>0.90036014405762288</v>
      </c>
      <c r="M132" s="93">
        <f>(3+0.26)*H132</f>
        <v>16.039199999999997</v>
      </c>
      <c r="N132" s="93">
        <f>M132/J132</f>
        <v>1.3137291735407364</v>
      </c>
      <c r="O132" s="93">
        <f>1/COUNT($N$123:$N$126)</f>
        <v>0.25</v>
      </c>
    </row>
    <row r="133" spans="2:15">
      <c r="B133" s="286" t="s">
        <v>820</v>
      </c>
      <c r="C133" s="93">
        <v>0.17829999999999999</v>
      </c>
      <c r="D133" s="93">
        <v>0.374</v>
      </c>
      <c r="E133" s="93">
        <v>0.77</v>
      </c>
      <c r="F133" s="93">
        <v>4</v>
      </c>
      <c r="G133" s="93">
        <v>2</v>
      </c>
      <c r="H133" s="93">
        <f>G133+(E133*F133)</f>
        <v>5.08</v>
      </c>
      <c r="I133" s="93">
        <f>3+D133</f>
        <v>3.3740000000000001</v>
      </c>
      <c r="J133" s="93">
        <f>((1/D133)-(1/I133))*C133*H133*$C$118*8766/($C$120*100000)</f>
        <v>15.514918061766444</v>
      </c>
      <c r="K133" s="93"/>
      <c r="L133" s="93">
        <f>J133/(((1/D133))*C133*H133*$C$118*8766/($C$120*100000))</f>
        <v>0.88915234143449939</v>
      </c>
      <c r="M133" s="93">
        <f>(3+0.31)*H133</f>
        <v>16.814800000000002</v>
      </c>
      <c r="N133" s="93">
        <f>M133/J133</f>
        <v>1.083782713711964</v>
      </c>
      <c r="O133" s="93">
        <f>1/COUNT($N$123:$N$126)</f>
        <v>0.25</v>
      </c>
    </row>
    <row r="134" spans="2:15">
      <c r="B134" s="7" t="s">
        <v>0</v>
      </c>
      <c r="C134" s="7"/>
      <c r="D134" s="7"/>
      <c r="E134" s="7"/>
      <c r="F134" s="7"/>
      <c r="G134" s="7"/>
      <c r="H134" s="7"/>
      <c r="I134" s="7"/>
      <c r="J134" s="7">
        <f>SUMPRODUCT(J130:J133,$O$123:$O$126)</f>
        <v>12.245030171202673</v>
      </c>
      <c r="K134" s="7">
        <f>SUMPRODUCT(K130:K133,$O$123:$O$126)</f>
        <v>0</v>
      </c>
      <c r="L134" s="7">
        <f>SUMPRODUCT(L130:L133,$O$123:$O$126)</f>
        <v>0.87815582449229412</v>
      </c>
      <c r="M134" s="7">
        <f>SUMPRODUCT(M130:M133,$O$123:$O$126)</f>
        <v>16.065899999999999</v>
      </c>
      <c r="N134" s="7">
        <f>SUMPRODUCT(N130:N133,$O$123:$O$126)</f>
        <v>1.3451721770757024</v>
      </c>
      <c r="O134" s="93"/>
    </row>
  </sheetData>
  <dataValidations count="5">
    <dataValidation type="list" allowBlank="1" showInputMessage="1" showErrorMessage="1" sqref="C59:L59" xr:uid="{00000000-0002-0000-5000-000004000000}">
      <formula1>$N$19:$AQ$19</formula1>
    </dataValidation>
    <dataValidation type="list" allowBlank="1" showInputMessage="1" showErrorMessage="1" sqref="E11:E20" xr:uid="{00000000-0002-0000-5000-000003000000}">
      <formula1>$N$16:$O$16</formula1>
    </dataValidation>
    <dataValidation type="list" allowBlank="1" showInputMessage="1" showErrorMessage="1" sqref="D11:D20" xr:uid="{00000000-0002-0000-5000-000002000000}">
      <formula1>$N$22:$AE$22</formula1>
    </dataValidation>
    <dataValidation type="list" allowBlank="1" showInputMessage="1" showErrorMessage="1" sqref="B11:C20" xr:uid="{00000000-0002-0000-5000-000001000000}">
      <formula1>$N$7:$Q$7</formula1>
    </dataValidation>
    <dataValidation type="list" allowBlank="1" showInputMessage="1" showErrorMessage="1" sqref="D7" xr:uid="{00000000-0002-0000-5000-000000000000}">
      <formula1>$N$11:$O$11</formula1>
    </dataValidation>
  </dataValidations>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F8618-0C71-4D3F-8BF8-604547E3E3B8}">
  <sheetPr codeName="Sheet78">
    <tabColor indexed="60"/>
  </sheetPr>
  <dimension ref="A1:AQ138"/>
  <sheetViews>
    <sheetView topLeftCell="A48" zoomScale="90" zoomScaleNormal="90" workbookViewId="0">
      <selection activeCell="C54" sqref="C54:D54"/>
    </sheetView>
  </sheetViews>
  <sheetFormatPr defaultColWidth="8.85546875" defaultRowHeight="1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Solar Water Heater</v>
      </c>
      <c r="C7" s="98" t="s">
        <v>703</v>
      </c>
      <c r="D7" s="98" t="s">
        <v>212</v>
      </c>
      <c r="E7" s="97">
        <f>C124</f>
        <v>18</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Heater_Res, E - HWat  (MD)</v>
      </c>
      <c r="J11" s="83" t="str">
        <f t="shared" ref="J11:J20" si="3">IF(B11="","",CONCATENATE($C$7,IF(C11="","",CONCATENATE(" with ",C11," Secondary Fuel"))))</f>
        <v>Solar Water Heater</v>
      </c>
      <c r="K11" s="83"/>
      <c r="M11" s="94" t="s">
        <v>123</v>
      </c>
      <c r="N11" s="93" t="s">
        <v>212</v>
      </c>
      <c r="O11" s="93" t="s">
        <v>211</v>
      </c>
    </row>
    <row r="12" spans="1:17">
      <c r="A12" s="1">
        <v>2</v>
      </c>
      <c r="B12" s="98" t="s">
        <v>205</v>
      </c>
      <c r="C12" s="98"/>
      <c r="D12" s="98" t="s">
        <v>113</v>
      </c>
      <c r="E12" s="99" t="s">
        <v>204</v>
      </c>
      <c r="F12" s="99"/>
      <c r="G12" s="83" t="str">
        <f t="shared" si="0"/>
        <v>E</v>
      </c>
      <c r="H12" s="83" t="str">
        <f t="shared" si="1"/>
        <v xml:space="preserve">HWat </v>
      </c>
      <c r="I12" s="83" t="str">
        <f t="shared" ca="1" si="2"/>
        <v>Solar Water Heater_Res, E - HWat  (RET)</v>
      </c>
      <c r="J12" s="83" t="str">
        <f t="shared" si="3"/>
        <v>Solar Water Heater</v>
      </c>
      <c r="K12" s="83"/>
      <c r="M12" s="94" t="s">
        <v>154</v>
      </c>
      <c r="N12" s="93" t="s">
        <v>210</v>
      </c>
      <c r="O12" s="93" t="s">
        <v>209</v>
      </c>
    </row>
    <row r="13" spans="1:17">
      <c r="A13" s="1">
        <v>3</v>
      </c>
      <c r="B13" s="98" t="s">
        <v>227</v>
      </c>
      <c r="C13" s="98"/>
      <c r="D13" s="98" t="s">
        <v>113</v>
      </c>
      <c r="E13" s="99" t="s">
        <v>202</v>
      </c>
      <c r="F13" s="99"/>
      <c r="G13" s="83" t="str">
        <f t="shared" si="0"/>
        <v>P</v>
      </c>
      <c r="H13" s="83" t="str">
        <f t="shared" si="1"/>
        <v xml:space="preserve">HWat </v>
      </c>
      <c r="I13" s="83" t="str">
        <f t="shared" ca="1" si="2"/>
        <v>Solar Water Heater_Res, P - HWat  (MD)</v>
      </c>
      <c r="J13" s="83" t="str">
        <f t="shared" si="3"/>
        <v>Solar Water Heater</v>
      </c>
      <c r="K13" s="83"/>
    </row>
    <row r="14" spans="1:17">
      <c r="A14" s="1">
        <v>4</v>
      </c>
      <c r="B14" s="98" t="s">
        <v>227</v>
      </c>
      <c r="C14" s="98"/>
      <c r="D14" s="98" t="s">
        <v>113</v>
      </c>
      <c r="E14" s="99" t="s">
        <v>204</v>
      </c>
      <c r="F14" s="99"/>
      <c r="G14" s="83" t="str">
        <f t="shared" si="0"/>
        <v>P</v>
      </c>
      <c r="H14" s="83" t="str">
        <f t="shared" si="1"/>
        <v xml:space="preserve">HWat </v>
      </c>
      <c r="I14" s="83" t="str">
        <f t="shared" ca="1" si="2"/>
        <v>Solar Water Heater_Res, P - HWat  (RET)</v>
      </c>
      <c r="J14" s="83" t="str">
        <f t="shared" si="3"/>
        <v>Solar Water Heater</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Solar Water Heater_Res, E - HWat  (MD)</v>
      </c>
      <c r="D33" s="83" t="str">
        <f t="shared" ca="1" si="5"/>
        <v>Solar Water Heater_Res, E - HWat  (RET)</v>
      </c>
      <c r="E33" s="83" t="str">
        <f t="shared" ca="1" si="5"/>
        <v>Solar Water Heater_Res, P - HWat  (MD)</v>
      </c>
      <c r="F33" s="83" t="str">
        <f t="shared" ca="1" si="5"/>
        <v>Solar Water Heater_Res, P - HWat  (RET)</v>
      </c>
      <c r="G33" s="83" t="str">
        <f t="shared" si="5"/>
        <v/>
      </c>
      <c r="H33" s="83" t="str">
        <f t="shared" si="5"/>
        <v/>
      </c>
      <c r="I33" s="83" t="str">
        <f t="shared" si="5"/>
        <v/>
      </c>
      <c r="J33" s="83" t="str">
        <f t="shared" si="5"/>
        <v/>
      </c>
      <c r="K33" s="83" t="str">
        <f t="shared" si="5"/>
        <v/>
      </c>
      <c r="L33" s="83" t="str">
        <f t="shared" si="5"/>
        <v/>
      </c>
      <c r="M33" s="84" t="str">
        <f t="shared" ref="M33:V33" ca="1" si="6">C33</f>
        <v>Solar Water Heater_Res, E - HWat  (MD)</v>
      </c>
      <c r="N33" s="84" t="str">
        <f t="shared" ca="1" si="6"/>
        <v>Solar Water Heater_Res, E - HWat  (RET)</v>
      </c>
      <c r="O33" s="84" t="str">
        <f t="shared" ca="1" si="6"/>
        <v>Solar Water Heater_Res, P - HWat  (MD)</v>
      </c>
      <c r="P33" s="84" t="str">
        <f t="shared" ca="1" si="6"/>
        <v>Solar Water Heater_Res, P - HWat  (RET)</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Solar Water Heater</v>
      </c>
      <c r="D34" s="83" t="str">
        <f t="shared" si="8"/>
        <v>Solar Water Heater</v>
      </c>
      <c r="E34" s="83" t="str">
        <f t="shared" si="8"/>
        <v>Solar Water Heater</v>
      </c>
      <c r="F34" s="83" t="str">
        <f t="shared" si="8"/>
        <v>Solar Water Heater</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Solar Water Heater_Res, E - HWat  (MD)</v>
      </c>
      <c r="D35" s="65" t="str">
        <f t="shared" ca="1" si="10"/>
        <v>Solar Water Heater_Res, E - HWat  (RET)</v>
      </c>
      <c r="E35" s="65" t="str">
        <f t="shared" ca="1" si="10"/>
        <v>Solar Water Heater_Res, P - HWat  (MD)</v>
      </c>
      <c r="F35" s="65" t="str">
        <f t="shared" ca="1" si="10"/>
        <v>Solar Water Heater_Res,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Solar Water Heater</v>
      </c>
      <c r="D36" s="65" t="str">
        <f t="shared" si="10"/>
        <v>Solar Water Heater</v>
      </c>
      <c r="E36" s="65" t="str">
        <f t="shared" si="10"/>
        <v>Solar Water Heater</v>
      </c>
      <c r="F36" s="65" t="str">
        <f t="shared" si="10"/>
        <v>Solar Water Heater</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Residential</v>
      </c>
      <c r="D37" s="83" t="str">
        <f t="shared" si="11"/>
        <v>Residential</v>
      </c>
      <c r="E37" s="83" t="str">
        <f t="shared" si="11"/>
        <v>Residential</v>
      </c>
      <c r="F37" s="83" t="str">
        <f t="shared" si="11"/>
        <v>Residential</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2327</v>
      </c>
      <c r="D38" s="82" t="s">
        <v>2327</v>
      </c>
      <c r="E38" s="82" t="s">
        <v>2327</v>
      </c>
      <c r="F38" s="82" t="s">
        <v>2327</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18</v>
      </c>
      <c r="D39" s="83">
        <f t="shared" si="12"/>
        <v>18</v>
      </c>
      <c r="E39" s="83">
        <f t="shared" si="12"/>
        <v>18</v>
      </c>
      <c r="F39" s="83">
        <f t="shared" si="12"/>
        <v>18</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Prp</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Water Heating</v>
      </c>
      <c r="D43" s="83" t="str">
        <f t="shared" si="15"/>
        <v>Water Heating</v>
      </c>
      <c r="E43" s="83" t="str">
        <f t="shared" si="15"/>
        <v>Water Heating</v>
      </c>
      <c r="F43" s="83" t="str">
        <f t="shared" si="15"/>
        <v>Water Heating</v>
      </c>
      <c r="G43" s="83" t="str">
        <f t="shared" si="15"/>
        <v/>
      </c>
      <c r="H43" s="83" t="str">
        <f t="shared" si="15"/>
        <v/>
      </c>
      <c r="I43" s="83" t="str">
        <f t="shared" si="15"/>
        <v/>
      </c>
      <c r="J43" s="83" t="str">
        <f t="shared" si="15"/>
        <v/>
      </c>
      <c r="K43" s="83" t="str">
        <f t="shared" si="15"/>
        <v/>
      </c>
      <c r="L43" s="83" t="str">
        <f t="shared" si="15"/>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6">IF(M$33="","","-")</f>
        <v>-</v>
      </c>
      <c r="N44" s="64" t="str">
        <f t="shared" ca="1" si="16"/>
        <v>-</v>
      </c>
      <c r="O44" s="64" t="str">
        <f t="shared" ca="1" si="16"/>
        <v>-</v>
      </c>
      <c r="P44" s="64" t="str">
        <f t="shared" ca="1" si="16"/>
        <v>-</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ca="1" si="16"/>
        <v>-</v>
      </c>
      <c r="O45" s="64" t="str">
        <f t="shared" ca="1" si="16"/>
        <v>-</v>
      </c>
      <c r="P45" s="64" t="str">
        <f t="shared" ca="1" si="16"/>
        <v>-</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ca="1" si="16"/>
        <v>-</v>
      </c>
      <c r="O46" s="64" t="str">
        <f t="shared" ca="1" si="16"/>
        <v>-</v>
      </c>
      <c r="P46" s="64" t="str">
        <f t="shared" ca="1" si="16"/>
        <v>-</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ca="1" si="16"/>
        <v>-</v>
      </c>
      <c r="O47" s="64" t="str">
        <f t="shared" ca="1" si="16"/>
        <v>-</v>
      </c>
      <c r="P47" s="64" t="str">
        <f t="shared" ca="1" si="16"/>
        <v>-</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ca="1" si="16"/>
        <v>-</v>
      </c>
      <c r="O48" s="64" t="str">
        <f t="shared" ca="1" si="16"/>
        <v>-</v>
      </c>
      <c r="P48" s="64" t="str">
        <f t="shared" ca="1" si="16"/>
        <v>-</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ca="1" si="16"/>
        <v>-</v>
      </c>
      <c r="O49" s="64" t="str">
        <f t="shared" ca="1" si="16"/>
        <v>-</v>
      </c>
      <c r="P49" s="64" t="str">
        <f t="shared" ca="1" si="16"/>
        <v>-</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ca="1" si="16"/>
        <v>-</v>
      </c>
      <c r="O50" s="64" t="str">
        <f t="shared" ca="1" si="16"/>
        <v>-</v>
      </c>
      <c r="P50" s="64" t="str">
        <f t="shared" ca="1" si="16"/>
        <v>-</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ca="1" si="16"/>
        <v>-</v>
      </c>
      <c r="O51" s="64" t="str">
        <f t="shared" ca="1" si="16"/>
        <v>-</v>
      </c>
      <c r="P51" s="64" t="str">
        <f t="shared" ca="1" si="16"/>
        <v>-</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Solar Water Heater</v>
      </c>
      <c r="D52" s="66" t="str">
        <f t="shared" si="17"/>
        <v>Solar Water Heater</v>
      </c>
      <c r="E52" s="66" t="str">
        <f t="shared" si="17"/>
        <v>Solar Water Heater</v>
      </c>
      <c r="F52" s="66" t="str">
        <f t="shared" si="17"/>
        <v>Solar Water Heater</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ca="1" si="16"/>
        <v>-</v>
      </c>
      <c r="O52" s="64" t="str">
        <f t="shared" ca="1" si="16"/>
        <v>-</v>
      </c>
      <c r="P52" s="64" t="str">
        <f t="shared" ca="1" si="16"/>
        <v>-</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MD</v>
      </c>
      <c r="D53" s="83" t="str">
        <f t="shared" si="18"/>
        <v>RET</v>
      </c>
      <c r="E53" s="83" t="str">
        <f t="shared" si="18"/>
        <v>MD</v>
      </c>
      <c r="F53" s="83" t="str">
        <f t="shared" si="18"/>
        <v>RET</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ca="1" si="16"/>
        <v>-</v>
      </c>
      <c r="O53" s="64" t="str">
        <f t="shared" ca="1" si="16"/>
        <v>-</v>
      </c>
      <c r="P53" s="64" t="str">
        <f t="shared" ca="1" si="16"/>
        <v>-</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t="e">
        <f>#REF!</f>
        <v>#REF!</v>
      </c>
      <c r="E54" s="82" t="e">
        <f>#REF!</f>
        <v>#REF!</v>
      </c>
      <c r="F54" s="82" t="e">
        <f>#REF!</f>
        <v>#REF!</v>
      </c>
      <c r="G54" s="65"/>
      <c r="H54" s="65"/>
      <c r="I54" s="65"/>
      <c r="J54" s="65"/>
      <c r="K54" s="65"/>
      <c r="L54" s="65"/>
      <c r="M54" s="64" t="str">
        <f t="shared" ref="M54:V64" ca="1" si="19">IF(M$33="","","-")</f>
        <v>-</v>
      </c>
      <c r="N54" s="64" t="str">
        <f t="shared" ca="1" si="19"/>
        <v>-</v>
      </c>
      <c r="O54" s="64" t="str">
        <f t="shared" ca="1" si="19"/>
        <v>-</v>
      </c>
      <c r="P54" s="64" t="str">
        <f t="shared" ca="1" si="19"/>
        <v>-</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82" t="s">
        <v>2020</v>
      </c>
      <c r="D55" s="82" t="s">
        <v>2020</v>
      </c>
      <c r="E55" s="82" t="s">
        <v>702</v>
      </c>
      <c r="F55" s="82" t="s">
        <v>702</v>
      </c>
      <c r="G55" s="65"/>
      <c r="H55" s="65"/>
      <c r="I55" s="65"/>
      <c r="J55" s="65"/>
      <c r="K55" s="65"/>
      <c r="L55" s="65"/>
      <c r="M55" s="64" t="str">
        <f t="shared" ca="1" si="19"/>
        <v>-</v>
      </c>
      <c r="N55" s="64" t="str">
        <f t="shared" ca="1" si="19"/>
        <v>-</v>
      </c>
      <c r="O55" s="64" t="str">
        <f t="shared" ca="1" si="19"/>
        <v>-</v>
      </c>
      <c r="P55" s="64" t="str">
        <f t="shared" ca="1" si="19"/>
        <v>-</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82" t="s">
        <v>2021</v>
      </c>
      <c r="D56" s="82" t="s">
        <v>2021</v>
      </c>
      <c r="E56" s="82" t="s">
        <v>701</v>
      </c>
      <c r="F56" s="82" t="s">
        <v>701</v>
      </c>
      <c r="G56" s="65"/>
      <c r="H56" s="65"/>
      <c r="I56" s="65"/>
      <c r="J56" s="65"/>
      <c r="K56" s="65"/>
      <c r="L56" s="65"/>
      <c r="M56" s="64" t="str">
        <f t="shared" ca="1" si="19"/>
        <v>-</v>
      </c>
      <c r="N56" s="64" t="str">
        <f t="shared" ca="1" si="19"/>
        <v>-</v>
      </c>
      <c r="O56" s="64" t="str">
        <f t="shared" ca="1" si="19"/>
        <v>-</v>
      </c>
      <c r="P56" s="64" t="str">
        <f t="shared" ca="1" si="19"/>
        <v>-</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v>2024</v>
      </c>
      <c r="E57" s="65">
        <v>2024</v>
      </c>
      <c r="F57" s="65">
        <v>2024</v>
      </c>
      <c r="G57" s="65"/>
      <c r="H57" s="65"/>
      <c r="I57" s="65"/>
      <c r="J57" s="65"/>
      <c r="K57" s="65"/>
      <c r="L57" s="65"/>
      <c r="M57" s="64" t="str">
        <f t="shared" ca="1" si="19"/>
        <v>-</v>
      </c>
      <c r="N57" s="64" t="str">
        <f t="shared" ca="1" si="19"/>
        <v>-</v>
      </c>
      <c r="O57" s="64" t="str">
        <f t="shared" ca="1" si="19"/>
        <v>-</v>
      </c>
      <c r="P57" s="64" t="str">
        <f t="shared" ca="1" si="19"/>
        <v>-</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v>2027</v>
      </c>
      <c r="E58" s="65">
        <v>2027</v>
      </c>
      <c r="F58" s="65">
        <v>2027</v>
      </c>
      <c r="G58" s="65"/>
      <c r="H58" s="65"/>
      <c r="I58" s="65"/>
      <c r="J58" s="65"/>
      <c r="K58" s="65"/>
      <c r="L58" s="65"/>
      <c r="M58" s="64" t="str">
        <f t="shared" ca="1" si="19"/>
        <v>-</v>
      </c>
      <c r="N58" s="64" t="str">
        <f t="shared" ca="1" si="19"/>
        <v>-</v>
      </c>
      <c r="O58" s="64" t="str">
        <f t="shared" ca="1" si="19"/>
        <v>-</v>
      </c>
      <c r="P58" s="64" t="str">
        <f t="shared" ca="1" si="19"/>
        <v>-</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92</v>
      </c>
      <c r="D59" s="82" t="s">
        <v>92</v>
      </c>
      <c r="E59" s="82" t="s">
        <v>92</v>
      </c>
      <c r="F59" s="82" t="s">
        <v>92</v>
      </c>
      <c r="G59" s="65"/>
      <c r="H59" s="65"/>
      <c r="I59" s="65"/>
      <c r="J59" s="65"/>
      <c r="K59" s="65"/>
      <c r="L59" s="65"/>
      <c r="M59" s="64" t="str">
        <f t="shared" ca="1" si="19"/>
        <v>-</v>
      </c>
      <c r="N59" s="64" t="str">
        <f t="shared" ca="1" si="19"/>
        <v>-</v>
      </c>
      <c r="O59" s="64" t="str">
        <f t="shared" ca="1" si="19"/>
        <v>-</v>
      </c>
      <c r="P59" s="64" t="str">
        <f t="shared" ca="1" si="19"/>
        <v>-</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82" t="s">
        <v>700</v>
      </c>
      <c r="D60" s="82" t="s">
        <v>700</v>
      </c>
      <c r="E60" s="82" t="s">
        <v>700</v>
      </c>
      <c r="F60" s="82" t="s">
        <v>700</v>
      </c>
      <c r="G60" s="65"/>
      <c r="H60" s="65"/>
      <c r="I60" s="65"/>
      <c r="J60" s="65"/>
      <c r="K60" s="65"/>
      <c r="L60" s="65"/>
      <c r="M60" s="64" t="str">
        <f t="shared" ca="1" si="19"/>
        <v>-</v>
      </c>
      <c r="N60" s="64" t="str">
        <f t="shared" ca="1" si="19"/>
        <v>-</v>
      </c>
      <c r="O60" s="64" t="str">
        <f t="shared" ca="1" si="19"/>
        <v>-</v>
      </c>
      <c r="P60" s="64" t="str">
        <f t="shared" ca="1" si="19"/>
        <v>-</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282"/>
      <c r="D61" s="282"/>
      <c r="E61" s="282"/>
      <c r="F61" s="282"/>
      <c r="G61" s="65"/>
      <c r="H61" s="65"/>
      <c r="I61" s="65"/>
      <c r="J61" s="65"/>
      <c r="K61" s="65"/>
      <c r="L61" s="65"/>
      <c r="M61" s="64" t="str">
        <f t="shared" ca="1" si="19"/>
        <v>-</v>
      </c>
      <c r="N61" s="64" t="str">
        <f t="shared" ca="1" si="19"/>
        <v>-</v>
      </c>
      <c r="O61" s="64" t="str">
        <f t="shared" ca="1" si="19"/>
        <v>-</v>
      </c>
      <c r="P61" s="64" t="str">
        <f t="shared" ca="1" si="19"/>
        <v>-</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282"/>
      <c r="D62" s="282"/>
      <c r="E62" s="282"/>
      <c r="F62" s="282"/>
      <c r="G62" s="65"/>
      <c r="H62" s="65"/>
      <c r="I62" s="65"/>
      <c r="J62" s="65"/>
      <c r="K62" s="65"/>
      <c r="L62" s="65"/>
      <c r="M62" s="64" t="str">
        <f t="shared" ca="1" si="19"/>
        <v>-</v>
      </c>
      <c r="N62" s="64" t="str">
        <f t="shared" ca="1" si="19"/>
        <v>-</v>
      </c>
      <c r="O62" s="64" t="str">
        <f t="shared" ca="1" si="19"/>
        <v>-</v>
      </c>
      <c r="P62" s="64" t="str">
        <f t="shared" ca="1" si="19"/>
        <v>-</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282"/>
      <c r="E63" s="65"/>
      <c r="F63" s="65"/>
      <c r="G63" s="65"/>
      <c r="H63" s="65"/>
      <c r="I63" s="65"/>
      <c r="J63" s="65"/>
      <c r="K63" s="65"/>
      <c r="L63" s="65"/>
      <c r="M63" s="64" t="str">
        <f t="shared" ca="1" si="19"/>
        <v>-</v>
      </c>
      <c r="N63" s="64" t="str">
        <f t="shared" ca="1" si="19"/>
        <v>-</v>
      </c>
      <c r="O63" s="64" t="str">
        <f t="shared" ca="1" si="19"/>
        <v>-</v>
      </c>
      <c r="P63" s="64" t="str">
        <f t="shared" ca="1" si="19"/>
        <v>-</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F131</f>
        <v>1940.2877175183066</v>
      </c>
      <c r="D64" s="282">
        <f>F131</f>
        <v>1940.2877175183066</v>
      </c>
      <c r="E64" s="67">
        <f>F138</f>
        <v>12.225190053345456</v>
      </c>
      <c r="F64" s="67">
        <f>F138</f>
        <v>12.225190053345456</v>
      </c>
      <c r="G64" s="65"/>
      <c r="H64" s="65"/>
      <c r="I64" s="65"/>
      <c r="J64" s="65"/>
      <c r="K64" s="65"/>
      <c r="L64" s="65"/>
      <c r="M64" s="64" t="str">
        <f t="shared" ca="1" si="19"/>
        <v>-</v>
      </c>
      <c r="N64" s="64" t="str">
        <f t="shared" ca="1" si="19"/>
        <v>-</v>
      </c>
      <c r="O64" s="64" t="str">
        <f t="shared" ca="1" si="19"/>
        <v>-</v>
      </c>
      <c r="P64" s="64" t="str">
        <f t="shared" ca="1" si="19"/>
        <v>-</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74">
        <f>H131</f>
        <v>0.79212573125577024</v>
      </c>
      <c r="D65" s="282">
        <f>H131</f>
        <v>0.79212573125577024</v>
      </c>
      <c r="E65" s="74">
        <f>H138</f>
        <v>0.87179233333333328</v>
      </c>
      <c r="F65" s="74">
        <f>H138</f>
        <v>0.87179233333333328</v>
      </c>
      <c r="G65" s="65"/>
      <c r="H65" s="65"/>
      <c r="I65" s="65"/>
      <c r="J65" s="65"/>
      <c r="K65" s="65"/>
      <c r="L65" s="65"/>
      <c r="M65" s="69">
        <v>7</v>
      </c>
      <c r="N65" s="69">
        <v>7</v>
      </c>
      <c r="O65" s="69"/>
      <c r="P65" s="69"/>
      <c r="Q65" s="69"/>
      <c r="R65" s="69"/>
      <c r="S65" s="69"/>
      <c r="T65" s="69"/>
      <c r="U65" s="69"/>
      <c r="V65" s="69"/>
    </row>
    <row r="66" spans="1:22">
      <c r="A66" s="1">
        <f t="shared" ref="A66:A97" si="20">A65+1</f>
        <v>34</v>
      </c>
      <c r="B66" s="65" t="s">
        <v>83</v>
      </c>
      <c r="C66" s="267"/>
      <c r="D66" s="282"/>
      <c r="E66" s="267"/>
      <c r="F66" s="267"/>
      <c r="G66" s="65"/>
      <c r="H66" s="65"/>
      <c r="I66" s="65"/>
      <c r="J66" s="65"/>
      <c r="K66" s="65"/>
      <c r="L66" s="65"/>
      <c r="M66" s="64" t="str">
        <f t="shared" ref="M66:V68" ca="1" si="21">IF(M$33="","","-")</f>
        <v>-</v>
      </c>
      <c r="N66" s="64" t="str">
        <f t="shared" ca="1" si="21"/>
        <v>-</v>
      </c>
      <c r="O66" s="64" t="str">
        <f t="shared" ca="1" si="21"/>
        <v>-</v>
      </c>
      <c r="P66" s="64" t="str">
        <f t="shared" ca="1" si="21"/>
        <v>-</v>
      </c>
      <c r="Q66" s="64" t="str">
        <f t="shared" si="21"/>
        <v/>
      </c>
      <c r="R66" s="64" t="str">
        <f t="shared" si="21"/>
        <v/>
      </c>
      <c r="S66" s="64" t="str">
        <f t="shared" si="21"/>
        <v/>
      </c>
      <c r="T66" s="64" t="str">
        <f t="shared" si="21"/>
        <v/>
      </c>
      <c r="U66" s="64" t="str">
        <f t="shared" si="21"/>
        <v/>
      </c>
      <c r="V66" s="64" t="str">
        <f t="shared" si="21"/>
        <v/>
      </c>
    </row>
    <row r="67" spans="1:22">
      <c r="A67" s="1">
        <f t="shared" si="20"/>
        <v>35</v>
      </c>
      <c r="B67" s="65" t="s">
        <v>82</v>
      </c>
      <c r="C67" s="267"/>
      <c r="D67" s="282"/>
      <c r="E67" s="65"/>
      <c r="F67" s="65"/>
      <c r="G67" s="65"/>
      <c r="H67" s="65"/>
      <c r="I67" s="65"/>
      <c r="J67" s="65"/>
      <c r="K67" s="65"/>
      <c r="L67" s="65"/>
      <c r="M67" s="64" t="str">
        <f t="shared" ca="1" si="21"/>
        <v>-</v>
      </c>
      <c r="N67" s="64" t="str">
        <f t="shared" ca="1" si="21"/>
        <v>-</v>
      </c>
      <c r="O67" s="64" t="str">
        <f t="shared" ca="1" si="21"/>
        <v>-</v>
      </c>
      <c r="P67" s="64" t="str">
        <f t="shared" ca="1" si="21"/>
        <v>-</v>
      </c>
      <c r="Q67" s="64" t="str">
        <f t="shared" si="21"/>
        <v/>
      </c>
      <c r="R67" s="64" t="str">
        <f t="shared" si="21"/>
        <v/>
      </c>
      <c r="S67" s="64" t="str">
        <f t="shared" si="21"/>
        <v/>
      </c>
      <c r="T67" s="64" t="str">
        <f t="shared" si="21"/>
        <v/>
      </c>
      <c r="U67" s="64" t="str">
        <f t="shared" si="21"/>
        <v/>
      </c>
      <c r="V67" s="64" t="str">
        <f t="shared" si="21"/>
        <v/>
      </c>
    </row>
    <row r="68" spans="1:22">
      <c r="A68" s="1">
        <f t="shared" si="20"/>
        <v>36</v>
      </c>
      <c r="B68" s="65" t="s">
        <v>9</v>
      </c>
      <c r="C68" s="71">
        <f>I131</f>
        <v>4500</v>
      </c>
      <c r="D68" s="612">
        <f>4500</f>
        <v>4500</v>
      </c>
      <c r="E68" s="71">
        <f>I138</f>
        <v>4500</v>
      </c>
      <c r="F68" s="71">
        <f>I138</f>
        <v>4500</v>
      </c>
      <c r="G68" s="65"/>
      <c r="H68" s="65"/>
      <c r="I68" s="65"/>
      <c r="J68" s="65"/>
      <c r="K68" s="65"/>
      <c r="L68" s="65"/>
      <c r="M68" s="64" t="str">
        <f t="shared" ca="1" si="21"/>
        <v>-</v>
      </c>
      <c r="N68" s="64" t="str">
        <f t="shared" ca="1" si="21"/>
        <v>-</v>
      </c>
      <c r="O68" s="64" t="str">
        <f t="shared" ca="1" si="21"/>
        <v>-</v>
      </c>
      <c r="P68" s="64" t="str">
        <f t="shared" ca="1" si="21"/>
        <v>-</v>
      </c>
      <c r="Q68" s="64" t="str">
        <f t="shared" si="21"/>
        <v/>
      </c>
      <c r="R68" s="64" t="str">
        <f t="shared" si="21"/>
        <v/>
      </c>
      <c r="S68" s="64" t="str">
        <f t="shared" si="21"/>
        <v/>
      </c>
      <c r="T68" s="64" t="str">
        <f t="shared" si="21"/>
        <v/>
      </c>
      <c r="U68" s="64" t="str">
        <f t="shared" si="21"/>
        <v/>
      </c>
      <c r="V68" s="64" t="str">
        <f t="shared" si="21"/>
        <v/>
      </c>
    </row>
    <row r="69" spans="1:22">
      <c r="A69" s="1">
        <f t="shared" si="20"/>
        <v>37</v>
      </c>
      <c r="B69" s="65" t="s">
        <v>81</v>
      </c>
      <c r="C69" s="70">
        <f>J131</f>
        <v>2.319249036211914</v>
      </c>
      <c r="D69" s="612">
        <f>J131</f>
        <v>2.319249036211914</v>
      </c>
      <c r="E69" s="70">
        <f>J138</f>
        <v>368.15603759745022</v>
      </c>
      <c r="F69" s="70">
        <f>J138</f>
        <v>368.15603759745022</v>
      </c>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20"/>
        <v>38</v>
      </c>
      <c r="M70" s="64" t="str">
        <f t="shared" ref="M70:V79" ca="1" si="22">IF(M$33="","","-")</f>
        <v>-</v>
      </c>
      <c r="N70" s="64" t="str">
        <f t="shared" ca="1" si="22"/>
        <v>-</v>
      </c>
      <c r="O70" s="64" t="str">
        <f t="shared" ca="1" si="22"/>
        <v>-</v>
      </c>
      <c r="P70" s="64" t="str">
        <f t="shared" ca="1" si="22"/>
        <v>-</v>
      </c>
      <c r="Q70" s="64" t="str">
        <f t="shared" si="22"/>
        <v/>
      </c>
      <c r="R70" s="64" t="str">
        <f t="shared" si="22"/>
        <v/>
      </c>
      <c r="S70" s="64" t="str">
        <f t="shared" si="22"/>
        <v/>
      </c>
      <c r="T70" s="64" t="str">
        <f t="shared" si="22"/>
        <v/>
      </c>
      <c r="U70" s="64" t="str">
        <f t="shared" si="22"/>
        <v/>
      </c>
      <c r="V70" s="64" t="str">
        <f t="shared" si="22"/>
        <v/>
      </c>
    </row>
    <row r="71" spans="1:22">
      <c r="A71" s="1">
        <f t="shared" si="20"/>
        <v>39</v>
      </c>
      <c r="B71" s="1" t="s">
        <v>80</v>
      </c>
      <c r="C71" s="66" t="str">
        <f t="shared" ref="C71:L71" si="23">C52</f>
        <v>Solar Water Heater</v>
      </c>
      <c r="D71" s="66" t="str">
        <f t="shared" si="23"/>
        <v>Solar Water Heater</v>
      </c>
      <c r="E71" s="66" t="str">
        <f t="shared" si="23"/>
        <v>Solar Water Heater</v>
      </c>
      <c r="F71" s="66" t="str">
        <f t="shared" si="23"/>
        <v>Solar Water Heater</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ca="1" si="22"/>
        <v>-</v>
      </c>
      <c r="Q71" s="64" t="str">
        <f t="shared" si="22"/>
        <v/>
      </c>
      <c r="R71" s="64" t="str">
        <f t="shared" si="22"/>
        <v/>
      </c>
      <c r="S71" s="64" t="str">
        <f t="shared" si="22"/>
        <v/>
      </c>
      <c r="T71" s="64" t="str">
        <f t="shared" si="22"/>
        <v/>
      </c>
      <c r="U71" s="64" t="str">
        <f t="shared" si="22"/>
        <v/>
      </c>
      <c r="V71" s="64" t="str">
        <f t="shared" si="22"/>
        <v/>
      </c>
    </row>
    <row r="72" spans="1:22">
      <c r="A72" s="1">
        <f t="shared" si="20"/>
        <v>40</v>
      </c>
      <c r="B72" s="65" t="s">
        <v>79</v>
      </c>
      <c r="C72" s="65"/>
      <c r="D72" s="65"/>
      <c r="E72" s="182"/>
      <c r="F72" s="65"/>
      <c r="G72" s="65"/>
      <c r="H72" s="65"/>
      <c r="I72" s="65"/>
      <c r="J72" s="65"/>
      <c r="K72" s="65"/>
      <c r="L72" s="65"/>
      <c r="M72" s="64" t="str">
        <f t="shared" ca="1" si="22"/>
        <v>-</v>
      </c>
      <c r="N72" s="64" t="str">
        <f t="shared" ca="1" si="22"/>
        <v>-</v>
      </c>
      <c r="O72" s="64" t="str">
        <f t="shared" ca="1" si="22"/>
        <v>-</v>
      </c>
      <c r="P72" s="64" t="str">
        <f t="shared" ca="1" si="22"/>
        <v>-</v>
      </c>
      <c r="Q72" s="64" t="str">
        <f t="shared" si="22"/>
        <v/>
      </c>
      <c r="R72" s="64" t="str">
        <f t="shared" si="22"/>
        <v/>
      </c>
      <c r="S72" s="64" t="str">
        <f t="shared" si="22"/>
        <v/>
      </c>
      <c r="T72" s="64" t="str">
        <f t="shared" si="22"/>
        <v/>
      </c>
      <c r="U72" s="64" t="str">
        <f t="shared" si="22"/>
        <v/>
      </c>
      <c r="V72" s="64" t="str">
        <f t="shared" si="22"/>
        <v/>
      </c>
    </row>
    <row r="73" spans="1:22">
      <c r="A73" s="1">
        <f t="shared" si="20"/>
        <v>41</v>
      </c>
      <c r="B73" s="65" t="s">
        <v>78</v>
      </c>
      <c r="C73" s="65"/>
      <c r="D73" s="283"/>
      <c r="E73" s="182"/>
      <c r="F73" s="282"/>
      <c r="G73" s="65"/>
      <c r="H73" s="65"/>
      <c r="I73" s="65"/>
      <c r="J73" s="65"/>
      <c r="K73" s="65"/>
      <c r="L73" s="65"/>
      <c r="M73" s="64" t="str">
        <f t="shared" ca="1" si="22"/>
        <v>-</v>
      </c>
      <c r="N73" s="64" t="str">
        <f t="shared" ca="1" si="22"/>
        <v>-</v>
      </c>
      <c r="O73" s="64" t="str">
        <f t="shared" ca="1" si="22"/>
        <v>-</v>
      </c>
      <c r="P73" s="64" t="str">
        <f t="shared" ca="1" si="22"/>
        <v>-</v>
      </c>
      <c r="Q73" s="64" t="str">
        <f t="shared" si="22"/>
        <v/>
      </c>
      <c r="R73" s="64" t="str">
        <f t="shared" si="22"/>
        <v/>
      </c>
      <c r="S73" s="64" t="str">
        <f t="shared" si="22"/>
        <v/>
      </c>
      <c r="T73" s="64" t="str">
        <f t="shared" si="22"/>
        <v/>
      </c>
      <c r="U73" s="64" t="str">
        <f t="shared" si="22"/>
        <v/>
      </c>
      <c r="V73" s="64" t="str">
        <f t="shared" si="22"/>
        <v/>
      </c>
    </row>
    <row r="74" spans="1:22">
      <c r="A74" s="1">
        <f t="shared" si="20"/>
        <v>42</v>
      </c>
      <c r="M74" s="64" t="str">
        <f t="shared" ca="1" si="22"/>
        <v>-</v>
      </c>
      <c r="N74" s="64" t="str">
        <f t="shared" ca="1" si="22"/>
        <v>-</v>
      </c>
      <c r="O74" s="64" t="str">
        <f t="shared" ca="1" si="22"/>
        <v>-</v>
      </c>
      <c r="P74" s="64" t="str">
        <f t="shared" ca="1" si="22"/>
        <v>-</v>
      </c>
      <c r="Q74" s="64" t="str">
        <f t="shared" si="22"/>
        <v/>
      </c>
      <c r="R74" s="64" t="str">
        <f t="shared" si="22"/>
        <v/>
      </c>
      <c r="S74" s="64" t="str">
        <f t="shared" si="22"/>
        <v/>
      </c>
      <c r="T74" s="64" t="str">
        <f t="shared" si="22"/>
        <v/>
      </c>
      <c r="U74" s="64" t="str">
        <f t="shared" si="22"/>
        <v/>
      </c>
      <c r="V74" s="64" t="str">
        <f t="shared" si="22"/>
        <v/>
      </c>
    </row>
    <row r="75" spans="1:22">
      <c r="A75" s="1">
        <f t="shared" si="20"/>
        <v>43</v>
      </c>
      <c r="B75" s="1" t="s">
        <v>77</v>
      </c>
      <c r="M75" s="64" t="str">
        <f t="shared" ca="1" si="22"/>
        <v>-</v>
      </c>
      <c r="N75" s="64" t="str">
        <f t="shared" ca="1" si="22"/>
        <v>-</v>
      </c>
      <c r="O75" s="64" t="str">
        <f t="shared" ca="1" si="22"/>
        <v>-</v>
      </c>
      <c r="P75" s="64" t="str">
        <f t="shared" ca="1" si="22"/>
        <v>-</v>
      </c>
      <c r="Q75" s="64" t="str">
        <f t="shared" si="22"/>
        <v/>
      </c>
      <c r="R75" s="64" t="str">
        <f t="shared" si="22"/>
        <v/>
      </c>
      <c r="S75" s="64" t="str">
        <f t="shared" si="22"/>
        <v/>
      </c>
      <c r="T75" s="64" t="str">
        <f t="shared" si="22"/>
        <v/>
      </c>
      <c r="U75" s="64" t="str">
        <f t="shared" si="22"/>
        <v/>
      </c>
      <c r="V75" s="64" t="str">
        <f t="shared" si="22"/>
        <v/>
      </c>
    </row>
    <row r="76" spans="1:22">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ca="1" si="22"/>
        <v>-</v>
      </c>
      <c r="Q76" s="64" t="str">
        <f t="shared" si="22"/>
        <v/>
      </c>
      <c r="R76" s="64" t="str">
        <f t="shared" si="22"/>
        <v/>
      </c>
      <c r="S76" s="64" t="str">
        <f t="shared" si="22"/>
        <v/>
      </c>
      <c r="T76" s="64" t="str">
        <f t="shared" si="22"/>
        <v/>
      </c>
      <c r="U76" s="64" t="str">
        <f t="shared" si="22"/>
        <v/>
      </c>
      <c r="V76" s="64" t="str">
        <f t="shared" si="22"/>
        <v/>
      </c>
    </row>
    <row r="77" spans="1:22">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ca="1" si="22"/>
        <v>-</v>
      </c>
      <c r="Q77" s="64" t="str">
        <f t="shared" si="22"/>
        <v/>
      </c>
      <c r="R77" s="64" t="str">
        <f t="shared" si="22"/>
        <v/>
      </c>
      <c r="S77" s="64" t="str">
        <f t="shared" si="22"/>
        <v/>
      </c>
      <c r="T77" s="64" t="str">
        <f t="shared" si="22"/>
        <v/>
      </c>
      <c r="U77" s="64" t="str">
        <f t="shared" si="22"/>
        <v/>
      </c>
      <c r="V77" s="64" t="str">
        <f t="shared" si="22"/>
        <v/>
      </c>
    </row>
    <row r="78" spans="1:22">
      <c r="A78" s="1">
        <f t="shared" si="20"/>
        <v>46</v>
      </c>
      <c r="B78" s="65" t="s">
        <v>74</v>
      </c>
      <c r="C78" s="65"/>
      <c r="D78" s="267"/>
      <c r="E78" s="65"/>
      <c r="F78" s="267"/>
      <c r="G78" s="65"/>
      <c r="H78" s="65"/>
      <c r="I78" s="65"/>
      <c r="J78" s="65"/>
      <c r="K78" s="65"/>
      <c r="L78" s="65"/>
      <c r="M78" s="64" t="str">
        <f t="shared" ca="1" si="22"/>
        <v>-</v>
      </c>
      <c r="N78" s="64" t="str">
        <f t="shared" ca="1" si="22"/>
        <v>-</v>
      </c>
      <c r="O78" s="64" t="str">
        <f t="shared" ca="1" si="22"/>
        <v>-</v>
      </c>
      <c r="P78" s="64" t="str">
        <f t="shared" ca="1" si="22"/>
        <v>-</v>
      </c>
      <c r="Q78" s="64" t="str">
        <f t="shared" si="22"/>
        <v/>
      </c>
      <c r="R78" s="64" t="str">
        <f t="shared" si="22"/>
        <v/>
      </c>
      <c r="S78" s="64" t="str">
        <f t="shared" si="22"/>
        <v/>
      </c>
      <c r="T78" s="64" t="str">
        <f t="shared" si="22"/>
        <v/>
      </c>
      <c r="U78" s="64" t="str">
        <f t="shared" si="22"/>
        <v/>
      </c>
      <c r="V78" s="64" t="str">
        <f t="shared" si="22"/>
        <v/>
      </c>
    </row>
    <row r="79" spans="1:22">
      <c r="A79" s="1">
        <f t="shared" si="20"/>
        <v>47</v>
      </c>
      <c r="B79" s="65" t="s">
        <v>73</v>
      </c>
      <c r="C79" s="65"/>
      <c r="D79" s="266"/>
      <c r="E79" s="65"/>
      <c r="F79" s="266"/>
      <c r="G79" s="65"/>
      <c r="H79" s="65"/>
      <c r="I79" s="65"/>
      <c r="J79" s="65"/>
      <c r="K79" s="65"/>
      <c r="L79" s="65"/>
      <c r="M79" s="64" t="str">
        <f t="shared" ca="1" si="22"/>
        <v>-</v>
      </c>
      <c r="N79" s="64" t="str">
        <f t="shared" ca="1" si="22"/>
        <v>-</v>
      </c>
      <c r="O79" s="64" t="str">
        <f t="shared" ca="1" si="22"/>
        <v>-</v>
      </c>
      <c r="P79" s="64" t="str">
        <f t="shared" ca="1" si="22"/>
        <v>-</v>
      </c>
      <c r="Q79" s="64" t="str">
        <f t="shared" si="22"/>
        <v/>
      </c>
      <c r="R79" s="64" t="str">
        <f t="shared" si="22"/>
        <v/>
      </c>
      <c r="S79" s="64" t="str">
        <f t="shared" si="22"/>
        <v/>
      </c>
      <c r="T79" s="64" t="str">
        <f t="shared" si="22"/>
        <v/>
      </c>
      <c r="U79" s="64" t="str">
        <f t="shared" si="22"/>
        <v/>
      </c>
      <c r="V79" s="64" t="str">
        <f t="shared" si="22"/>
        <v/>
      </c>
    </row>
    <row r="80" spans="1:22">
      <c r="A80" s="1">
        <f t="shared" si="20"/>
        <v>48</v>
      </c>
      <c r="B80" s="65" t="s">
        <v>72</v>
      </c>
      <c r="C80" s="65"/>
      <c r="D80" s="65"/>
      <c r="E80" s="65"/>
      <c r="F80" s="65"/>
      <c r="G80" s="65"/>
      <c r="H80" s="65"/>
      <c r="I80" s="65"/>
      <c r="J80" s="65"/>
      <c r="K80" s="65"/>
      <c r="L80" s="65"/>
      <c r="M80" s="64" t="str">
        <f t="shared" ref="M80:V89" ca="1" si="24">IF(M$33="","","-")</f>
        <v>-</v>
      </c>
      <c r="N80" s="64" t="str">
        <f t="shared" ca="1" si="24"/>
        <v>-</v>
      </c>
      <c r="O80" s="64" t="str">
        <f t="shared" ca="1" si="24"/>
        <v>-</v>
      </c>
      <c r="P80" s="64" t="str">
        <f t="shared" ca="1" si="24"/>
        <v>-</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4"/>
        <v>-</v>
      </c>
      <c r="N81" s="64" t="str">
        <f t="shared" ca="1" si="24"/>
        <v>-</v>
      </c>
      <c r="O81" s="64" t="str">
        <f t="shared" ca="1" si="24"/>
        <v>-</v>
      </c>
      <c r="P81" s="64" t="str">
        <f t="shared" ca="1" si="24"/>
        <v>-</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Solar Water Heater</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ca="1" si="24"/>
        <v>-</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ca="1" si="24"/>
        <v>-</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ca="1" si="24"/>
        <v>-</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ca="1" si="24"/>
        <v>-</v>
      </c>
      <c r="Q85" s="64" t="str">
        <f t="shared" si="24"/>
        <v/>
      </c>
      <c r="R85" s="64" t="str">
        <f t="shared" si="24"/>
        <v/>
      </c>
      <c r="S85" s="64" t="str">
        <f t="shared" si="24"/>
        <v/>
      </c>
      <c r="T85" s="64" t="str">
        <f t="shared" si="24"/>
        <v/>
      </c>
      <c r="U85" s="64" t="str">
        <f t="shared" si="24"/>
        <v/>
      </c>
      <c r="V85" s="64" t="str">
        <f t="shared" si="24"/>
        <v/>
      </c>
    </row>
    <row r="86" spans="1:22">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c r="A88" s="1">
        <f t="shared" si="20"/>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c r="A89" s="1">
        <f t="shared" si="20"/>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c r="A90" s="1">
        <f t="shared" si="20"/>
        <v>58</v>
      </c>
      <c r="B90" s="65" t="s">
        <v>63</v>
      </c>
      <c r="C90" s="65"/>
      <c r="D90" s="65"/>
      <c r="E90" s="65"/>
      <c r="F90" s="65"/>
      <c r="G90" s="65"/>
      <c r="H90" s="65"/>
      <c r="I90" s="65"/>
      <c r="J90" s="65"/>
      <c r="K90" s="65"/>
      <c r="L90" s="65"/>
      <c r="M90" s="64" t="str">
        <f t="shared" ref="M90:V103" ca="1" si="26">IF(M$33="","","-")</f>
        <v>-</v>
      </c>
      <c r="N90" s="64" t="str">
        <f t="shared" ca="1" si="26"/>
        <v>-</v>
      </c>
      <c r="O90" s="64" t="str">
        <f t="shared" ca="1" si="26"/>
        <v>-</v>
      </c>
      <c r="P90" s="64" t="str">
        <f t="shared" ca="1" si="26"/>
        <v>-</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6"/>
        <v>-</v>
      </c>
      <c r="N91" s="64" t="str">
        <f t="shared" ca="1" si="26"/>
        <v>-</v>
      </c>
      <c r="O91" s="64" t="str">
        <f t="shared" ca="1" si="26"/>
        <v>-</v>
      </c>
      <c r="P91" s="64" t="str">
        <f t="shared" ca="1" si="26"/>
        <v>-</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6"/>
        <v>-</v>
      </c>
      <c r="N92" s="64" t="str">
        <f t="shared" ca="1" si="26"/>
        <v>-</v>
      </c>
      <c r="O92" s="64" t="str">
        <f t="shared" ca="1" si="26"/>
        <v>-</v>
      </c>
      <c r="P92" s="64" t="str">
        <f t="shared" ca="1" si="26"/>
        <v>-</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6"/>
        <v>-</v>
      </c>
      <c r="N93" s="64" t="str">
        <f t="shared" ca="1" si="26"/>
        <v>-</v>
      </c>
      <c r="O93" s="64" t="str">
        <f t="shared" ca="1" si="26"/>
        <v>-</v>
      </c>
      <c r="P93" s="64" t="str">
        <f t="shared" ca="1" si="26"/>
        <v>-</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6"/>
        <v>-</v>
      </c>
      <c r="N94" s="64" t="str">
        <f t="shared" ca="1" si="26"/>
        <v>-</v>
      </c>
      <c r="O94" s="64" t="str">
        <f t="shared" ca="1" si="26"/>
        <v>-</v>
      </c>
      <c r="P94" s="64" t="str">
        <f t="shared" ca="1" si="26"/>
        <v>-</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6"/>
        <v>-</v>
      </c>
      <c r="N95" s="64" t="str">
        <f t="shared" ca="1" si="26"/>
        <v>-</v>
      </c>
      <c r="O95" s="64" t="str">
        <f t="shared" ca="1" si="26"/>
        <v>-</v>
      </c>
      <c r="P95" s="64" t="str">
        <f t="shared" ca="1" si="26"/>
        <v>-</v>
      </c>
      <c r="Q95" s="64" t="str">
        <f t="shared" si="26"/>
        <v/>
      </c>
      <c r="R95" s="64" t="str">
        <f t="shared" si="26"/>
        <v/>
      </c>
      <c r="S95" s="64" t="str">
        <f t="shared" si="26"/>
        <v/>
      </c>
      <c r="T95" s="64" t="str">
        <f t="shared" si="26"/>
        <v/>
      </c>
      <c r="U95" s="64" t="str">
        <f t="shared" si="26"/>
        <v/>
      </c>
      <c r="V95" s="64" t="str">
        <f t="shared" si="26"/>
        <v/>
      </c>
    </row>
    <row r="96" spans="1:22">
      <c r="A96" s="1">
        <f t="shared" si="20"/>
        <v>64</v>
      </c>
      <c r="B96" s="65" t="s">
        <v>57</v>
      </c>
      <c r="C96" s="65"/>
      <c r="D96" s="65"/>
      <c r="E96" s="65"/>
      <c r="F96" s="65"/>
      <c r="G96" s="65"/>
      <c r="H96" s="65"/>
      <c r="I96" s="65"/>
      <c r="J96" s="65"/>
      <c r="K96" s="65"/>
      <c r="L96" s="65"/>
      <c r="M96" s="64" t="str">
        <f t="shared" ca="1" si="26"/>
        <v>-</v>
      </c>
      <c r="N96" s="64" t="str">
        <f t="shared" ca="1" si="26"/>
        <v>-</v>
      </c>
      <c r="O96" s="64" t="str">
        <f t="shared" ca="1" si="26"/>
        <v>-</v>
      </c>
      <c r="P96" s="64" t="str">
        <f t="shared" ca="1" si="26"/>
        <v>-</v>
      </c>
      <c r="Q96" s="64" t="str">
        <f t="shared" si="26"/>
        <v/>
      </c>
      <c r="R96" s="64" t="str">
        <f t="shared" si="26"/>
        <v/>
      </c>
      <c r="S96" s="64" t="str">
        <f t="shared" si="26"/>
        <v/>
      </c>
      <c r="T96" s="64" t="str">
        <f t="shared" si="26"/>
        <v/>
      </c>
      <c r="U96" s="64" t="str">
        <f t="shared" si="26"/>
        <v/>
      </c>
      <c r="V96" s="64" t="str">
        <f t="shared" si="26"/>
        <v/>
      </c>
    </row>
    <row r="97" spans="1:22">
      <c r="A97" s="1">
        <f t="shared" si="20"/>
        <v>65</v>
      </c>
      <c r="B97" s="65" t="s">
        <v>56</v>
      </c>
      <c r="C97" s="65"/>
      <c r="D97" s="65"/>
      <c r="E97" s="65"/>
      <c r="F97" s="65"/>
      <c r="G97" s="65"/>
      <c r="H97" s="65"/>
      <c r="I97" s="65"/>
      <c r="J97" s="65"/>
      <c r="K97" s="65"/>
      <c r="L97" s="65"/>
      <c r="M97" s="64" t="str">
        <f t="shared" ca="1" si="26"/>
        <v>-</v>
      </c>
      <c r="N97" s="64" t="str">
        <f t="shared" ca="1" si="26"/>
        <v>-</v>
      </c>
      <c r="O97" s="64" t="str">
        <f t="shared" ca="1" si="26"/>
        <v>-</v>
      </c>
      <c r="P97" s="64" t="str">
        <f t="shared" ca="1" si="26"/>
        <v>-</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ca="1" si="26"/>
        <v>-</v>
      </c>
      <c r="P98" s="64" t="str">
        <f t="shared" ca="1" si="26"/>
        <v>-</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ca="1" si="26"/>
        <v>-</v>
      </c>
      <c r="P99" s="64" t="str">
        <f t="shared" ca="1" si="26"/>
        <v>-</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ca="1" si="26"/>
        <v>-</v>
      </c>
      <c r="P100" s="64" t="str">
        <f t="shared" ca="1" si="26"/>
        <v>-</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ca="1" si="26"/>
        <v>-</v>
      </c>
      <c r="P101" s="64" t="str">
        <f t="shared" ca="1" si="26"/>
        <v>-</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520</v>
      </c>
      <c r="C108" s="94" t="s">
        <v>519</v>
      </c>
      <c r="D108" s="94" t="s">
        <v>409</v>
      </c>
      <c r="E108" s="94" t="s">
        <v>122</v>
      </c>
    </row>
    <row r="109" spans="1:22">
      <c r="B109" s="93" t="s">
        <v>675</v>
      </c>
      <c r="C109" s="93">
        <v>0.94499999999999995</v>
      </c>
      <c r="D109" s="93" t="s">
        <v>699</v>
      </c>
      <c r="E109" s="93" t="s">
        <v>698</v>
      </c>
    </row>
    <row r="110" spans="1:22">
      <c r="B110" s="93" t="s">
        <v>697</v>
      </c>
      <c r="C110" s="93">
        <v>15</v>
      </c>
      <c r="D110" s="281" t="s">
        <v>548</v>
      </c>
      <c r="E110" s="93" t="s">
        <v>696</v>
      </c>
    </row>
    <row r="111" spans="1:22">
      <c r="B111" s="93" t="s">
        <v>695</v>
      </c>
      <c r="C111" s="93">
        <v>3.16</v>
      </c>
      <c r="D111" s="281" t="s">
        <v>548</v>
      </c>
      <c r="E111" s="93" t="s">
        <v>694</v>
      </c>
    </row>
    <row r="112" spans="1:22">
      <c r="B112" s="93" t="s">
        <v>693</v>
      </c>
      <c r="C112" s="93">
        <v>8.3000000000000007</v>
      </c>
      <c r="D112" s="93"/>
      <c r="E112" s="93" t="s">
        <v>692</v>
      </c>
    </row>
    <row r="113" spans="2:11">
      <c r="B113" s="93" t="s">
        <v>691</v>
      </c>
      <c r="C113" s="93">
        <v>1</v>
      </c>
      <c r="D113" s="93"/>
      <c r="E113" s="281" t="s">
        <v>690</v>
      </c>
    </row>
    <row r="114" spans="2:11">
      <c r="B114" s="93" t="s">
        <v>689</v>
      </c>
      <c r="C114" s="93">
        <v>130</v>
      </c>
      <c r="D114" s="281" t="s">
        <v>548</v>
      </c>
      <c r="E114" s="281" t="s">
        <v>688</v>
      </c>
    </row>
    <row r="115" spans="2:11">
      <c r="B115" s="93" t="s">
        <v>687</v>
      </c>
      <c r="C115" s="93">
        <v>75</v>
      </c>
      <c r="D115" s="281" t="s">
        <v>548</v>
      </c>
      <c r="E115" s="281" t="s">
        <v>686</v>
      </c>
    </row>
    <row r="116" spans="2:11">
      <c r="B116" s="93" t="s">
        <v>574</v>
      </c>
      <c r="C116" s="93">
        <v>0.9</v>
      </c>
      <c r="D116" s="93"/>
      <c r="E116" s="93" t="s">
        <v>685</v>
      </c>
    </row>
    <row r="117" spans="2:11">
      <c r="B117" s="93" t="s">
        <v>684</v>
      </c>
      <c r="C117" s="93">
        <v>0.9</v>
      </c>
      <c r="D117" s="281" t="s">
        <v>548</v>
      </c>
      <c r="E117" s="93" t="s">
        <v>683</v>
      </c>
    </row>
    <row r="118" spans="2:11">
      <c r="B118" s="93" t="s">
        <v>682</v>
      </c>
      <c r="C118" s="93">
        <v>8.2000000000000003E-2</v>
      </c>
      <c r="D118" s="281" t="s">
        <v>548</v>
      </c>
      <c r="E118" s="93" t="s">
        <v>681</v>
      </c>
    </row>
    <row r="119" spans="2:11">
      <c r="B119" s="93" t="s">
        <v>680</v>
      </c>
      <c r="C119" s="93">
        <v>1292</v>
      </c>
      <c r="D119" s="281" t="s">
        <v>548</v>
      </c>
      <c r="E119" s="93" t="s">
        <v>679</v>
      </c>
    </row>
    <row r="120" spans="2:11">
      <c r="B120" s="93" t="s">
        <v>549</v>
      </c>
      <c r="C120" s="93">
        <v>0.93</v>
      </c>
      <c r="D120" s="281" t="s">
        <v>548</v>
      </c>
      <c r="E120" s="93" t="s">
        <v>547</v>
      </c>
    </row>
    <row r="121" spans="2:11">
      <c r="B121" s="93" t="s">
        <v>552</v>
      </c>
      <c r="C121" s="93">
        <v>3564</v>
      </c>
      <c r="D121" s="281" t="s">
        <v>548</v>
      </c>
      <c r="E121" s="93" t="s">
        <v>678</v>
      </c>
    </row>
    <row r="122" spans="2:11">
      <c r="B122" s="93" t="s">
        <v>34</v>
      </c>
      <c r="C122" s="93">
        <v>0.53</v>
      </c>
      <c r="D122" s="281" t="s">
        <v>548</v>
      </c>
      <c r="E122" s="93" t="s">
        <v>677</v>
      </c>
    </row>
    <row r="123" spans="2:11">
      <c r="B123" s="93" t="s">
        <v>507</v>
      </c>
      <c r="C123" s="93" t="s">
        <v>555</v>
      </c>
      <c r="D123" s="281"/>
      <c r="E123" s="93" t="s">
        <v>676</v>
      </c>
    </row>
    <row r="124" spans="2:11">
      <c r="B124" s="93" t="s">
        <v>518</v>
      </c>
      <c r="C124" s="93">
        <v>18</v>
      </c>
      <c r="D124" s="281"/>
      <c r="E124" s="93"/>
    </row>
    <row r="126" spans="2:11">
      <c r="B126" s="280" t="s">
        <v>2015</v>
      </c>
      <c r="C126" s="93"/>
      <c r="D126" s="93"/>
      <c r="E126" s="93"/>
      <c r="F126" s="93"/>
      <c r="G126" s="93"/>
      <c r="H126" s="93"/>
      <c r="I126" s="93"/>
      <c r="J126" s="93"/>
      <c r="K126" s="93"/>
    </row>
    <row r="127" spans="2:11">
      <c r="B127" s="94" t="s">
        <v>507</v>
      </c>
      <c r="C127" s="94" t="s">
        <v>675</v>
      </c>
      <c r="D127" s="94" t="s">
        <v>627</v>
      </c>
      <c r="E127" s="94" t="s">
        <v>624</v>
      </c>
      <c r="F127" s="94" t="s">
        <v>500</v>
      </c>
      <c r="G127" s="94" t="s">
        <v>499</v>
      </c>
      <c r="H127" s="94" t="s">
        <v>244</v>
      </c>
      <c r="I127" s="94" t="s">
        <v>9</v>
      </c>
      <c r="J127" s="94" t="s">
        <v>8</v>
      </c>
      <c r="K127" s="94" t="s">
        <v>497</v>
      </c>
    </row>
    <row r="128" spans="2:11">
      <c r="B128" s="93">
        <v>45</v>
      </c>
      <c r="C128" s="93">
        <f>0.96-(0.0003*B128)</f>
        <v>0.94650000000000001</v>
      </c>
      <c r="D128" s="93">
        <f>($C$110*$C$111*365*$C$112*$C$113*($C$114-$C$115))/(3412*C128)</f>
        <v>2445.5826643356263</v>
      </c>
      <c r="E128" s="93">
        <f>((1-$C$116)*($C$110*$C$111*365*$C$112*$C$113*($C$114-$C$115))/(3412*$C$117))+($C$118*$C$119)</f>
        <v>363.1377768659633</v>
      </c>
      <c r="F128" s="93">
        <f>(D128-E128)*$C$120</f>
        <v>1936.6737453467867</v>
      </c>
      <c r="G128" s="93">
        <f>F128*$C$122/$C$121</f>
        <v>0.28800142677715967</v>
      </c>
      <c r="H128" s="93">
        <f>F128/D128</f>
        <v>0.79190688321014446</v>
      </c>
      <c r="I128" s="93">
        <v>4500</v>
      </c>
      <c r="J128" s="93">
        <f>I128/F128</f>
        <v>2.3235715415733154</v>
      </c>
      <c r="K128" s="93">
        <f>1/COUNT($J$128:$J$130)</f>
        <v>0.33333333333333331</v>
      </c>
    </row>
    <row r="129" spans="2:11">
      <c r="B129" s="93">
        <v>50</v>
      </c>
      <c r="C129" s="93">
        <f>0.96-(0.0003*B129)</f>
        <v>0.94499999999999995</v>
      </c>
      <c r="D129" s="93">
        <f>($C$110*$C$111*365*$C$112*$C$113*($C$114-$C$115))/(3412*C129)</f>
        <v>2449.4645415806035</v>
      </c>
      <c r="E129" s="93">
        <f>((1-$C$116)*($C$110*$C$111*365*$C$112*$C$113*($C$114-$C$115))/(3412*$C$117))+($C$118*$C$119)</f>
        <v>363.1377768659633</v>
      </c>
      <c r="F129" s="93">
        <f>(D129-E129)*$C$120</f>
        <v>1940.2838911846156</v>
      </c>
      <c r="G129" s="93">
        <f>F129*$C$122/$C$121</f>
        <v>0.28853828909311063</v>
      </c>
      <c r="H129" s="93">
        <f>F129/D129</f>
        <v>0.79212573125577024</v>
      </c>
      <c r="I129" s="93">
        <v>4500</v>
      </c>
      <c r="J129" s="93">
        <f>I129/F129</f>
        <v>2.3192482401390149</v>
      </c>
      <c r="K129" s="93">
        <f>1/COUNT($J$128:$J$130)</f>
        <v>0.33333333333333331</v>
      </c>
    </row>
    <row r="130" spans="2:11">
      <c r="B130" s="93">
        <v>55</v>
      </c>
      <c r="C130" s="93">
        <f>0.96-(0.0003*B130)</f>
        <v>0.94350000000000001</v>
      </c>
      <c r="D130" s="93">
        <f>($C$110*$C$111*365*$C$112*$C$113*($C$114-$C$115))/(3412*C130)</f>
        <v>2453.3587618374881</v>
      </c>
      <c r="E130" s="93">
        <f>((1-$C$116)*($C$110*$C$111*365*$C$112*$C$113*($C$114-$C$115))/(3412*$C$117))+($C$118*$C$119)</f>
        <v>363.1377768659633</v>
      </c>
      <c r="F130" s="93">
        <f>(D130-E130)*$C$120</f>
        <v>1943.9055160235184</v>
      </c>
      <c r="G130" s="93">
        <f>F130*$C$122/$C$121</f>
        <v>0.28907685844345254</v>
      </c>
      <c r="H130" s="93">
        <f>F130/D130</f>
        <v>0.79234457930139601</v>
      </c>
      <c r="I130" s="93">
        <v>4500</v>
      </c>
      <c r="J130" s="93">
        <f>I130/F130</f>
        <v>2.3149273269234123</v>
      </c>
      <c r="K130" s="93">
        <f>1/COUNT($J$128:$J$130)</f>
        <v>0.33333333333333331</v>
      </c>
    </row>
    <row r="131" spans="2:11">
      <c r="B131" s="7" t="s">
        <v>0</v>
      </c>
      <c r="C131" s="7"/>
      <c r="D131" s="7"/>
      <c r="E131" s="7"/>
      <c r="F131" s="7">
        <f>SUMPRODUCT(F128:F130,$K$128:$K$130)</f>
        <v>1940.2877175183066</v>
      </c>
      <c r="G131" s="7">
        <f>SUMPRODUCT(G128:G130,$K$128:$K$130)</f>
        <v>0.28853885810457425</v>
      </c>
      <c r="H131" s="7">
        <f>SUMPRODUCT(H128:H130,$K$128:$K$130)</f>
        <v>0.79212573125577024</v>
      </c>
      <c r="I131" s="7">
        <f>SUMPRODUCT(I128:I130,$K$128:$K$130)</f>
        <v>4500</v>
      </c>
      <c r="J131" s="7">
        <f>SUMPRODUCT(J128:J130,$K$128:$K$130)</f>
        <v>2.319249036211914</v>
      </c>
      <c r="K131" s="93"/>
    </row>
    <row r="133" spans="2:11">
      <c r="B133" s="280" t="s">
        <v>2016</v>
      </c>
      <c r="C133" s="93"/>
      <c r="D133" s="93"/>
      <c r="E133" s="93"/>
      <c r="F133" s="93"/>
      <c r="G133" s="93"/>
      <c r="H133" s="93"/>
      <c r="I133" s="93"/>
      <c r="J133" s="93"/>
      <c r="K133" s="93"/>
    </row>
    <row r="134" spans="2:11">
      <c r="B134" s="94" t="s">
        <v>507</v>
      </c>
      <c r="C134" s="94" t="s">
        <v>675</v>
      </c>
      <c r="D134" s="94" t="s">
        <v>2018</v>
      </c>
      <c r="E134" s="94" t="s">
        <v>2019</v>
      </c>
      <c r="F134" s="94" t="s">
        <v>2017</v>
      </c>
      <c r="G134" s="94"/>
      <c r="H134" s="94" t="s">
        <v>244</v>
      </c>
      <c r="I134" s="94" t="s">
        <v>9</v>
      </c>
      <c r="J134" s="94" t="s">
        <v>8</v>
      </c>
      <c r="K134" s="94" t="s">
        <v>497</v>
      </c>
    </row>
    <row r="135" spans="2:11">
      <c r="B135" s="93">
        <v>45</v>
      </c>
      <c r="C135" s="93">
        <f>0.6483-(0.0017*B135)</f>
        <v>0.57179999999999997</v>
      </c>
      <c r="D135" s="93">
        <f>($C$110*$C$111*365*$C$112*$C$113*($C$114-$C$115))/(1000000*C135)</f>
        <v>13.812358342077655</v>
      </c>
      <c r="E135" s="93">
        <f>((1-$C$116)*($C$110*$C$111*365*$C$112*$C$113*($C$114-$C$115))/(1000000*$C$117))</f>
        <v>0.87754516666666682</v>
      </c>
      <c r="F135" s="93">
        <f>(D135-E135)*$C$120</f>
        <v>12.029376253132218</v>
      </c>
      <c r="G135" s="93"/>
      <c r="H135" s="93">
        <f>F135/D135</f>
        <v>0.87091399999999997</v>
      </c>
      <c r="I135" s="93">
        <v>4500</v>
      </c>
      <c r="J135" s="93">
        <f>I135/F135</f>
        <v>374.08423390433785</v>
      </c>
      <c r="K135" s="93">
        <f>1/COUNT($J$128:$J$130)</f>
        <v>0.33333333333333331</v>
      </c>
    </row>
    <row r="136" spans="2:11">
      <c r="B136" s="93">
        <v>50</v>
      </c>
      <c r="C136" s="93">
        <f>0.6483-(0.0017*B136)</f>
        <v>0.56330000000000002</v>
      </c>
      <c r="D136" s="93">
        <f>($C$110*$C$111*365*$C$112*$C$113*($C$114-$C$115))/(1000000*C136)</f>
        <v>14.020781998934853</v>
      </c>
      <c r="E136" s="93">
        <f>((1-$C$116)*($C$110*$C$111*365*$C$112*$C$113*($C$114-$C$115))/(1000000*$C$117))</f>
        <v>0.87754516666666682</v>
      </c>
      <c r="F136" s="93">
        <f>(D136-E136)*$C$120</f>
        <v>12.223210254009413</v>
      </c>
      <c r="G136" s="93"/>
      <c r="H136" s="93">
        <f>F136/D136</f>
        <v>0.87179233333333328</v>
      </c>
      <c r="I136" s="93">
        <v>4500</v>
      </c>
      <c r="J136" s="93">
        <f>I136/F136</f>
        <v>368.152057150774</v>
      </c>
      <c r="K136" s="93">
        <f>1/COUNT($J$128:$J$130)</f>
        <v>0.33333333333333331</v>
      </c>
    </row>
    <row r="137" spans="2:11">
      <c r="B137" s="93">
        <v>55</v>
      </c>
      <c r="C137" s="93">
        <f>0.6483-(0.0017*B137)</f>
        <v>0.55479999999999996</v>
      </c>
      <c r="D137" s="93">
        <f>($C$110*$C$111*365*$C$112*$C$113*($C$114-$C$115))/(1000000*C137)</f>
        <v>14.235592105263162</v>
      </c>
      <c r="E137" s="93">
        <f>((1-$C$116)*($C$110*$C$111*365*$C$112*$C$113*($C$114-$C$115))/(1000000*$C$117))</f>
        <v>0.87754516666666682</v>
      </c>
      <c r="F137" s="93">
        <f>(D137-E137)*$C$120</f>
        <v>12.422983652894741</v>
      </c>
      <c r="G137" s="93"/>
      <c r="H137" s="93">
        <f>F137/D137</f>
        <v>0.87267066666666671</v>
      </c>
      <c r="I137" s="93">
        <v>4500</v>
      </c>
      <c r="J137" s="93">
        <f>I137/F137</f>
        <v>362.23182173723882</v>
      </c>
      <c r="K137" s="93">
        <f>1/COUNT($J$128:$J$130)</f>
        <v>0.33333333333333331</v>
      </c>
    </row>
    <row r="138" spans="2:11">
      <c r="B138" s="7" t="s">
        <v>0</v>
      </c>
      <c r="C138" s="7"/>
      <c r="D138" s="7"/>
      <c r="E138" s="7"/>
      <c r="F138" s="7">
        <f>SUMPRODUCT(F135:F137,$K$128:$K$130)</f>
        <v>12.225190053345456</v>
      </c>
      <c r="G138" s="7">
        <f>SUMPRODUCT(G135:G137,$K$128:$K$130)</f>
        <v>0</v>
      </c>
      <c r="H138" s="7">
        <f>SUMPRODUCT(H135:H137,$K$128:$K$130)</f>
        <v>0.87179233333333328</v>
      </c>
      <c r="I138" s="7">
        <f>SUMPRODUCT(I135:I137,$K$128:$K$130)</f>
        <v>4500</v>
      </c>
      <c r="J138" s="7">
        <f>SUMPRODUCT(J135:J137,$K$128:$K$130)</f>
        <v>368.15603759745022</v>
      </c>
      <c r="K138" s="93"/>
    </row>
  </sheetData>
  <dataValidations count="5">
    <dataValidation type="list" allowBlank="1" showInputMessage="1" showErrorMessage="1" sqref="C59:L59" xr:uid="{00000000-0002-0000-4800-000004000000}">
      <formula1>$N$19:$AQ$19</formula1>
    </dataValidation>
    <dataValidation type="list" allowBlank="1" showInputMessage="1" showErrorMessage="1" sqref="E11:E20" xr:uid="{00000000-0002-0000-4800-000003000000}">
      <formula1>$N$16:$O$16</formula1>
    </dataValidation>
    <dataValidation type="list" allowBlank="1" showInputMessage="1" showErrorMessage="1" sqref="D11:D20" xr:uid="{00000000-0002-0000-4800-000002000000}">
      <formula1>$N$22:$AE$22</formula1>
    </dataValidation>
    <dataValidation type="list" allowBlank="1" showInputMessage="1" showErrorMessage="1" sqref="B11:C20" xr:uid="{00000000-0002-0000-4800-000001000000}">
      <formula1>$N$7:$Q$7</formula1>
    </dataValidation>
    <dataValidation type="list" allowBlank="1" showInputMessage="1" showErrorMessage="1" sqref="D7" xr:uid="{00000000-0002-0000-4800-000000000000}">
      <formula1>$N$11:$O$11</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A52AE-5B8F-4B8D-A9CD-CDA0019611C8}">
  <sheetPr codeName="Sheet10">
    <tabColor indexed="60"/>
  </sheetPr>
  <dimension ref="A1:AQ138"/>
  <sheetViews>
    <sheetView topLeftCell="A3" zoomScale="90" zoomScaleNormal="90" workbookViewId="0">
      <selection activeCell="G7" sqref="G7"/>
    </sheetView>
  </sheetViews>
  <sheetFormatPr defaultColWidth="8.85546875" defaultRowHeight="1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Solar Water Heater Tune Up</v>
      </c>
      <c r="C7" s="98" t="s">
        <v>2429</v>
      </c>
      <c r="D7" s="98" t="s">
        <v>212</v>
      </c>
      <c r="E7" s="97">
        <f>C124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 Tune Up_Res, E - HWat  (RET)</v>
      </c>
      <c r="J11" s="83" t="str">
        <f t="shared" ref="J11:J20" si="3">IF(B11="","",CONCATENATE($C$7,IF(C11="","",CONCATENATE(" with ",C11," Secondary Fuel"))))</f>
        <v>Solar Water Heater Tune Up</v>
      </c>
      <c r="K11" s="83"/>
      <c r="M11" s="94" t="s">
        <v>123</v>
      </c>
      <c r="N11" s="93" t="s">
        <v>212</v>
      </c>
      <c r="O11" s="93" t="s">
        <v>211</v>
      </c>
    </row>
    <row r="12" spans="1:17">
      <c r="A12" s="1">
        <v>2</v>
      </c>
      <c r="B12" s="98"/>
      <c r="C12" s="98"/>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8"/>
      <c r="C13" s="98"/>
      <c r="D13" s="98"/>
      <c r="E13" s="99"/>
      <c r="F13" s="99"/>
      <c r="G13" s="83" t="str">
        <f t="shared" si="0"/>
        <v/>
      </c>
      <c r="H13" s="83" t="str">
        <f t="shared" si="1"/>
        <v/>
      </c>
      <c r="I13" s="83" t="str">
        <f t="shared" si="2"/>
        <v/>
      </c>
      <c r="J13" s="83" t="str">
        <f t="shared" si="3"/>
        <v/>
      </c>
      <c r="K13" s="83"/>
    </row>
    <row r="14" spans="1:17">
      <c r="A14" s="1">
        <v>4</v>
      </c>
      <c r="B14" s="98"/>
      <c r="C14" s="98"/>
      <c r="D14" s="98"/>
      <c r="E14" s="99"/>
      <c r="F14" s="99"/>
      <c r="G14" s="83" t="str">
        <f t="shared" si="0"/>
        <v/>
      </c>
      <c r="H14" s="83" t="str">
        <f t="shared" si="1"/>
        <v/>
      </c>
      <c r="I14" s="83" t="str">
        <f t="shared" si="2"/>
        <v/>
      </c>
      <c r="J14" s="83" t="str">
        <f t="shared" si="3"/>
        <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Solar Water Heater Tune Up_Res, E - HWat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Solar Water Heater Tune Up_Res, E - HWat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Solar Water Heater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Solar Water Heater Tune Up_Res, E - HWat  (RET)</v>
      </c>
      <c r="D35" s="65" t="str">
        <f t="shared" ref="D35:F36" si="10">D33</f>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Solar Water Heater Tune Up</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Residential</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2327</v>
      </c>
      <c r="D38" s="82"/>
      <c r="E38" s="82"/>
      <c r="F38" s="82"/>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Water Heating</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Solar Water Heater Tune Up</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c r="A55" s="1">
        <f t="shared" si="7"/>
        <v>23</v>
      </c>
      <c r="B55" s="65" t="s">
        <v>101</v>
      </c>
      <c r="C55" s="82" t="s">
        <v>2020</v>
      </c>
      <c r="D55" s="82"/>
      <c r="E55" s="82"/>
      <c r="F55" s="82"/>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c r="A56" s="1">
        <f t="shared" si="7"/>
        <v>24</v>
      </c>
      <c r="B56" s="65" t="s">
        <v>98</v>
      </c>
      <c r="C56" s="82" t="s">
        <v>2021</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c r="A59" s="1">
        <f t="shared" si="7"/>
        <v>27</v>
      </c>
      <c r="B59" s="65" t="s">
        <v>93</v>
      </c>
      <c r="C59" s="82" t="s">
        <v>92</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c r="A60" s="1">
        <f t="shared" si="7"/>
        <v>28</v>
      </c>
      <c r="B60" s="65" t="s">
        <v>91</v>
      </c>
      <c r="C60" s="82" t="s">
        <v>700</v>
      </c>
      <c r="D60" s="82"/>
      <c r="E60" s="82"/>
      <c r="F60" s="82"/>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c r="A61" s="1">
        <f t="shared" si="7"/>
        <v>29</v>
      </c>
      <c r="B61" s="65" t="s">
        <v>89</v>
      </c>
      <c r="C61" s="282"/>
      <c r="D61" s="282"/>
      <c r="E61" s="282"/>
      <c r="F61" s="282"/>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c r="A62" s="1">
        <f t="shared" si="7"/>
        <v>30</v>
      </c>
      <c r="B62" s="65" t="s">
        <v>88</v>
      </c>
      <c r="C62" s="282"/>
      <c r="D62" s="282"/>
      <c r="E62" s="282"/>
      <c r="F62" s="282"/>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c r="A63" s="1">
        <f t="shared" si="7"/>
        <v>31</v>
      </c>
      <c r="B63" s="65" t="s">
        <v>87</v>
      </c>
      <c r="C63" s="65"/>
      <c r="D63" s="282"/>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c r="A64" s="1">
        <f t="shared" si="7"/>
        <v>32</v>
      </c>
      <c r="B64" s="65" t="s">
        <v>86</v>
      </c>
      <c r="C64" s="67">
        <f>F131</f>
        <v>0</v>
      </c>
      <c r="D64" s="282"/>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c r="A65" s="1">
        <f t="shared" si="7"/>
        <v>33</v>
      </c>
      <c r="B65" s="65" t="s">
        <v>85</v>
      </c>
      <c r="C65" s="74">
        <f>H131</f>
        <v>0</v>
      </c>
      <c r="D65" s="282"/>
      <c r="E65" s="74"/>
      <c r="F65" s="74"/>
      <c r="G65" s="65"/>
      <c r="H65" s="65"/>
      <c r="I65" s="65"/>
      <c r="J65" s="65"/>
      <c r="K65" s="65"/>
      <c r="L65" s="65"/>
      <c r="M65" s="69">
        <v>7</v>
      </c>
      <c r="N65" s="69">
        <v>7</v>
      </c>
      <c r="O65" s="69"/>
      <c r="P65" s="69"/>
      <c r="Q65" s="69"/>
      <c r="R65" s="69"/>
      <c r="S65" s="69"/>
      <c r="T65" s="69"/>
      <c r="U65" s="69"/>
      <c r="V65" s="69"/>
    </row>
    <row r="66" spans="1:22">
      <c r="A66" s="1">
        <f t="shared" si="7"/>
        <v>34</v>
      </c>
      <c r="B66" s="65" t="s">
        <v>83</v>
      </c>
      <c r="C66" s="267"/>
      <c r="D66" s="282"/>
      <c r="E66" s="267"/>
      <c r="F66" s="267"/>
      <c r="G66" s="65"/>
      <c r="H66" s="65"/>
      <c r="I66" s="65"/>
      <c r="J66" s="65"/>
      <c r="K66" s="65"/>
      <c r="L66" s="65"/>
      <c r="M66" s="64" t="str">
        <f t="shared" ref="M66:V68"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267"/>
      <c r="D67" s="282"/>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7"/>
        <v>36</v>
      </c>
      <c r="B68" s="65" t="s">
        <v>9</v>
      </c>
      <c r="C68" s="71">
        <f>I131</f>
        <v>0</v>
      </c>
      <c r="D68" s="612"/>
      <c r="E68" s="71"/>
      <c r="F68" s="71"/>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7"/>
        <v>37</v>
      </c>
      <c r="B69" s="65" t="s">
        <v>81</v>
      </c>
      <c r="C69" s="70">
        <f>J131</f>
        <v>0</v>
      </c>
      <c r="D69" s="612"/>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Solar Water Heater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283"/>
      <c r="E73" s="182"/>
      <c r="F73" s="282"/>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c r="E78" s="65"/>
      <c r="F78" s="267"/>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266"/>
      <c r="E79" s="65"/>
      <c r="F79" s="266"/>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4"/>
      <c r="C108" s="94"/>
      <c r="D108" s="94"/>
      <c r="E108" s="94"/>
    </row>
    <row r="109" spans="1:22">
      <c r="B109" s="93"/>
      <c r="C109" s="93"/>
      <c r="D109" s="93"/>
      <c r="E109" s="93"/>
    </row>
    <row r="110" spans="1:22">
      <c r="B110" s="93"/>
      <c r="C110" s="93"/>
      <c r="D110" s="281"/>
      <c r="E110" s="93"/>
    </row>
    <row r="111" spans="1:22">
      <c r="B111" s="93"/>
      <c r="C111" s="93"/>
      <c r="D111" s="281"/>
      <c r="E111" s="93"/>
    </row>
    <row r="112" spans="1:22">
      <c r="B112" s="93"/>
      <c r="C112" s="93"/>
      <c r="D112" s="93"/>
      <c r="E112" s="93"/>
    </row>
    <row r="113" spans="2:11">
      <c r="B113" s="93"/>
      <c r="C113" s="93"/>
      <c r="D113" s="93"/>
      <c r="E113" s="281"/>
    </row>
    <row r="114" spans="2:11">
      <c r="B114" s="93"/>
      <c r="C114" s="93"/>
      <c r="D114" s="281"/>
      <c r="E114" s="281"/>
    </row>
    <row r="115" spans="2:11">
      <c r="B115" s="93"/>
      <c r="C115" s="93"/>
      <c r="D115" s="281"/>
      <c r="E115" s="281"/>
    </row>
    <row r="116" spans="2:11">
      <c r="B116" s="93"/>
      <c r="C116" s="93"/>
      <c r="D116" s="93"/>
      <c r="E116" s="93"/>
    </row>
    <row r="117" spans="2:11">
      <c r="B117" s="93"/>
      <c r="C117" s="93"/>
      <c r="D117" s="281"/>
      <c r="E117" s="93"/>
    </row>
    <row r="118" spans="2:11">
      <c r="B118" s="93"/>
      <c r="C118" s="93"/>
      <c r="D118" s="281"/>
      <c r="E118" s="93"/>
    </row>
    <row r="119" spans="2:11">
      <c r="B119" s="93"/>
      <c r="C119" s="93"/>
      <c r="D119" s="281"/>
      <c r="E119" s="93"/>
    </row>
    <row r="120" spans="2:11">
      <c r="B120" s="93"/>
      <c r="C120" s="93"/>
      <c r="D120" s="281"/>
      <c r="E120" s="93"/>
    </row>
    <row r="121" spans="2:11">
      <c r="B121" s="93"/>
      <c r="C121" s="93"/>
      <c r="D121" s="281"/>
      <c r="E121" s="93"/>
    </row>
    <row r="122" spans="2:11">
      <c r="B122" s="93"/>
      <c r="C122" s="93"/>
      <c r="D122" s="281"/>
      <c r="E122" s="93"/>
    </row>
    <row r="123" spans="2:11">
      <c r="B123" s="93"/>
      <c r="C123" s="93"/>
      <c r="D123" s="281"/>
      <c r="E123" s="93"/>
    </row>
    <row r="124" spans="2:11">
      <c r="B124" s="93"/>
      <c r="C124" s="93"/>
      <c r="D124" s="281"/>
      <c r="E124" s="93"/>
    </row>
    <row r="126" spans="2:11">
      <c r="B126" s="280"/>
      <c r="C126" s="93"/>
      <c r="D126" s="93"/>
      <c r="E126" s="93"/>
      <c r="F126" s="93"/>
      <c r="G126" s="93"/>
      <c r="H126" s="93"/>
      <c r="I126" s="93"/>
      <c r="J126" s="93"/>
      <c r="K126" s="93"/>
    </row>
    <row r="127" spans="2:11">
      <c r="B127" s="94"/>
      <c r="C127" s="94"/>
      <c r="D127" s="94"/>
      <c r="E127" s="94"/>
      <c r="F127" s="94"/>
      <c r="G127" s="94"/>
      <c r="H127" s="94"/>
      <c r="I127" s="94"/>
      <c r="J127" s="94"/>
      <c r="K127" s="94"/>
    </row>
    <row r="128" spans="2:11">
      <c r="B128" s="93"/>
      <c r="C128" s="93"/>
      <c r="D128" s="93"/>
      <c r="E128" s="93"/>
      <c r="F128" s="93"/>
      <c r="G128" s="93"/>
      <c r="H128" s="93"/>
      <c r="I128" s="93"/>
      <c r="J128" s="93"/>
      <c r="K128" s="93"/>
    </row>
    <row r="129" spans="2:11">
      <c r="B129" s="93"/>
      <c r="C129" s="93"/>
      <c r="D129" s="93"/>
      <c r="E129" s="93"/>
      <c r="F129" s="93"/>
      <c r="G129" s="93"/>
      <c r="H129" s="93"/>
      <c r="I129" s="93"/>
      <c r="J129" s="93"/>
      <c r="K129" s="93"/>
    </row>
    <row r="130" spans="2:11">
      <c r="B130" s="93"/>
      <c r="C130" s="93"/>
      <c r="D130" s="93"/>
      <c r="E130" s="93"/>
      <c r="F130" s="93"/>
      <c r="G130" s="93"/>
      <c r="H130" s="93"/>
      <c r="I130" s="93"/>
      <c r="J130" s="93"/>
      <c r="K130" s="93"/>
    </row>
    <row r="131" spans="2:11">
      <c r="B131" s="7"/>
      <c r="C131" s="7"/>
      <c r="D131" s="7"/>
      <c r="E131" s="7"/>
      <c r="F131" s="7"/>
      <c r="G131" s="7"/>
      <c r="H131" s="7"/>
      <c r="I131" s="7"/>
      <c r="J131" s="7"/>
      <c r="K131" s="93"/>
    </row>
    <row r="133" spans="2:11">
      <c r="B133" s="280"/>
      <c r="C133" s="93"/>
      <c r="D133" s="93"/>
      <c r="E133" s="93"/>
      <c r="F133" s="93"/>
      <c r="G133" s="93"/>
      <c r="H133" s="93"/>
      <c r="I133" s="93"/>
      <c r="J133" s="93"/>
      <c r="K133" s="93"/>
    </row>
    <row r="134" spans="2:11">
      <c r="B134" s="94"/>
      <c r="C134" s="94"/>
      <c r="D134" s="94"/>
      <c r="E134" s="94"/>
      <c r="F134" s="94"/>
      <c r="G134" s="94"/>
      <c r="H134" s="94"/>
      <c r="I134" s="94"/>
      <c r="J134" s="94"/>
      <c r="K134" s="94"/>
    </row>
    <row r="135" spans="2:11">
      <c r="B135" s="93"/>
      <c r="C135" s="93"/>
      <c r="D135" s="93"/>
      <c r="E135" s="93"/>
      <c r="F135" s="93"/>
      <c r="G135" s="93"/>
      <c r="H135" s="93"/>
      <c r="I135" s="93"/>
      <c r="J135" s="93"/>
      <c r="K135" s="93"/>
    </row>
    <row r="136" spans="2:11">
      <c r="B136" s="93"/>
      <c r="C136" s="93"/>
      <c r="D136" s="93"/>
      <c r="E136" s="93"/>
      <c r="F136" s="93"/>
      <c r="G136" s="93"/>
      <c r="H136" s="93"/>
      <c r="I136" s="93"/>
      <c r="J136" s="93"/>
      <c r="K136" s="93"/>
    </row>
    <row r="137" spans="2:11">
      <c r="B137" s="93"/>
      <c r="C137" s="93"/>
      <c r="D137" s="93"/>
      <c r="E137" s="93"/>
      <c r="F137" s="93"/>
      <c r="G137" s="93"/>
      <c r="H137" s="93"/>
      <c r="I137" s="93"/>
      <c r="J137" s="93"/>
      <c r="K137" s="93"/>
    </row>
    <row r="138" spans="2:11">
      <c r="B138" s="7"/>
      <c r="C138" s="7"/>
      <c r="D138" s="7"/>
      <c r="E138" s="7"/>
      <c r="F138" s="7"/>
      <c r="G138" s="7"/>
      <c r="H138" s="7"/>
      <c r="I138" s="7"/>
      <c r="J138" s="7"/>
      <c r="K138" s="93"/>
    </row>
  </sheetData>
  <dataValidations count="5">
    <dataValidation type="list" allowBlank="1" showInputMessage="1" showErrorMessage="1" sqref="D7" xr:uid="{F68AA6BB-8B67-4EC2-82DC-D0B8C03C3203}">
      <formula1>$N$11:$O$11</formula1>
    </dataValidation>
    <dataValidation type="list" allowBlank="1" showInputMessage="1" showErrorMessage="1" sqref="B11:C20" xr:uid="{72BE266B-1FB7-4306-8FB0-BC00818066C4}">
      <formula1>$N$7:$Q$7</formula1>
    </dataValidation>
    <dataValidation type="list" allowBlank="1" showInputMessage="1" showErrorMessage="1" sqref="D11:D20" xr:uid="{2648B049-29D6-44F3-92BC-346A076AD827}">
      <formula1>$N$22:$AE$22</formula1>
    </dataValidation>
    <dataValidation type="list" allowBlank="1" showInputMessage="1" showErrorMessage="1" sqref="E11:E20" xr:uid="{46A58450-875E-4BD8-B2C1-25090E937D85}">
      <formula1>$N$16:$O$16</formula1>
    </dataValidation>
    <dataValidation type="list" allowBlank="1" showInputMessage="1" showErrorMessage="1" sqref="C59:L59" xr:uid="{A8F5DBD2-766C-43A0-9278-B14B3CC6FE47}">
      <formula1>$N$19:$AQ$19</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E613-10DF-4F4B-9F2F-FEC8FB94B2E4}">
  <sheetPr codeName="Sheet71">
    <tabColor indexed="60"/>
  </sheetPr>
  <dimension ref="A1:AQ154"/>
  <sheetViews>
    <sheetView topLeftCell="A36" workbookViewId="0">
      <selection activeCell="D54" sqref="D54"/>
    </sheetView>
  </sheetViews>
  <sheetFormatPr defaultColWidth="8.85546875" defaultRowHeight="15"/>
  <cols>
    <col min="1" max="1" width="3.5703125" style="1" customWidth="1"/>
    <col min="2" max="2" width="33" style="1" bestFit="1" customWidth="1"/>
    <col min="3" max="3" width="22"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Tankless Water Heater</v>
      </c>
      <c r="C7" s="97" t="s">
        <v>2328</v>
      </c>
      <c r="D7" s="98" t="s">
        <v>212</v>
      </c>
      <c r="E7" s="97">
        <f>C120</f>
        <v>20</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Tankless Water Heater_Res, E - HWat  (MD)</v>
      </c>
      <c r="J11" s="83" t="str">
        <f t="shared" ref="J11:J20" si="3">IF(B11="","",CONCATENATE($C$7,IF(C11="","",CONCATENATE(" with ",C11," Secondary Fuel"))))</f>
        <v>Tankless Electric Water Heater</v>
      </c>
      <c r="K11" s="83"/>
      <c r="M11" s="94" t="s">
        <v>123</v>
      </c>
      <c r="N11" s="93" t="s">
        <v>212</v>
      </c>
      <c r="O11" s="93" t="s">
        <v>211</v>
      </c>
    </row>
    <row r="12" spans="1:17">
      <c r="A12" s="1">
        <v>2</v>
      </c>
      <c r="B12" s="98" t="s">
        <v>205</v>
      </c>
      <c r="C12" s="98"/>
      <c r="D12" s="98" t="s">
        <v>113</v>
      </c>
      <c r="E12" s="99" t="s">
        <v>204</v>
      </c>
      <c r="F12" s="99"/>
      <c r="G12" s="83" t="str">
        <f t="shared" si="0"/>
        <v>E</v>
      </c>
      <c r="H12" s="83" t="str">
        <f t="shared" si="1"/>
        <v xml:space="preserve">HWat </v>
      </c>
      <c r="I12" s="83" t="str">
        <f t="shared" ca="1" si="2"/>
        <v>Tankless Water Heater_Res, E - HWat  (RET)</v>
      </c>
      <c r="J12" s="83" t="str">
        <f t="shared" si="3"/>
        <v>Tankless Electric Water Heater</v>
      </c>
      <c r="K12" s="83"/>
      <c r="M12" s="94" t="s">
        <v>154</v>
      </c>
      <c r="N12" s="93" t="s">
        <v>210</v>
      </c>
      <c r="O12" s="93" t="s">
        <v>209</v>
      </c>
    </row>
    <row r="13" spans="1:17">
      <c r="A13" s="1">
        <v>3</v>
      </c>
      <c r="B13" s="98"/>
      <c r="C13" s="98"/>
      <c r="D13" s="98"/>
      <c r="E13" s="99"/>
      <c r="F13" s="99"/>
      <c r="G13" s="83" t="str">
        <f t="shared" si="0"/>
        <v/>
      </c>
      <c r="H13" s="83" t="str">
        <f t="shared" si="1"/>
        <v/>
      </c>
      <c r="I13" s="83" t="str">
        <f t="shared" si="2"/>
        <v/>
      </c>
      <c r="J13" s="83" t="str">
        <f t="shared" si="3"/>
        <v/>
      </c>
      <c r="K13" s="83"/>
    </row>
    <row r="14" spans="1:17">
      <c r="A14" s="1">
        <v>4</v>
      </c>
      <c r="B14" s="98"/>
      <c r="C14" s="98"/>
      <c r="D14" s="98"/>
      <c r="E14" s="99"/>
      <c r="F14" s="99"/>
      <c r="G14" s="83" t="str">
        <f t="shared" si="0"/>
        <v/>
      </c>
      <c r="H14" s="83" t="str">
        <f t="shared" si="1"/>
        <v/>
      </c>
      <c r="I14" s="83" t="str">
        <f t="shared" si="2"/>
        <v/>
      </c>
      <c r="J14" s="83" t="str">
        <f t="shared" si="3"/>
        <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Tankless Water Heater_Res, E - HWat  (MD)</v>
      </c>
      <c r="D33" s="83" t="str">
        <f t="shared" ca="1" si="5"/>
        <v>Tankless Water Heater_Res, E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Tankless Water Heater_Res, E - HWat  (MD)</v>
      </c>
      <c r="N33" s="84" t="str">
        <f t="shared" ca="1" si="6"/>
        <v>Tankless Water Heater_Res, E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Tankless Electric Water Heater</v>
      </c>
      <c r="D34" s="83" t="str">
        <f t="shared" si="8"/>
        <v>Tankless Electric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Tankless Water Heater_Res, E - HWat  (MD)</v>
      </c>
      <c r="D35" s="65" t="str">
        <f ca="1">D33</f>
        <v>Tankless Water Heater_Res, E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Tankless Electric Water Heater</v>
      </c>
      <c r="D36" s="65" t="str">
        <f>D34</f>
        <v>Tankless Electric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734</v>
      </c>
      <c r="D38" s="82" t="s">
        <v>734</v>
      </c>
      <c r="E38" s="82"/>
      <c r="F38" s="82"/>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20</v>
      </c>
      <c r="D39" s="83">
        <f t="shared" si="11"/>
        <v>20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Tankless Electric Water Heater</v>
      </c>
      <c r="D52" s="66" t="str">
        <f t="shared" si="16"/>
        <v>Tankless Electric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733</v>
      </c>
      <c r="D55" s="65" t="s">
        <v>732</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731</v>
      </c>
      <c r="D56" s="65" t="s">
        <v>731</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700</v>
      </c>
      <c r="D60" s="82" t="s">
        <v>700</v>
      </c>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282"/>
      <c r="D61" s="282"/>
      <c r="E61" s="282"/>
      <c r="F61" s="282"/>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282"/>
      <c r="D62" s="282"/>
      <c r="E62" s="282"/>
      <c r="F62" s="282"/>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G138</f>
        <v>-65.128985121637143</v>
      </c>
      <c r="D64" s="67">
        <f>G138</f>
        <v>-65.128985121637143</v>
      </c>
      <c r="E64" s="67"/>
      <c r="F64" s="67"/>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J138</f>
        <v>-0.28352891156462595</v>
      </c>
      <c r="D65" s="74">
        <f>J138</f>
        <v>-0.28352891156462595</v>
      </c>
      <c r="E65" s="74"/>
      <c r="F65" s="74"/>
      <c r="G65" s="65"/>
      <c r="H65" s="65"/>
      <c r="I65" s="65"/>
      <c r="J65" s="65"/>
      <c r="K65" s="65"/>
      <c r="L65" s="65"/>
      <c r="M65" s="69">
        <v>7</v>
      </c>
      <c r="N65" s="69">
        <v>7</v>
      </c>
      <c r="O65" s="69"/>
      <c r="P65" s="69"/>
      <c r="Q65" s="69"/>
      <c r="R65" s="69"/>
      <c r="S65" s="69"/>
      <c r="T65" s="69"/>
      <c r="U65" s="69"/>
      <c r="V65" s="69"/>
    </row>
    <row r="66" spans="1:22">
      <c r="A66" s="1">
        <f t="shared" ref="A66:A97" si="19">A65+1</f>
        <v>34</v>
      </c>
      <c r="B66" s="65" t="s">
        <v>83</v>
      </c>
      <c r="C66" s="267"/>
      <c r="D66" s="267"/>
      <c r="E66" s="267"/>
      <c r="F66" s="267"/>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267"/>
      <c r="D67" s="267"/>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C118</f>
        <v>229</v>
      </c>
      <c r="D68" s="71"/>
      <c r="E68" s="71"/>
      <c r="F68" s="71"/>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I138</f>
        <v>3.2488131709257404</v>
      </c>
      <c r="D69" s="70"/>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19"/>
        <v>38</v>
      </c>
      <c r="M70" s="64" t="str">
        <f t="shared" ref="M70:V79" ca="1" si="21">IF(M$33="","","-")</f>
        <v>-</v>
      </c>
      <c r="N70" s="64" t="str">
        <f t="shared" ca="1" si="21"/>
        <v>-</v>
      </c>
      <c r="O70" s="64" t="str">
        <f t="shared" si="21"/>
        <v/>
      </c>
      <c r="P70" s="64" t="str">
        <f t="shared" si="21"/>
        <v/>
      </c>
      <c r="Q70" s="64" t="str">
        <f t="shared" si="21"/>
        <v/>
      </c>
      <c r="R70" s="64" t="str">
        <f t="shared" si="21"/>
        <v/>
      </c>
      <c r="S70" s="64" t="str">
        <f t="shared" si="21"/>
        <v/>
      </c>
      <c r="T70" s="64" t="str">
        <f t="shared" si="21"/>
        <v/>
      </c>
      <c r="U70" s="64" t="str">
        <f t="shared" si="21"/>
        <v/>
      </c>
      <c r="V70" s="64" t="str">
        <f t="shared" si="21"/>
        <v/>
      </c>
    </row>
    <row r="71" spans="1:22">
      <c r="A71" s="1">
        <f t="shared" si="19"/>
        <v>39</v>
      </c>
      <c r="B71" s="1" t="s">
        <v>80</v>
      </c>
      <c r="C71" s="66" t="str">
        <f t="shared" ref="C71:L71" si="22">C52</f>
        <v>Tankless Electric Water Heater</v>
      </c>
      <c r="D71" s="66" t="str">
        <f t="shared" si="22"/>
        <v>Tankless Electric Water Heater</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si="21"/>
        <v/>
      </c>
      <c r="P71" s="64" t="str">
        <f t="shared" si="21"/>
        <v/>
      </c>
      <c r="Q71" s="64" t="str">
        <f t="shared" si="21"/>
        <v/>
      </c>
      <c r="R71" s="64" t="str">
        <f t="shared" si="21"/>
        <v/>
      </c>
      <c r="S71" s="64" t="str">
        <f t="shared" si="21"/>
        <v/>
      </c>
      <c r="T71" s="64" t="str">
        <f t="shared" si="21"/>
        <v/>
      </c>
      <c r="U71" s="64" t="str">
        <f t="shared" si="21"/>
        <v/>
      </c>
      <c r="V71" s="64" t="str">
        <f t="shared" si="21"/>
        <v/>
      </c>
    </row>
    <row r="72" spans="1:22">
      <c r="A72" s="1">
        <f t="shared" si="19"/>
        <v>40</v>
      </c>
      <c r="B72" s="65" t="s">
        <v>79</v>
      </c>
      <c r="C72" s="65"/>
      <c r="D72" s="65"/>
      <c r="E72" s="182"/>
      <c r="F72" s="65"/>
      <c r="G72" s="65"/>
      <c r="H72" s="65"/>
      <c r="I72" s="65"/>
      <c r="J72" s="65"/>
      <c r="K72" s="65"/>
      <c r="L72" s="65"/>
      <c r="M72" s="64" t="str">
        <f t="shared" ca="1" si="21"/>
        <v>-</v>
      </c>
      <c r="N72" s="64" t="str">
        <f t="shared" ca="1" si="21"/>
        <v>-</v>
      </c>
      <c r="O72" s="64" t="str">
        <f t="shared" si="21"/>
        <v/>
      </c>
      <c r="P72" s="64" t="str">
        <f t="shared" si="21"/>
        <v/>
      </c>
      <c r="Q72" s="64" t="str">
        <f t="shared" si="21"/>
        <v/>
      </c>
      <c r="R72" s="64" t="str">
        <f t="shared" si="21"/>
        <v/>
      </c>
      <c r="S72" s="64" t="str">
        <f t="shared" si="21"/>
        <v/>
      </c>
      <c r="T72" s="64" t="str">
        <f t="shared" si="21"/>
        <v/>
      </c>
      <c r="U72" s="64" t="str">
        <f t="shared" si="21"/>
        <v/>
      </c>
      <c r="V72" s="64" t="str">
        <f t="shared" si="21"/>
        <v/>
      </c>
    </row>
    <row r="73" spans="1:22">
      <c r="A73" s="1">
        <f t="shared" si="19"/>
        <v>41</v>
      </c>
      <c r="B73" s="65" t="s">
        <v>78</v>
      </c>
      <c r="C73" s="65"/>
      <c r="D73" s="283"/>
      <c r="E73" s="182"/>
      <c r="F73" s="282"/>
      <c r="G73" s="65"/>
      <c r="H73" s="65"/>
      <c r="I73" s="65"/>
      <c r="J73" s="65"/>
      <c r="K73" s="65"/>
      <c r="L73" s="65"/>
      <c r="M73" s="64" t="str">
        <f t="shared" ca="1" si="21"/>
        <v>-</v>
      </c>
      <c r="N73" s="64" t="str">
        <f t="shared" ca="1" si="21"/>
        <v>-</v>
      </c>
      <c r="O73" s="64" t="str">
        <f t="shared" si="21"/>
        <v/>
      </c>
      <c r="P73" s="64" t="str">
        <f t="shared" si="21"/>
        <v/>
      </c>
      <c r="Q73" s="64" t="str">
        <f t="shared" si="21"/>
        <v/>
      </c>
      <c r="R73" s="64" t="str">
        <f t="shared" si="21"/>
        <v/>
      </c>
      <c r="S73" s="64" t="str">
        <f t="shared" si="21"/>
        <v/>
      </c>
      <c r="T73" s="64" t="str">
        <f t="shared" si="21"/>
        <v/>
      </c>
      <c r="U73" s="64" t="str">
        <f t="shared" si="21"/>
        <v/>
      </c>
      <c r="V73" s="64" t="str">
        <f t="shared" si="21"/>
        <v/>
      </c>
    </row>
    <row r="74" spans="1:22">
      <c r="A74" s="1">
        <f t="shared" si="19"/>
        <v>42</v>
      </c>
      <c r="M74" s="64" t="str">
        <f t="shared" ca="1" si="21"/>
        <v>-</v>
      </c>
      <c r="N74" s="64" t="str">
        <f t="shared" ca="1" si="21"/>
        <v>-</v>
      </c>
      <c r="O74" s="64" t="str">
        <f t="shared" si="21"/>
        <v/>
      </c>
      <c r="P74" s="64" t="str">
        <f t="shared" si="21"/>
        <v/>
      </c>
      <c r="Q74" s="64" t="str">
        <f t="shared" si="21"/>
        <v/>
      </c>
      <c r="R74" s="64" t="str">
        <f t="shared" si="21"/>
        <v/>
      </c>
      <c r="S74" s="64" t="str">
        <f t="shared" si="21"/>
        <v/>
      </c>
      <c r="T74" s="64" t="str">
        <f t="shared" si="21"/>
        <v/>
      </c>
      <c r="U74" s="64" t="str">
        <f t="shared" si="21"/>
        <v/>
      </c>
      <c r="V74" s="64" t="str">
        <f t="shared" si="21"/>
        <v/>
      </c>
    </row>
    <row r="75" spans="1:22">
      <c r="A75" s="1">
        <f t="shared" si="19"/>
        <v>43</v>
      </c>
      <c r="B75" s="1" t="s">
        <v>77</v>
      </c>
      <c r="M75" s="64" t="str">
        <f t="shared" ca="1" si="21"/>
        <v>-</v>
      </c>
      <c r="N75" s="64" t="str">
        <f t="shared" ca="1" si="21"/>
        <v>-</v>
      </c>
      <c r="O75" s="64" t="str">
        <f t="shared" si="21"/>
        <v/>
      </c>
      <c r="P75" s="64" t="str">
        <f t="shared" si="21"/>
        <v/>
      </c>
      <c r="Q75" s="64" t="str">
        <f t="shared" si="21"/>
        <v/>
      </c>
      <c r="R75" s="64" t="str">
        <f t="shared" si="21"/>
        <v/>
      </c>
      <c r="S75" s="64" t="str">
        <f t="shared" si="21"/>
        <v/>
      </c>
      <c r="T75" s="64" t="str">
        <f t="shared" si="21"/>
        <v/>
      </c>
      <c r="U75" s="64" t="str">
        <f t="shared" si="21"/>
        <v/>
      </c>
      <c r="V75" s="64" t="str">
        <f t="shared" si="21"/>
        <v/>
      </c>
    </row>
    <row r="76" spans="1:22">
      <c r="A76" s="1">
        <f t="shared" si="19"/>
        <v>44</v>
      </c>
      <c r="B76" s="65" t="s">
        <v>76</v>
      </c>
      <c r="C76" s="65"/>
      <c r="D76" s="65">
        <f>E7</f>
        <v>20</v>
      </c>
      <c r="E76" s="65"/>
      <c r="F76" s="65"/>
      <c r="G76" s="65"/>
      <c r="H76" s="65"/>
      <c r="I76" s="65"/>
      <c r="J76" s="65"/>
      <c r="K76" s="65"/>
      <c r="L76" s="65"/>
      <c r="M76" s="64" t="str">
        <f t="shared" ca="1" si="21"/>
        <v>-</v>
      </c>
      <c r="N76" s="64" t="str">
        <f t="shared" ca="1" si="21"/>
        <v>-</v>
      </c>
      <c r="O76" s="64" t="str">
        <f t="shared" si="21"/>
        <v/>
      </c>
      <c r="P76" s="64" t="str">
        <f t="shared" si="21"/>
        <v/>
      </c>
      <c r="Q76" s="64" t="str">
        <f t="shared" si="21"/>
        <v/>
      </c>
      <c r="R76" s="64" t="str">
        <f t="shared" si="21"/>
        <v/>
      </c>
      <c r="S76" s="64" t="str">
        <f t="shared" si="21"/>
        <v/>
      </c>
      <c r="T76" s="64" t="str">
        <f t="shared" si="21"/>
        <v/>
      </c>
      <c r="U76" s="64" t="str">
        <f t="shared" si="21"/>
        <v/>
      </c>
      <c r="V76" s="64" t="str">
        <f t="shared" si="21"/>
        <v/>
      </c>
    </row>
    <row r="77" spans="1:22">
      <c r="A77" s="1">
        <f t="shared" si="19"/>
        <v>45</v>
      </c>
      <c r="B77" s="65" t="s">
        <v>75</v>
      </c>
      <c r="C77" s="65"/>
      <c r="D77" s="65">
        <f>ROUND(D76-D76*1/3,0)</f>
        <v>13</v>
      </c>
      <c r="E77" s="65"/>
      <c r="F77" s="65"/>
      <c r="G77" s="65"/>
      <c r="H77" s="65"/>
      <c r="I77" s="65"/>
      <c r="J77" s="65"/>
      <c r="K77" s="65"/>
      <c r="L77" s="65"/>
      <c r="M77" s="64" t="str">
        <f t="shared" ca="1" si="21"/>
        <v>-</v>
      </c>
      <c r="N77" s="64" t="str">
        <f t="shared" ca="1" si="21"/>
        <v>-</v>
      </c>
      <c r="O77" s="64" t="str">
        <f t="shared" si="21"/>
        <v/>
      </c>
      <c r="P77" s="64" t="str">
        <f t="shared" si="21"/>
        <v/>
      </c>
      <c r="Q77" s="64" t="str">
        <f t="shared" si="21"/>
        <v/>
      </c>
      <c r="R77" s="64" t="str">
        <f t="shared" si="21"/>
        <v/>
      </c>
      <c r="S77" s="64" t="str">
        <f t="shared" si="21"/>
        <v/>
      </c>
      <c r="T77" s="64" t="str">
        <f t="shared" si="21"/>
        <v/>
      </c>
      <c r="U77" s="64" t="str">
        <f t="shared" si="21"/>
        <v/>
      </c>
      <c r="V77" s="64" t="str">
        <f t="shared" si="21"/>
        <v/>
      </c>
    </row>
    <row r="78" spans="1:22">
      <c r="A78" s="1">
        <f t="shared" si="19"/>
        <v>46</v>
      </c>
      <c r="B78" s="65" t="s">
        <v>74</v>
      </c>
      <c r="C78" s="65"/>
      <c r="D78" s="267">
        <f>D67</f>
        <v>0</v>
      </c>
      <c r="E78" s="65"/>
      <c r="F78" s="267"/>
      <c r="G78" s="65"/>
      <c r="H78" s="65"/>
      <c r="I78" s="65"/>
      <c r="J78" s="65"/>
      <c r="K78" s="65"/>
      <c r="L78" s="65"/>
      <c r="M78" s="64" t="str">
        <f t="shared" ca="1" si="21"/>
        <v>-</v>
      </c>
      <c r="N78" s="64" t="str">
        <f t="shared" ca="1" si="21"/>
        <v>-</v>
      </c>
      <c r="O78" s="64" t="str">
        <f t="shared" si="21"/>
        <v/>
      </c>
      <c r="P78" s="64" t="str">
        <f t="shared" si="21"/>
        <v/>
      </c>
      <c r="Q78" s="64" t="str">
        <f t="shared" si="21"/>
        <v/>
      </c>
      <c r="R78" s="64" t="str">
        <f t="shared" si="21"/>
        <v/>
      </c>
      <c r="S78" s="64" t="str">
        <f t="shared" si="21"/>
        <v/>
      </c>
      <c r="T78" s="64" t="str">
        <f t="shared" si="21"/>
        <v/>
      </c>
      <c r="U78" s="64" t="str">
        <f t="shared" si="21"/>
        <v/>
      </c>
      <c r="V78" s="64" t="str">
        <f t="shared" si="21"/>
        <v/>
      </c>
    </row>
    <row r="79" spans="1:22">
      <c r="A79" s="1">
        <f t="shared" si="19"/>
        <v>47</v>
      </c>
      <c r="B79" s="65" t="s">
        <v>73</v>
      </c>
      <c r="C79" s="65"/>
      <c r="D79" s="67">
        <f>D78/D64</f>
        <v>0</v>
      </c>
      <c r="E79" s="65"/>
      <c r="F79" s="266"/>
      <c r="G79" s="65"/>
      <c r="H79" s="65"/>
      <c r="I79" s="65"/>
      <c r="J79" s="65"/>
      <c r="K79" s="65"/>
      <c r="L79" s="65"/>
      <c r="M79" s="64" t="str">
        <f t="shared" ca="1" si="21"/>
        <v>-</v>
      </c>
      <c r="N79" s="64" t="str">
        <f t="shared" ca="1" si="21"/>
        <v>-</v>
      </c>
      <c r="O79" s="64" t="str">
        <f t="shared" si="21"/>
        <v/>
      </c>
      <c r="P79" s="64" t="str">
        <f t="shared" si="21"/>
        <v/>
      </c>
      <c r="Q79" s="64" t="str">
        <f t="shared" si="21"/>
        <v/>
      </c>
      <c r="R79" s="64" t="str">
        <f t="shared" si="21"/>
        <v/>
      </c>
      <c r="S79" s="64" t="str">
        <f t="shared" si="21"/>
        <v/>
      </c>
      <c r="T79" s="64" t="str">
        <f t="shared" si="21"/>
        <v/>
      </c>
      <c r="U79" s="64" t="str">
        <f t="shared" si="21"/>
        <v/>
      </c>
      <c r="V79" s="64" t="str">
        <f t="shared" si="21"/>
        <v/>
      </c>
    </row>
    <row r="80" spans="1:22">
      <c r="A80" s="1">
        <f t="shared" si="19"/>
        <v>48</v>
      </c>
      <c r="B80" s="65" t="s">
        <v>72</v>
      </c>
      <c r="C80" s="65"/>
      <c r="D80" s="73"/>
      <c r="E80" s="65"/>
      <c r="F80" s="65"/>
      <c r="G80" s="65"/>
      <c r="H80" s="65"/>
      <c r="I80" s="65"/>
      <c r="J80" s="65"/>
      <c r="K80" s="65"/>
      <c r="L80" s="65"/>
      <c r="M80" s="64" t="str">
        <f t="shared" ref="M80:V89" ca="1" si="23">IF(M$33="","","-")</f>
        <v>-</v>
      </c>
      <c r="N80" s="64" t="str">
        <f t="shared" ca="1" si="23"/>
        <v>-</v>
      </c>
      <c r="O80" s="64" t="str">
        <f t="shared" si="23"/>
        <v/>
      </c>
      <c r="P80" s="64" t="str">
        <f t="shared" si="23"/>
        <v/>
      </c>
      <c r="Q80" s="64" t="str">
        <f t="shared" si="23"/>
        <v/>
      </c>
      <c r="R80" s="64" t="str">
        <f t="shared" si="23"/>
        <v/>
      </c>
      <c r="S80" s="64" t="str">
        <f t="shared" si="23"/>
        <v/>
      </c>
      <c r="T80" s="64" t="str">
        <f t="shared" si="23"/>
        <v/>
      </c>
      <c r="U80" s="64" t="str">
        <f t="shared" si="23"/>
        <v/>
      </c>
      <c r="V80" s="64" t="str">
        <f t="shared" si="23"/>
        <v/>
      </c>
    </row>
    <row r="81" spans="1:22">
      <c r="A81" s="1">
        <f t="shared" si="19"/>
        <v>49</v>
      </c>
      <c r="M81" s="64" t="str">
        <f t="shared" ca="1" si="23"/>
        <v>-</v>
      </c>
      <c r="N81" s="64" t="str">
        <f t="shared" ca="1" si="23"/>
        <v>-</v>
      </c>
      <c r="O81" s="64" t="str">
        <f t="shared" si="23"/>
        <v/>
      </c>
      <c r="P81" s="64" t="str">
        <f t="shared" si="23"/>
        <v/>
      </c>
      <c r="Q81" s="64" t="str">
        <f t="shared" si="23"/>
        <v/>
      </c>
      <c r="R81" s="64" t="str">
        <f t="shared" si="23"/>
        <v/>
      </c>
      <c r="S81" s="64" t="str">
        <f t="shared" si="23"/>
        <v/>
      </c>
      <c r="T81" s="64" t="str">
        <f t="shared" si="23"/>
        <v/>
      </c>
      <c r="U81" s="64" t="str">
        <f t="shared" si="23"/>
        <v/>
      </c>
      <c r="V81" s="64" t="str">
        <f t="shared" si="23"/>
        <v/>
      </c>
    </row>
    <row r="82" spans="1:22">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si="23"/>
        <v/>
      </c>
      <c r="P82" s="64" t="str">
        <f t="shared" si="23"/>
        <v/>
      </c>
      <c r="Q82" s="64" t="str">
        <f t="shared" si="23"/>
        <v/>
      </c>
      <c r="R82" s="64" t="str">
        <f t="shared" si="23"/>
        <v/>
      </c>
      <c r="S82" s="64" t="str">
        <f t="shared" si="23"/>
        <v/>
      </c>
      <c r="T82" s="64" t="str">
        <f t="shared" si="23"/>
        <v/>
      </c>
      <c r="U82" s="64" t="str">
        <f t="shared" si="23"/>
        <v/>
      </c>
      <c r="V82" s="64" t="str">
        <f t="shared" si="23"/>
        <v/>
      </c>
    </row>
    <row r="83" spans="1:22">
      <c r="A83" s="1">
        <f t="shared" si="19"/>
        <v>51</v>
      </c>
      <c r="B83" s="65" t="s">
        <v>70</v>
      </c>
      <c r="C83" s="65"/>
      <c r="D83" s="65"/>
      <c r="E83" s="65"/>
      <c r="F83" s="65"/>
      <c r="G83" s="65"/>
      <c r="H83" s="65"/>
      <c r="I83" s="65"/>
      <c r="J83" s="65"/>
      <c r="K83" s="65"/>
      <c r="L83" s="65"/>
      <c r="M83" s="64" t="str">
        <f t="shared" ca="1" si="23"/>
        <v>-</v>
      </c>
      <c r="N83" s="64" t="str">
        <f t="shared" ca="1" si="23"/>
        <v>-</v>
      </c>
      <c r="O83" s="64" t="str">
        <f t="shared" si="23"/>
        <v/>
      </c>
      <c r="P83" s="64" t="str">
        <f t="shared" si="23"/>
        <v/>
      </c>
      <c r="Q83" s="64" t="str">
        <f t="shared" si="23"/>
        <v/>
      </c>
      <c r="R83" s="64" t="str">
        <f t="shared" si="23"/>
        <v/>
      </c>
      <c r="S83" s="64" t="str">
        <f t="shared" si="23"/>
        <v/>
      </c>
      <c r="T83" s="64" t="str">
        <f t="shared" si="23"/>
        <v/>
      </c>
      <c r="U83" s="64" t="str">
        <f t="shared" si="23"/>
        <v/>
      </c>
      <c r="V83" s="64" t="str">
        <f t="shared" si="23"/>
        <v/>
      </c>
    </row>
    <row r="84" spans="1:22">
      <c r="A84" s="1">
        <f t="shared" si="19"/>
        <v>52</v>
      </c>
      <c r="B84" s="65" t="s">
        <v>69</v>
      </c>
      <c r="C84" s="65"/>
      <c r="D84" s="65"/>
      <c r="E84" s="65"/>
      <c r="F84" s="65"/>
      <c r="G84" s="65"/>
      <c r="H84" s="65"/>
      <c r="I84" s="65"/>
      <c r="J84" s="65"/>
      <c r="K84" s="65"/>
      <c r="L84" s="65"/>
      <c r="M84" s="64" t="str">
        <f t="shared" ca="1" si="23"/>
        <v>-</v>
      </c>
      <c r="N84" s="64" t="str">
        <f t="shared" ca="1" si="23"/>
        <v>-</v>
      </c>
      <c r="O84" s="64" t="str">
        <f t="shared" si="23"/>
        <v/>
      </c>
      <c r="P84" s="64" t="str">
        <f t="shared" si="23"/>
        <v/>
      </c>
      <c r="Q84" s="64" t="str">
        <f t="shared" si="23"/>
        <v/>
      </c>
      <c r="R84" s="64" t="str">
        <f t="shared" si="23"/>
        <v/>
      </c>
      <c r="S84" s="64" t="str">
        <f t="shared" si="23"/>
        <v/>
      </c>
      <c r="T84" s="64" t="str">
        <f t="shared" si="23"/>
        <v/>
      </c>
      <c r="U84" s="64" t="str">
        <f t="shared" si="23"/>
        <v/>
      </c>
      <c r="V84" s="64" t="str">
        <f t="shared" si="23"/>
        <v/>
      </c>
    </row>
    <row r="85" spans="1:22">
      <c r="A85" s="1">
        <f t="shared" si="19"/>
        <v>53</v>
      </c>
      <c r="B85" s="65" t="s">
        <v>68</v>
      </c>
      <c r="C85" s="65"/>
      <c r="D85" s="65"/>
      <c r="E85" s="65"/>
      <c r="F85" s="65"/>
      <c r="G85" s="65"/>
      <c r="H85" s="65"/>
      <c r="I85" s="65"/>
      <c r="J85" s="65"/>
      <c r="K85" s="65"/>
      <c r="L85" s="65"/>
      <c r="M85" s="64" t="str">
        <f t="shared" ca="1" si="23"/>
        <v>-</v>
      </c>
      <c r="N85" s="64" t="str">
        <f t="shared" ca="1" si="23"/>
        <v>-</v>
      </c>
      <c r="O85" s="64" t="str">
        <f t="shared" si="23"/>
        <v/>
      </c>
      <c r="P85" s="64" t="str">
        <f t="shared" si="23"/>
        <v/>
      </c>
      <c r="Q85" s="64" t="str">
        <f t="shared" si="23"/>
        <v/>
      </c>
      <c r="R85" s="64" t="str">
        <f t="shared" si="23"/>
        <v/>
      </c>
      <c r="S85" s="64" t="str">
        <f t="shared" si="23"/>
        <v/>
      </c>
      <c r="T85" s="64" t="str">
        <f t="shared" si="23"/>
        <v/>
      </c>
      <c r="U85" s="64" t="str">
        <f t="shared" si="23"/>
        <v/>
      </c>
      <c r="V85" s="64" t="str">
        <f t="shared" si="23"/>
        <v/>
      </c>
    </row>
    <row r="86" spans="1:22">
      <c r="A86" s="1">
        <f t="shared" si="19"/>
        <v>54</v>
      </c>
      <c r="B86" s="65" t="s">
        <v>67</v>
      </c>
      <c r="C86" s="65"/>
      <c r="D86" s="65"/>
      <c r="E86" s="65"/>
      <c r="F86" s="65"/>
      <c r="G86" s="65"/>
      <c r="H86" s="65"/>
      <c r="I86" s="65"/>
      <c r="J86" s="65"/>
      <c r="K86" s="65"/>
      <c r="L86" s="65"/>
      <c r="M86" s="64" t="str">
        <f t="shared" ca="1" si="23"/>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19"/>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19"/>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19"/>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si="25"/>
        <v/>
      </c>
      <c r="P90" s="64" t="str">
        <f t="shared" si="25"/>
        <v/>
      </c>
      <c r="Q90" s="64" t="str">
        <f t="shared" si="25"/>
        <v/>
      </c>
      <c r="R90" s="64" t="str">
        <f t="shared" si="25"/>
        <v/>
      </c>
      <c r="S90" s="64" t="str">
        <f t="shared" si="25"/>
        <v/>
      </c>
      <c r="T90" s="64" t="str">
        <f t="shared" si="25"/>
        <v/>
      </c>
      <c r="U90" s="64" t="str">
        <f t="shared" si="25"/>
        <v/>
      </c>
      <c r="V90" s="64" t="str">
        <f t="shared" si="25"/>
        <v/>
      </c>
    </row>
    <row r="91" spans="1:22">
      <c r="A91" s="1">
        <f t="shared" si="19"/>
        <v>59</v>
      </c>
      <c r="B91" s="65" t="s">
        <v>62</v>
      </c>
      <c r="C91" s="65"/>
      <c r="D91" s="65"/>
      <c r="E91" s="65"/>
      <c r="F91" s="65"/>
      <c r="G91" s="65"/>
      <c r="H91" s="65"/>
      <c r="I91" s="65"/>
      <c r="J91" s="65"/>
      <c r="K91" s="65"/>
      <c r="L91" s="65"/>
      <c r="M91" s="64" t="str">
        <f t="shared" ca="1" si="25"/>
        <v>-</v>
      </c>
      <c r="N91" s="64" t="str">
        <f t="shared" ca="1" si="25"/>
        <v>-</v>
      </c>
      <c r="O91" s="64" t="str">
        <f t="shared" si="25"/>
        <v/>
      </c>
      <c r="P91" s="64" t="str">
        <f t="shared" si="25"/>
        <v/>
      </c>
      <c r="Q91" s="64" t="str">
        <f t="shared" si="25"/>
        <v/>
      </c>
      <c r="R91" s="64" t="str">
        <f t="shared" si="25"/>
        <v/>
      </c>
      <c r="S91" s="64" t="str">
        <f t="shared" si="25"/>
        <v/>
      </c>
      <c r="T91" s="64" t="str">
        <f t="shared" si="25"/>
        <v/>
      </c>
      <c r="U91" s="64" t="str">
        <f t="shared" si="25"/>
        <v/>
      </c>
      <c r="V91" s="64" t="str">
        <f t="shared" si="25"/>
        <v/>
      </c>
    </row>
    <row r="92" spans="1:22">
      <c r="A92" s="1">
        <f t="shared" si="19"/>
        <v>60</v>
      </c>
      <c r="B92" s="65" t="s">
        <v>61</v>
      </c>
      <c r="C92" s="65"/>
      <c r="D92" s="65"/>
      <c r="E92" s="65"/>
      <c r="F92" s="65"/>
      <c r="G92" s="65"/>
      <c r="H92" s="65"/>
      <c r="I92" s="65"/>
      <c r="J92" s="65"/>
      <c r="K92" s="65"/>
      <c r="L92" s="65"/>
      <c r="M92" s="64" t="str">
        <f t="shared" ca="1" si="25"/>
        <v>-</v>
      </c>
      <c r="N92" s="64" t="str">
        <f t="shared" ca="1" si="25"/>
        <v>-</v>
      </c>
      <c r="O92" s="64" t="str">
        <f t="shared" si="25"/>
        <v/>
      </c>
      <c r="P92" s="64" t="str">
        <f t="shared" si="25"/>
        <v/>
      </c>
      <c r="Q92" s="64" t="str">
        <f t="shared" si="25"/>
        <v/>
      </c>
      <c r="R92" s="64" t="str">
        <f t="shared" si="25"/>
        <v/>
      </c>
      <c r="S92" s="64" t="str">
        <f t="shared" si="25"/>
        <v/>
      </c>
      <c r="T92" s="64" t="str">
        <f t="shared" si="25"/>
        <v/>
      </c>
      <c r="U92" s="64" t="str">
        <f t="shared" si="25"/>
        <v/>
      </c>
      <c r="V92" s="64" t="str">
        <f t="shared" si="25"/>
        <v/>
      </c>
    </row>
    <row r="93" spans="1:22">
      <c r="A93" s="1">
        <f t="shared" si="19"/>
        <v>61</v>
      </c>
      <c r="B93" s="65" t="s">
        <v>60</v>
      </c>
      <c r="C93" s="65"/>
      <c r="D93" s="65"/>
      <c r="E93" s="65"/>
      <c r="F93" s="65"/>
      <c r="G93" s="65"/>
      <c r="H93" s="65"/>
      <c r="I93" s="65"/>
      <c r="J93" s="65"/>
      <c r="K93" s="65"/>
      <c r="L93" s="65"/>
      <c r="M93" s="64" t="str">
        <f t="shared" ca="1" si="25"/>
        <v>-</v>
      </c>
      <c r="N93" s="64" t="str">
        <f t="shared" ca="1" si="25"/>
        <v>-</v>
      </c>
      <c r="O93" s="64" t="str">
        <f t="shared" si="25"/>
        <v/>
      </c>
      <c r="P93" s="64" t="str">
        <f t="shared" si="25"/>
        <v/>
      </c>
      <c r="Q93" s="64" t="str">
        <f t="shared" si="25"/>
        <v/>
      </c>
      <c r="R93" s="64" t="str">
        <f t="shared" si="25"/>
        <v/>
      </c>
      <c r="S93" s="64" t="str">
        <f t="shared" si="25"/>
        <v/>
      </c>
      <c r="T93" s="64" t="str">
        <f t="shared" si="25"/>
        <v/>
      </c>
      <c r="U93" s="64" t="str">
        <f t="shared" si="25"/>
        <v/>
      </c>
      <c r="V93" s="64" t="str">
        <f t="shared" si="25"/>
        <v/>
      </c>
    </row>
    <row r="94" spans="1:22">
      <c r="A94" s="1">
        <f t="shared" si="19"/>
        <v>62</v>
      </c>
      <c r="B94" s="65" t="s">
        <v>59</v>
      </c>
      <c r="C94" s="65"/>
      <c r="D94" s="65"/>
      <c r="E94" s="65"/>
      <c r="F94" s="65"/>
      <c r="G94" s="65"/>
      <c r="H94" s="65"/>
      <c r="I94" s="65"/>
      <c r="J94" s="65"/>
      <c r="K94" s="65"/>
      <c r="L94" s="65"/>
      <c r="M94" s="64" t="str">
        <f t="shared" ca="1" si="25"/>
        <v>-</v>
      </c>
      <c r="N94" s="64" t="str">
        <f t="shared" ca="1" si="25"/>
        <v>-</v>
      </c>
      <c r="O94" s="64" t="str">
        <f t="shared" si="25"/>
        <v/>
      </c>
      <c r="P94" s="64" t="str">
        <f t="shared" si="25"/>
        <v/>
      </c>
      <c r="Q94" s="64" t="str">
        <f t="shared" si="25"/>
        <v/>
      </c>
      <c r="R94" s="64" t="str">
        <f t="shared" si="25"/>
        <v/>
      </c>
      <c r="S94" s="64" t="str">
        <f t="shared" si="25"/>
        <v/>
      </c>
      <c r="T94" s="64" t="str">
        <f t="shared" si="25"/>
        <v/>
      </c>
      <c r="U94" s="64" t="str">
        <f t="shared" si="25"/>
        <v/>
      </c>
      <c r="V94" s="64" t="str">
        <f t="shared" si="25"/>
        <v/>
      </c>
    </row>
    <row r="95" spans="1:22">
      <c r="A95" s="1">
        <f t="shared" si="19"/>
        <v>63</v>
      </c>
      <c r="B95" s="65" t="s">
        <v>58</v>
      </c>
      <c r="C95" s="65"/>
      <c r="D95" s="65"/>
      <c r="E95" s="65"/>
      <c r="F95" s="65"/>
      <c r="G95" s="65"/>
      <c r="H95" s="65"/>
      <c r="I95" s="65"/>
      <c r="J95" s="65"/>
      <c r="K95" s="65"/>
      <c r="L95" s="65"/>
      <c r="M95" s="64" t="str">
        <f t="shared" ca="1" si="25"/>
        <v>-</v>
      </c>
      <c r="N95" s="64" t="str">
        <f t="shared" ca="1" si="25"/>
        <v>-</v>
      </c>
      <c r="O95" s="64" t="str">
        <f t="shared" si="25"/>
        <v/>
      </c>
      <c r="P95" s="64" t="str">
        <f t="shared" si="25"/>
        <v/>
      </c>
      <c r="Q95" s="64" t="str">
        <f t="shared" si="25"/>
        <v/>
      </c>
      <c r="R95" s="64" t="str">
        <f t="shared" si="25"/>
        <v/>
      </c>
      <c r="S95" s="64" t="str">
        <f t="shared" si="25"/>
        <v/>
      </c>
      <c r="T95" s="64" t="str">
        <f t="shared" si="25"/>
        <v/>
      </c>
      <c r="U95" s="64" t="str">
        <f t="shared" si="25"/>
        <v/>
      </c>
      <c r="V95" s="64" t="str">
        <f t="shared" si="25"/>
        <v/>
      </c>
    </row>
    <row r="96" spans="1:22">
      <c r="A96" s="1">
        <f t="shared" si="19"/>
        <v>64</v>
      </c>
      <c r="B96" s="65" t="s">
        <v>57</v>
      </c>
      <c r="C96" s="65"/>
      <c r="D96" s="65"/>
      <c r="E96" s="65"/>
      <c r="F96" s="65"/>
      <c r="G96" s="65"/>
      <c r="H96" s="65"/>
      <c r="I96" s="65"/>
      <c r="J96" s="65"/>
      <c r="K96" s="65"/>
      <c r="L96" s="65"/>
      <c r="M96" s="64" t="str">
        <f t="shared" ca="1" si="25"/>
        <v>-</v>
      </c>
      <c r="N96" s="64" t="str">
        <f t="shared" ca="1" si="25"/>
        <v>-</v>
      </c>
      <c r="O96" s="64" t="str">
        <f t="shared" si="25"/>
        <v/>
      </c>
      <c r="P96" s="64" t="str">
        <f t="shared" si="25"/>
        <v/>
      </c>
      <c r="Q96" s="64" t="str">
        <f t="shared" si="25"/>
        <v/>
      </c>
      <c r="R96" s="64" t="str">
        <f t="shared" si="25"/>
        <v/>
      </c>
      <c r="S96" s="64" t="str">
        <f t="shared" si="25"/>
        <v/>
      </c>
      <c r="T96" s="64" t="str">
        <f t="shared" si="25"/>
        <v/>
      </c>
      <c r="U96" s="64" t="str">
        <f t="shared" si="25"/>
        <v/>
      </c>
      <c r="V96" s="64" t="str">
        <f t="shared" si="25"/>
        <v/>
      </c>
    </row>
    <row r="97" spans="1:22">
      <c r="A97" s="1">
        <f t="shared" si="19"/>
        <v>65</v>
      </c>
      <c r="B97" s="65" t="s">
        <v>56</v>
      </c>
      <c r="C97" s="65"/>
      <c r="D97" s="65"/>
      <c r="E97" s="65"/>
      <c r="F97" s="65"/>
      <c r="G97" s="65"/>
      <c r="H97" s="65"/>
      <c r="I97" s="65"/>
      <c r="J97" s="65"/>
      <c r="K97" s="65"/>
      <c r="L97" s="65"/>
      <c r="M97" s="64" t="str">
        <f t="shared" ca="1" si="25"/>
        <v>-</v>
      </c>
      <c r="N97" s="64" t="str">
        <f t="shared" ca="1" si="25"/>
        <v>-</v>
      </c>
      <c r="O97" s="64" t="str">
        <f t="shared" si="25"/>
        <v/>
      </c>
      <c r="P97" s="64" t="str">
        <f t="shared" si="25"/>
        <v/>
      </c>
      <c r="Q97" s="64" t="str">
        <f t="shared" si="25"/>
        <v/>
      </c>
      <c r="R97" s="64" t="str">
        <f t="shared" si="25"/>
        <v/>
      </c>
      <c r="S97" s="64" t="str">
        <f t="shared" si="25"/>
        <v/>
      </c>
      <c r="T97" s="64" t="str">
        <f t="shared" si="25"/>
        <v/>
      </c>
      <c r="U97" s="64" t="str">
        <f t="shared" si="25"/>
        <v/>
      </c>
      <c r="V97" s="64" t="str">
        <f t="shared" si="25"/>
        <v/>
      </c>
    </row>
    <row r="98" spans="1:22">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si="25"/>
        <v/>
      </c>
      <c r="P98" s="64" t="str">
        <f t="shared" si="25"/>
        <v/>
      </c>
      <c r="Q98" s="64" t="str">
        <f t="shared" si="25"/>
        <v/>
      </c>
      <c r="R98" s="64" t="str">
        <f t="shared" si="25"/>
        <v/>
      </c>
      <c r="S98" s="64" t="str">
        <f t="shared" si="25"/>
        <v/>
      </c>
      <c r="T98" s="64" t="str">
        <f t="shared" si="25"/>
        <v/>
      </c>
      <c r="U98" s="64" t="str">
        <f t="shared" si="25"/>
        <v/>
      </c>
      <c r="V98" s="64" t="str">
        <f t="shared" si="25"/>
        <v/>
      </c>
    </row>
    <row r="99" spans="1:22">
      <c r="A99" s="1">
        <f t="shared" si="26"/>
        <v>67</v>
      </c>
      <c r="B99" s="65" t="s">
        <v>54</v>
      </c>
      <c r="C99" s="65"/>
      <c r="D99" s="65"/>
      <c r="E99" s="65"/>
      <c r="F99" s="65"/>
      <c r="G99" s="65"/>
      <c r="H99" s="65"/>
      <c r="I99" s="65"/>
      <c r="J99" s="65"/>
      <c r="K99" s="65"/>
      <c r="L99" s="65"/>
      <c r="M99" s="64" t="str">
        <f t="shared" ca="1" si="25"/>
        <v>-</v>
      </c>
      <c r="N99" s="64" t="str">
        <f t="shared" ca="1" si="25"/>
        <v>-</v>
      </c>
      <c r="O99" s="64" t="str">
        <f t="shared" si="25"/>
        <v/>
      </c>
      <c r="P99" s="64" t="str">
        <f t="shared" si="25"/>
        <v/>
      </c>
      <c r="Q99" s="64" t="str">
        <f t="shared" si="25"/>
        <v/>
      </c>
      <c r="R99" s="64" t="str">
        <f t="shared" si="25"/>
        <v/>
      </c>
      <c r="S99" s="64" t="str">
        <f t="shared" si="25"/>
        <v/>
      </c>
      <c r="T99" s="64" t="str">
        <f t="shared" si="25"/>
        <v/>
      </c>
      <c r="U99" s="64" t="str">
        <f t="shared" si="25"/>
        <v/>
      </c>
      <c r="V99" s="64" t="str">
        <f t="shared" si="25"/>
        <v/>
      </c>
    </row>
    <row r="100" spans="1:22">
      <c r="A100" s="1">
        <f t="shared" si="26"/>
        <v>68</v>
      </c>
      <c r="M100" s="64" t="str">
        <f t="shared" ca="1" si="25"/>
        <v>-</v>
      </c>
      <c r="N100" s="64" t="str">
        <f t="shared" ca="1" si="25"/>
        <v>-</v>
      </c>
      <c r="O100" s="64" t="str">
        <f t="shared" si="25"/>
        <v/>
      </c>
      <c r="P100" s="64" t="str">
        <f t="shared" si="25"/>
        <v/>
      </c>
      <c r="Q100" s="64" t="str">
        <f t="shared" si="25"/>
        <v/>
      </c>
      <c r="R100" s="64" t="str">
        <f t="shared" si="25"/>
        <v/>
      </c>
      <c r="S100" s="64" t="str">
        <f t="shared" si="25"/>
        <v/>
      </c>
      <c r="T100" s="64" t="str">
        <f t="shared" si="25"/>
        <v/>
      </c>
      <c r="U100" s="64" t="str">
        <f t="shared" si="25"/>
        <v/>
      </c>
      <c r="V100" s="64" t="str">
        <f t="shared" si="25"/>
        <v/>
      </c>
    </row>
    <row r="101" spans="1:22">
      <c r="A101" s="1">
        <f t="shared" si="26"/>
        <v>69</v>
      </c>
      <c r="B101" s="1" t="s">
        <v>53</v>
      </c>
      <c r="M101" s="64" t="str">
        <f t="shared" ca="1" si="25"/>
        <v>-</v>
      </c>
      <c r="N101" s="64" t="str">
        <f t="shared" ca="1" si="25"/>
        <v>-</v>
      </c>
      <c r="O101" s="64" t="str">
        <f t="shared" si="25"/>
        <v/>
      </c>
      <c r="P101" s="64" t="str">
        <f t="shared" si="25"/>
        <v/>
      </c>
      <c r="Q101" s="64" t="str">
        <f t="shared" si="25"/>
        <v/>
      </c>
      <c r="R101" s="64" t="str">
        <f t="shared" si="25"/>
        <v/>
      </c>
      <c r="S101" s="64" t="str">
        <f t="shared" si="25"/>
        <v/>
      </c>
      <c r="T101" s="64" t="str">
        <f t="shared" si="25"/>
        <v/>
      </c>
      <c r="U101" s="64" t="str">
        <f t="shared" si="25"/>
        <v/>
      </c>
      <c r="V101" s="64" t="str">
        <f t="shared" si="25"/>
        <v/>
      </c>
    </row>
    <row r="102" spans="1:22">
      <c r="A102" s="1">
        <f t="shared" si="26"/>
        <v>70</v>
      </c>
      <c r="B102" s="65" t="s">
        <v>52</v>
      </c>
      <c r="C102" s="65"/>
      <c r="D102" s="65"/>
      <c r="E102" s="65"/>
      <c r="F102" s="65"/>
      <c r="G102" s="65"/>
      <c r="H102" s="65"/>
      <c r="I102" s="65"/>
      <c r="J102" s="65"/>
      <c r="K102" s="65"/>
      <c r="L102" s="65"/>
      <c r="M102" s="64" t="str">
        <f t="shared" ca="1" si="25"/>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6"/>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4" t="s">
        <v>520</v>
      </c>
      <c r="C108" s="94" t="s">
        <v>519</v>
      </c>
      <c r="D108" s="94" t="s">
        <v>409</v>
      </c>
      <c r="E108" s="94" t="s">
        <v>122</v>
      </c>
    </row>
    <row r="109" spans="1:22">
      <c r="B109" s="93" t="s">
        <v>730</v>
      </c>
      <c r="C109" s="93">
        <v>15</v>
      </c>
      <c r="D109" s="93" t="s">
        <v>548</v>
      </c>
      <c r="E109" s="93" t="s">
        <v>729</v>
      </c>
    </row>
    <row r="110" spans="1:22">
      <c r="B110" s="93" t="s">
        <v>693</v>
      </c>
      <c r="C110" s="93">
        <v>8.3000000000000007</v>
      </c>
      <c r="D110" s="281"/>
      <c r="E110" s="93" t="s">
        <v>692</v>
      </c>
    </row>
    <row r="111" spans="1:22">
      <c r="B111" s="93" t="s">
        <v>691</v>
      </c>
      <c r="C111" s="93">
        <v>1</v>
      </c>
      <c r="D111" s="281"/>
      <c r="E111" s="93" t="s">
        <v>690</v>
      </c>
    </row>
    <row r="112" spans="1:22">
      <c r="B112" s="93" t="s">
        <v>728</v>
      </c>
      <c r="C112" s="93">
        <v>130</v>
      </c>
      <c r="D112" s="93" t="s">
        <v>548</v>
      </c>
      <c r="E112" s="93" t="s">
        <v>727</v>
      </c>
    </row>
    <row r="113" spans="2:11">
      <c r="B113" s="93" t="s">
        <v>726</v>
      </c>
      <c r="C113" s="93">
        <v>87</v>
      </c>
      <c r="D113" s="93" t="s">
        <v>725</v>
      </c>
      <c r="E113" s="281" t="s">
        <v>724</v>
      </c>
    </row>
    <row r="114" spans="2:11">
      <c r="B114" s="93" t="s">
        <v>712</v>
      </c>
      <c r="C114" s="93" t="s">
        <v>555</v>
      </c>
      <c r="D114" s="281" t="s">
        <v>723</v>
      </c>
      <c r="E114" s="281" t="s">
        <v>722</v>
      </c>
    </row>
    <row r="115" spans="2:11">
      <c r="B115" s="93" t="s">
        <v>721</v>
      </c>
      <c r="C115" s="93">
        <v>0.98</v>
      </c>
      <c r="D115" s="281"/>
      <c r="E115" s="281" t="s">
        <v>720</v>
      </c>
    </row>
    <row r="116" spans="2:11">
      <c r="B116" s="93" t="s">
        <v>719</v>
      </c>
      <c r="C116" s="93">
        <v>0.53</v>
      </c>
      <c r="D116" s="93"/>
      <c r="E116" s="93" t="s">
        <v>484</v>
      </c>
    </row>
    <row r="117" spans="2:11">
      <c r="B117" s="93" t="s">
        <v>718</v>
      </c>
      <c r="C117" s="93">
        <v>89</v>
      </c>
      <c r="D117" s="281"/>
      <c r="E117" s="93" t="s">
        <v>717</v>
      </c>
    </row>
    <row r="118" spans="2:11">
      <c r="B118" s="93" t="s">
        <v>438</v>
      </c>
      <c r="C118" s="93">
        <v>229</v>
      </c>
      <c r="D118" s="281"/>
      <c r="E118" s="93"/>
    </row>
    <row r="119" spans="2:11">
      <c r="B119" s="281" t="s">
        <v>2280</v>
      </c>
      <c r="C119" s="281"/>
      <c r="D119" s="281"/>
      <c r="E119" s="93"/>
    </row>
    <row r="120" spans="2:11">
      <c r="B120" s="93" t="s">
        <v>518</v>
      </c>
      <c r="C120" s="93">
        <v>20</v>
      </c>
      <c r="D120" s="281"/>
      <c r="E120" s="93"/>
    </row>
    <row r="121" spans="2:11">
      <c r="B121" s="93"/>
      <c r="C121" s="93"/>
      <c r="D121" s="281"/>
      <c r="E121" s="93"/>
    </row>
    <row r="122" spans="2:11">
      <c r="B122" s="93"/>
      <c r="C122" s="93"/>
      <c r="D122" s="281"/>
      <c r="E122" s="93"/>
    </row>
    <row r="123" spans="2:11">
      <c r="B123" s="93"/>
      <c r="C123" s="93"/>
      <c r="D123" s="281"/>
      <c r="E123" s="93"/>
    </row>
    <row r="124" spans="2:11">
      <c r="B124" s="1" t="s">
        <v>2325</v>
      </c>
    </row>
    <row r="125" spans="2:11">
      <c r="B125" s="94" t="s">
        <v>716</v>
      </c>
      <c r="C125" s="94" t="s">
        <v>715</v>
      </c>
      <c r="D125" s="94" t="s">
        <v>714</v>
      </c>
      <c r="E125" s="94" t="s">
        <v>713</v>
      </c>
      <c r="F125" s="94" t="s">
        <v>712</v>
      </c>
      <c r="G125" s="94" t="s">
        <v>500</v>
      </c>
      <c r="H125" s="94" t="s">
        <v>499</v>
      </c>
      <c r="I125" s="94" t="s">
        <v>498</v>
      </c>
      <c r="J125" s="94" t="s">
        <v>2007</v>
      </c>
      <c r="K125" s="94" t="s">
        <v>497</v>
      </c>
    </row>
    <row r="126" spans="2:11">
      <c r="B126" s="712" t="s">
        <v>711</v>
      </c>
      <c r="C126" s="712" t="s">
        <v>710</v>
      </c>
      <c r="D126" s="284">
        <v>50</v>
      </c>
      <c r="E126" s="93" t="s">
        <v>707</v>
      </c>
      <c r="F126" s="93">
        <f>0.8808-(0.0008*D126)</f>
        <v>0.84079999999999999</v>
      </c>
      <c r="G126" s="93">
        <f t="shared" ref="G126:G137" si="27">($C$109*365*$C$110*$C$111*($C$112-$C$113)*((1/F126)-(1/$C$115)))/3412</f>
        <v>96.748024415593775</v>
      </c>
      <c r="H126" s="93">
        <f t="shared" ref="H126:H137" si="28">($C$116*$C$109*365*$C$110*$C$111*($C$112-$C$117)*((1/F126)-(1/$C$115)))/(365*3412)</f>
        <v>0.13394931956360959</v>
      </c>
      <c r="I126" s="93">
        <f t="shared" ref="I126:I137" si="29">$C$118/G126</f>
        <v>2.3669733969584805</v>
      </c>
      <c r="J126" s="94">
        <f>G126/(($C$109*365*$C$110*$C$111*($C$112-$C$113)*((1/F126)))/3412)</f>
        <v>0.14204081632653059</v>
      </c>
      <c r="K126" s="93">
        <f>1/COUNT($I$126:$I$137)</f>
        <v>8.3333333333333329E-2</v>
      </c>
    </row>
    <row r="127" spans="2:11">
      <c r="B127" s="712"/>
      <c r="C127" s="712"/>
      <c r="D127" s="284">
        <v>50</v>
      </c>
      <c r="E127" s="93" t="s">
        <v>706</v>
      </c>
      <c r="F127" s="93">
        <f>0.9254-(0.0003*D127)</f>
        <v>0.91039999999999999</v>
      </c>
      <c r="G127" s="93">
        <f t="shared" si="27"/>
        <v>44.675823225302715</v>
      </c>
      <c r="H127" s="93">
        <f t="shared" si="28"/>
        <v>6.1854452926781003E-2</v>
      </c>
      <c r="I127" s="93">
        <f t="shared" si="29"/>
        <v>5.1258148919862085</v>
      </c>
      <c r="J127" s="94">
        <f t="shared" ref="J127:J137" si="30">G127/(($C$109*365*$C$110*$C$111*($C$112-$C$113)*((1/F127)))/3412)</f>
        <v>7.1020408163265242E-2</v>
      </c>
      <c r="K127" s="93">
        <f t="shared" ref="K127:K137" si="31">1/COUNT($I$126:$I$137)</f>
        <v>8.3333333333333329E-2</v>
      </c>
    </row>
    <row r="128" spans="2:11">
      <c r="B128" s="712"/>
      <c r="C128" s="712"/>
      <c r="D128" s="284">
        <v>50</v>
      </c>
      <c r="E128" s="93" t="s">
        <v>705</v>
      </c>
      <c r="F128" s="93">
        <f>0.9307-(0.0002*D128)</f>
        <v>0.92069999999999996</v>
      </c>
      <c r="G128" s="93">
        <f t="shared" si="27"/>
        <v>37.638484074990323</v>
      </c>
      <c r="H128" s="93">
        <f t="shared" si="28"/>
        <v>5.2111134689362196E-2</v>
      </c>
      <c r="I128" s="93">
        <f t="shared" si="29"/>
        <v>6.0841982781172588</v>
      </c>
      <c r="J128" s="94">
        <f t="shared" si="30"/>
        <v>6.0510204081632588E-2</v>
      </c>
      <c r="K128" s="93">
        <f t="shared" si="31"/>
        <v>8.3333333333333329E-2</v>
      </c>
    </row>
    <row r="129" spans="2:11">
      <c r="B129" s="712"/>
      <c r="C129" s="712"/>
      <c r="D129" s="284">
        <v>50</v>
      </c>
      <c r="E129" s="93" t="s">
        <v>704</v>
      </c>
      <c r="F129" s="93">
        <f>0.9349-(0.0001*D129)</f>
        <v>0.92989999999999995</v>
      </c>
      <c r="G129" s="93">
        <f t="shared" si="27"/>
        <v>31.484518174649391</v>
      </c>
      <c r="H129" s="93">
        <f t="shared" si="28"/>
        <v>4.3590862053847157E-2</v>
      </c>
      <c r="I129" s="93">
        <f t="shared" si="29"/>
        <v>7.2734160557802507</v>
      </c>
      <c r="J129" s="94">
        <f t="shared" si="30"/>
        <v>5.1122448979591777E-2</v>
      </c>
      <c r="K129" s="93">
        <f t="shared" si="31"/>
        <v>8.3333333333333329E-2</v>
      </c>
    </row>
    <row r="130" spans="2:11">
      <c r="B130" s="712"/>
      <c r="C130" s="712" t="s">
        <v>709</v>
      </c>
      <c r="D130" s="284">
        <v>110</v>
      </c>
      <c r="E130" s="93" t="s">
        <v>707</v>
      </c>
      <c r="F130" s="93">
        <f>1.9236-(0.0011*D130)</f>
        <v>1.8026</v>
      </c>
      <c r="G130" s="93">
        <f>($C$109*365*$C$110*$C$111*($C$112-$C$113)*((1/F130)-(1/$C$115)))/3412</f>
        <v>-266.67660140131267</v>
      </c>
      <c r="H130" s="93">
        <f t="shared" si="28"/>
        <v>-0.3692183847372108</v>
      </c>
      <c r="I130" s="93">
        <f t="shared" si="29"/>
        <v>-0.85871800824169642</v>
      </c>
      <c r="J130" s="94">
        <f t="shared" si="30"/>
        <v>-0.83938775510204078</v>
      </c>
      <c r="K130" s="93">
        <f t="shared" si="31"/>
        <v>8.3333333333333329E-2</v>
      </c>
    </row>
    <row r="131" spans="2:11">
      <c r="B131" s="712"/>
      <c r="C131" s="712"/>
      <c r="D131" s="284">
        <v>110</v>
      </c>
      <c r="E131" s="93" t="s">
        <v>706</v>
      </c>
      <c r="F131" s="93">
        <f>2.044-(0.0011*D131)</f>
        <v>1.923</v>
      </c>
      <c r="G131" s="93">
        <f t="shared" si="27"/>
        <v>-286.56819075236876</v>
      </c>
      <c r="H131" s="93">
        <f t="shared" si="28"/>
        <v>-0.39675863555584406</v>
      </c>
      <c r="I131" s="93">
        <f t="shared" si="29"/>
        <v>-0.79911172066506508</v>
      </c>
      <c r="J131" s="94">
        <f t="shared" si="30"/>
        <v>-0.96224489795918378</v>
      </c>
      <c r="K131" s="93">
        <f t="shared" si="31"/>
        <v>8.3333333333333329E-2</v>
      </c>
    </row>
    <row r="132" spans="2:11">
      <c r="B132" s="712"/>
      <c r="C132" s="712"/>
      <c r="D132" s="284">
        <v>110</v>
      </c>
      <c r="E132" s="93" t="s">
        <v>705</v>
      </c>
      <c r="F132" s="93">
        <f>2.1171-(0.0011*D132)</f>
        <v>1.9961000000000002</v>
      </c>
      <c r="G132" s="93">
        <f t="shared" si="27"/>
        <v>-297.47449093758053</v>
      </c>
      <c r="H132" s="93">
        <f t="shared" si="28"/>
        <v>-0.41185859751982318</v>
      </c>
      <c r="I132" s="93">
        <f t="shared" si="29"/>
        <v>-0.76981390665881122</v>
      </c>
      <c r="J132" s="94">
        <f t="shared" si="30"/>
        <v>-1.0368367346938778</v>
      </c>
      <c r="K132" s="93">
        <f t="shared" si="31"/>
        <v>8.3333333333333329E-2</v>
      </c>
    </row>
    <row r="133" spans="2:11">
      <c r="B133" s="712"/>
      <c r="C133" s="712"/>
      <c r="D133" s="284">
        <v>110</v>
      </c>
      <c r="E133" s="93" t="s">
        <v>704</v>
      </c>
      <c r="F133" s="93">
        <f>2.2418-(0.0011*D133)</f>
        <v>2.1208</v>
      </c>
      <c r="G133" s="93">
        <f t="shared" si="27"/>
        <v>-314.34414174717244</v>
      </c>
      <c r="H133" s="93">
        <f t="shared" si="28"/>
        <v>-0.43521492196024575</v>
      </c>
      <c r="I133" s="93">
        <f t="shared" si="29"/>
        <v>-0.72850093126337034</v>
      </c>
      <c r="J133" s="94">
        <f t="shared" si="30"/>
        <v>-1.1640816326530612</v>
      </c>
      <c r="K133" s="93">
        <f t="shared" si="31"/>
        <v>8.3333333333333329E-2</v>
      </c>
    </row>
    <row r="134" spans="2:11">
      <c r="B134" s="712" t="s">
        <v>2022</v>
      </c>
      <c r="C134" s="712" t="s">
        <v>708</v>
      </c>
      <c r="D134" s="713"/>
      <c r="E134" s="93" t="s">
        <v>707</v>
      </c>
      <c r="F134" s="93">
        <v>0.91</v>
      </c>
      <c r="G134" s="93">
        <f t="shared" si="27"/>
        <v>44.952331415026023</v>
      </c>
      <c r="H134" s="93">
        <f t="shared" si="28"/>
        <v>6.2237283316248192E-2</v>
      </c>
      <c r="I134" s="93">
        <f t="shared" si="29"/>
        <v>5.0942852749001837</v>
      </c>
      <c r="J134" s="94">
        <f t="shared" si="30"/>
        <v>7.1428571428571286E-2</v>
      </c>
      <c r="K134" s="93">
        <f t="shared" si="31"/>
        <v>8.3333333333333329E-2</v>
      </c>
    </row>
    <row r="135" spans="2:11">
      <c r="B135" s="712"/>
      <c r="C135" s="712"/>
      <c r="D135" s="713"/>
      <c r="E135" s="93" t="s">
        <v>706</v>
      </c>
      <c r="F135" s="93">
        <v>0.91</v>
      </c>
      <c r="G135" s="93">
        <f t="shared" si="27"/>
        <v>44.952331415026023</v>
      </c>
      <c r="H135" s="93">
        <f t="shared" si="28"/>
        <v>6.2237283316248192E-2</v>
      </c>
      <c r="I135" s="93">
        <f t="shared" si="29"/>
        <v>5.0942852749001837</v>
      </c>
      <c r="J135" s="94">
        <f t="shared" si="30"/>
        <v>7.1428571428571286E-2</v>
      </c>
      <c r="K135" s="93">
        <f t="shared" si="31"/>
        <v>8.3333333333333329E-2</v>
      </c>
    </row>
    <row r="136" spans="2:11">
      <c r="B136" s="712"/>
      <c r="C136" s="712"/>
      <c r="D136" s="713"/>
      <c r="E136" s="93" t="s">
        <v>705</v>
      </c>
      <c r="F136" s="93">
        <v>0.91</v>
      </c>
      <c r="G136" s="93">
        <f t="shared" si="27"/>
        <v>44.952331415026023</v>
      </c>
      <c r="H136" s="93">
        <f t="shared" si="28"/>
        <v>6.2237283316248192E-2</v>
      </c>
      <c r="I136" s="93">
        <f t="shared" si="29"/>
        <v>5.0942852749001837</v>
      </c>
      <c r="J136" s="94">
        <f t="shared" si="30"/>
        <v>7.1428571428571286E-2</v>
      </c>
      <c r="K136" s="93">
        <f t="shared" si="31"/>
        <v>8.3333333333333329E-2</v>
      </c>
    </row>
    <row r="137" spans="2:11">
      <c r="B137" s="712"/>
      <c r="C137" s="712"/>
      <c r="D137" s="713"/>
      <c r="E137" s="93" t="s">
        <v>704</v>
      </c>
      <c r="F137" s="93">
        <v>0.92</v>
      </c>
      <c r="G137" s="93">
        <f t="shared" si="27"/>
        <v>38.111759243174269</v>
      </c>
      <c r="H137" s="93">
        <f t="shared" si="28"/>
        <v>5.2766392376819161E-2</v>
      </c>
      <c r="I137" s="93">
        <f t="shared" si="29"/>
        <v>6.0086441703950833</v>
      </c>
      <c r="J137" s="94">
        <f t="shared" si="30"/>
        <v>6.1224489795918303E-2</v>
      </c>
      <c r="K137" s="93">
        <f t="shared" si="31"/>
        <v>8.3333333333333329E-2</v>
      </c>
    </row>
    <row r="138" spans="2:11">
      <c r="B138" s="7" t="s">
        <v>0</v>
      </c>
      <c r="C138" s="7"/>
      <c r="D138" s="7"/>
      <c r="E138" s="7"/>
      <c r="F138" s="7"/>
      <c r="G138" s="7">
        <f>SUMPRODUCT(G126:G137,$K$126:$K$137)</f>
        <v>-65.128985121637143</v>
      </c>
      <c r="H138" s="7">
        <f>SUMPRODUCT(H126:H137,$K$126:$K$137)</f>
        <v>-9.0172210684496684E-2</v>
      </c>
      <c r="I138" s="7">
        <f>SUMPRODUCT(I126:I137,$K$126:$K$137)</f>
        <v>3.2488131709257404</v>
      </c>
      <c r="J138" s="7">
        <f>SUMPRODUCT(J126:J137,$K$126:$K$137)</f>
        <v>-0.28352891156462595</v>
      </c>
      <c r="K138" s="7"/>
    </row>
    <row r="140" spans="2:11">
      <c r="B140" s="1" t="s">
        <v>207</v>
      </c>
    </row>
    <row r="141" spans="2:11">
      <c r="B141" s="94" t="s">
        <v>716</v>
      </c>
      <c r="C141" s="94" t="s">
        <v>715</v>
      </c>
      <c r="D141" s="94" t="s">
        <v>714</v>
      </c>
      <c r="E141" s="94" t="s">
        <v>713</v>
      </c>
      <c r="F141" s="94" t="s">
        <v>712</v>
      </c>
      <c r="G141" s="94" t="s">
        <v>500</v>
      </c>
      <c r="H141" s="94" t="s">
        <v>499</v>
      </c>
      <c r="I141" s="94" t="s">
        <v>498</v>
      </c>
      <c r="J141" s="94" t="s">
        <v>2007</v>
      </c>
      <c r="K141" s="94" t="s">
        <v>497</v>
      </c>
    </row>
    <row r="142" spans="2:11">
      <c r="B142" s="712" t="s">
        <v>711</v>
      </c>
      <c r="C142" s="712" t="s">
        <v>710</v>
      </c>
      <c r="D142" s="284">
        <v>50</v>
      </c>
      <c r="E142" s="93" t="s">
        <v>707</v>
      </c>
      <c r="F142" s="93">
        <f>0.8808-(0.0008*D142)</f>
        <v>0.84079999999999999</v>
      </c>
      <c r="G142" s="93">
        <f>($C$109*365*$C$110*$C$111*($C$112-$C$113)*((1/F142)-(1/$C$115)))/3412</f>
        <v>96.748024415593775</v>
      </c>
      <c r="H142" s="93">
        <f t="shared" ref="H142:H153" si="32">($C$116*$C$109*365*$C$110*$C$111*($C$112-$C$117)*((1/F142)-(1/$C$115)))/(365*3412)</f>
        <v>0.13394931956360959</v>
      </c>
      <c r="I142" s="93">
        <f t="shared" ref="I142:I153" si="33">$C$118/G142</f>
        <v>2.3669733969584805</v>
      </c>
      <c r="J142" s="94">
        <f>G142/(($C$109*365*$C$110*$C$111*($C$112-$C$113)*((1/F142)))/3412)</f>
        <v>0.14204081632653059</v>
      </c>
      <c r="K142" s="93">
        <f>1/COUNT($I$126:$I$137)</f>
        <v>8.3333333333333329E-2</v>
      </c>
    </row>
    <row r="143" spans="2:11">
      <c r="B143" s="712"/>
      <c r="C143" s="712"/>
      <c r="D143" s="284">
        <v>50</v>
      </c>
      <c r="E143" s="93" t="s">
        <v>706</v>
      </c>
      <c r="F143" s="93">
        <f>0.9254-(0.0003*D143)</f>
        <v>0.91039999999999999</v>
      </c>
      <c r="G143" s="93">
        <f>($C$109*365*$C$110*$C$111*($C$112-$C$113)*((1/F143)-(1/$C$115)))/3412</f>
        <v>44.675823225302715</v>
      </c>
      <c r="H143" s="93">
        <f t="shared" si="32"/>
        <v>6.1854452926781003E-2</v>
      </c>
      <c r="I143" s="93">
        <f t="shared" si="33"/>
        <v>5.1258148919862085</v>
      </c>
      <c r="J143" s="94">
        <f t="shared" ref="J143:J153" si="34">G143/(($C$109*365*$C$110*$C$111*($C$112-$C$113)*((1/F143)))/3412)</f>
        <v>7.1020408163265242E-2</v>
      </c>
      <c r="K143" s="93">
        <f t="shared" ref="K143:K153" si="35">1/COUNT($I$126:$I$137)</f>
        <v>8.3333333333333329E-2</v>
      </c>
    </row>
    <row r="144" spans="2:11">
      <c r="B144" s="712"/>
      <c r="C144" s="712"/>
      <c r="D144" s="284">
        <v>50</v>
      </c>
      <c r="E144" s="93" t="s">
        <v>705</v>
      </c>
      <c r="F144" s="93">
        <f>0.9307-(0.0002*D144)</f>
        <v>0.92069999999999996</v>
      </c>
      <c r="G144" s="93">
        <f>($C$109*365*$C$110*$C$111*($C$112-$C$113)*((1/F144)-(1/$C$115)))/3412</f>
        <v>37.638484074990323</v>
      </c>
      <c r="H144" s="93">
        <f t="shared" si="32"/>
        <v>5.2111134689362196E-2</v>
      </c>
      <c r="I144" s="93">
        <f t="shared" si="33"/>
        <v>6.0841982781172588</v>
      </c>
      <c r="J144" s="94">
        <f t="shared" si="34"/>
        <v>6.0510204081632588E-2</v>
      </c>
      <c r="K144" s="93">
        <f t="shared" si="35"/>
        <v>8.3333333333333329E-2</v>
      </c>
    </row>
    <row r="145" spans="2:11">
      <c r="B145" s="712"/>
      <c r="C145" s="712"/>
      <c r="D145" s="284">
        <v>50</v>
      </c>
      <c r="E145" s="93" t="s">
        <v>704</v>
      </c>
      <c r="F145" s="93">
        <f>0.9349-(0.0001*D145)</f>
        <v>0.92989999999999995</v>
      </c>
      <c r="G145" s="93">
        <f>($C$109*365*$C$110*$C$111*($C$112-$C$113)*((1/F145)-(1/$C$115)))/3412</f>
        <v>31.484518174649391</v>
      </c>
      <c r="H145" s="93">
        <f t="shared" si="32"/>
        <v>4.3590862053847157E-2</v>
      </c>
      <c r="I145" s="93">
        <f t="shared" si="33"/>
        <v>7.2734160557802507</v>
      </c>
      <c r="J145" s="94">
        <f t="shared" si="34"/>
        <v>5.1122448979591777E-2</v>
      </c>
      <c r="K145" s="93">
        <f t="shared" si="35"/>
        <v>8.3333333333333329E-2</v>
      </c>
    </row>
    <row r="146" spans="2:11">
      <c r="B146" s="712"/>
      <c r="C146" s="712" t="s">
        <v>709</v>
      </c>
      <c r="D146" s="284">
        <v>110</v>
      </c>
      <c r="E146" s="93" t="s">
        <v>707</v>
      </c>
      <c r="F146" s="93">
        <f>1.9236-(0.0011*D146)</f>
        <v>1.8026</v>
      </c>
      <c r="G146" s="93">
        <f>($C$109*365*$C$110*$C$111*($C$112-$C$113)*((1/F146)-(1/$C$115)))/3412</f>
        <v>-266.67660140131267</v>
      </c>
      <c r="H146" s="93">
        <f t="shared" si="32"/>
        <v>-0.3692183847372108</v>
      </c>
      <c r="I146" s="93">
        <f t="shared" si="33"/>
        <v>-0.85871800824169642</v>
      </c>
      <c r="J146" s="94">
        <f t="shared" si="34"/>
        <v>-0.83938775510204078</v>
      </c>
      <c r="K146" s="93">
        <f t="shared" si="35"/>
        <v>8.3333333333333329E-2</v>
      </c>
    </row>
    <row r="147" spans="2:11">
      <c r="B147" s="712"/>
      <c r="C147" s="712"/>
      <c r="D147" s="284">
        <v>110</v>
      </c>
      <c r="E147" s="93" t="s">
        <v>706</v>
      </c>
      <c r="F147" s="93">
        <f>2.044-(0.0011*D147)</f>
        <v>1.923</v>
      </c>
      <c r="G147" s="93">
        <f t="shared" ref="G147:G153" si="36">($C$109*365*$C$110*$C$111*($C$112-$C$113)*((1/F147)-(1/$C$115)))/3412</f>
        <v>-286.56819075236876</v>
      </c>
      <c r="H147" s="93">
        <f t="shared" si="32"/>
        <v>-0.39675863555584406</v>
      </c>
      <c r="I147" s="93">
        <f t="shared" si="33"/>
        <v>-0.79911172066506508</v>
      </c>
      <c r="J147" s="94">
        <f t="shared" si="34"/>
        <v>-0.96224489795918378</v>
      </c>
      <c r="K147" s="93">
        <f t="shared" si="35"/>
        <v>8.3333333333333329E-2</v>
      </c>
    </row>
    <row r="148" spans="2:11">
      <c r="B148" s="712"/>
      <c r="C148" s="712"/>
      <c r="D148" s="284">
        <v>110</v>
      </c>
      <c r="E148" s="93" t="s">
        <v>705</v>
      </c>
      <c r="F148" s="93">
        <f>2.1171-(0.0011*D148)</f>
        <v>1.9961000000000002</v>
      </c>
      <c r="G148" s="93">
        <f t="shared" si="36"/>
        <v>-297.47449093758053</v>
      </c>
      <c r="H148" s="93">
        <f t="shared" si="32"/>
        <v>-0.41185859751982318</v>
      </c>
      <c r="I148" s="93">
        <f t="shared" si="33"/>
        <v>-0.76981390665881122</v>
      </c>
      <c r="J148" s="94">
        <f t="shared" si="34"/>
        <v>-1.0368367346938778</v>
      </c>
      <c r="K148" s="93">
        <f t="shared" si="35"/>
        <v>8.3333333333333329E-2</v>
      </c>
    </row>
    <row r="149" spans="2:11">
      <c r="B149" s="712"/>
      <c r="C149" s="712"/>
      <c r="D149" s="284">
        <v>110</v>
      </c>
      <c r="E149" s="93" t="s">
        <v>704</v>
      </c>
      <c r="F149" s="93">
        <f>2.2418-(0.0011*D149)</f>
        <v>2.1208</v>
      </c>
      <c r="G149" s="93">
        <f t="shared" si="36"/>
        <v>-314.34414174717244</v>
      </c>
      <c r="H149" s="93">
        <f t="shared" si="32"/>
        <v>-0.43521492196024575</v>
      </c>
      <c r="I149" s="93">
        <f t="shared" si="33"/>
        <v>-0.72850093126337034</v>
      </c>
      <c r="J149" s="94">
        <f t="shared" si="34"/>
        <v>-1.1640816326530612</v>
      </c>
      <c r="K149" s="93">
        <f t="shared" si="35"/>
        <v>8.3333333333333329E-2</v>
      </c>
    </row>
    <row r="150" spans="2:11">
      <c r="B150" s="712" t="s">
        <v>2022</v>
      </c>
      <c r="C150" s="712" t="s">
        <v>708</v>
      </c>
      <c r="D150" s="713"/>
      <c r="E150" s="93" t="s">
        <v>707</v>
      </c>
      <c r="F150" s="93">
        <v>0.91</v>
      </c>
      <c r="G150" s="93">
        <f t="shared" si="36"/>
        <v>44.952331415026023</v>
      </c>
      <c r="H150" s="93">
        <f t="shared" si="32"/>
        <v>6.2237283316248192E-2</v>
      </c>
      <c r="I150" s="93">
        <f t="shared" si="33"/>
        <v>5.0942852749001837</v>
      </c>
      <c r="J150" s="94">
        <f t="shared" si="34"/>
        <v>7.1428571428571286E-2</v>
      </c>
      <c r="K150" s="93">
        <f t="shared" si="35"/>
        <v>8.3333333333333329E-2</v>
      </c>
    </row>
    <row r="151" spans="2:11">
      <c r="B151" s="712"/>
      <c r="C151" s="712"/>
      <c r="D151" s="713"/>
      <c r="E151" s="93" t="s">
        <v>706</v>
      </c>
      <c r="F151" s="93">
        <v>0.91</v>
      </c>
      <c r="G151" s="93">
        <f t="shared" si="36"/>
        <v>44.952331415026023</v>
      </c>
      <c r="H151" s="93">
        <f t="shared" si="32"/>
        <v>6.2237283316248192E-2</v>
      </c>
      <c r="I151" s="93">
        <f t="shared" si="33"/>
        <v>5.0942852749001837</v>
      </c>
      <c r="J151" s="94">
        <f t="shared" si="34"/>
        <v>7.1428571428571286E-2</v>
      </c>
      <c r="K151" s="93">
        <f t="shared" si="35"/>
        <v>8.3333333333333329E-2</v>
      </c>
    </row>
    <row r="152" spans="2:11">
      <c r="B152" s="712"/>
      <c r="C152" s="712"/>
      <c r="D152" s="713"/>
      <c r="E152" s="93" t="s">
        <v>705</v>
      </c>
      <c r="F152" s="93">
        <v>0.91</v>
      </c>
      <c r="G152" s="93">
        <f t="shared" si="36"/>
        <v>44.952331415026023</v>
      </c>
      <c r="H152" s="93">
        <f t="shared" si="32"/>
        <v>6.2237283316248192E-2</v>
      </c>
      <c r="I152" s="93">
        <f t="shared" si="33"/>
        <v>5.0942852749001837</v>
      </c>
      <c r="J152" s="94">
        <f t="shared" si="34"/>
        <v>7.1428571428571286E-2</v>
      </c>
      <c r="K152" s="93">
        <f t="shared" si="35"/>
        <v>8.3333333333333329E-2</v>
      </c>
    </row>
    <row r="153" spans="2:11">
      <c r="B153" s="712"/>
      <c r="C153" s="712"/>
      <c r="D153" s="713"/>
      <c r="E153" s="93" t="s">
        <v>704</v>
      </c>
      <c r="F153" s="93">
        <v>0.92</v>
      </c>
      <c r="G153" s="93">
        <f t="shared" si="36"/>
        <v>38.111759243174269</v>
      </c>
      <c r="H153" s="93">
        <f t="shared" si="32"/>
        <v>5.2766392376819161E-2</v>
      </c>
      <c r="I153" s="93">
        <f t="shared" si="33"/>
        <v>6.0086441703950833</v>
      </c>
      <c r="J153" s="94">
        <f t="shared" si="34"/>
        <v>6.1224489795918303E-2</v>
      </c>
      <c r="K153" s="93">
        <f t="shared" si="35"/>
        <v>8.3333333333333329E-2</v>
      </c>
    </row>
    <row r="154" spans="2:11">
      <c r="B154" s="7" t="s">
        <v>0</v>
      </c>
      <c r="C154" s="7"/>
      <c r="D154" s="7"/>
      <c r="E154" s="7"/>
      <c r="F154" s="7"/>
      <c r="G154" s="7">
        <f>SUMPRODUCT(G142:G153,$K$126:$K$137)</f>
        <v>-65.128985121637143</v>
      </c>
      <c r="H154" s="7">
        <f>SUMPRODUCT(H142:H153,$K$126:$K$137)</f>
        <v>-9.0172210684496684E-2</v>
      </c>
      <c r="I154" s="7">
        <f>SUMPRODUCT(I142:I153,$K$126:$K$137)</f>
        <v>3.2488131709257404</v>
      </c>
      <c r="J154" s="7">
        <f>SUMPRODUCT(J142:J153,$K$126:$K$137)</f>
        <v>-0.28352891156462595</v>
      </c>
      <c r="K154" s="7"/>
    </row>
  </sheetData>
  <mergeCells count="12">
    <mergeCell ref="D134:D137"/>
    <mergeCell ref="B126:B133"/>
    <mergeCell ref="C126:C129"/>
    <mergeCell ref="C130:C133"/>
    <mergeCell ref="B134:B137"/>
    <mergeCell ref="C134:C137"/>
    <mergeCell ref="D150:D153"/>
    <mergeCell ref="B142:B149"/>
    <mergeCell ref="C142:C145"/>
    <mergeCell ref="C146:C149"/>
    <mergeCell ref="B150:B153"/>
    <mergeCell ref="C150:C153"/>
  </mergeCells>
  <dataValidations count="5">
    <dataValidation type="list" allowBlank="1" showInputMessage="1" showErrorMessage="1" sqref="C59:L59" xr:uid="{00000000-0002-0000-4600-000004000000}">
      <formula1>$N$19:$AQ$19</formula1>
    </dataValidation>
    <dataValidation type="list" allowBlank="1" showInputMessage="1" showErrorMessage="1" sqref="E11:E20" xr:uid="{00000000-0002-0000-4600-000003000000}">
      <formula1>$N$16:$O$16</formula1>
    </dataValidation>
    <dataValidation type="list" allowBlank="1" showInputMessage="1" showErrorMessage="1" sqref="D11:D20" xr:uid="{00000000-0002-0000-4600-000002000000}">
      <formula1>$N$22:$AE$22</formula1>
    </dataValidation>
    <dataValidation type="list" allowBlank="1" showInputMessage="1" showErrorMessage="1" sqref="B11:C20" xr:uid="{00000000-0002-0000-4600-000001000000}">
      <formula1>$N$7:$Q$7</formula1>
    </dataValidation>
    <dataValidation type="list" allowBlank="1" showInputMessage="1" showErrorMessage="1" sqref="D7" xr:uid="{00000000-0002-0000-4600-000000000000}">
      <formula1>$N$11:$O$11</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4076-D819-4127-882D-449C5AC5A865}">
  <sheetPr codeName="Sheet50">
    <tabColor indexed="60"/>
  </sheetPr>
  <dimension ref="A1:AQ133"/>
  <sheetViews>
    <sheetView topLeftCell="A54" zoomScaleNormal="100" workbookViewId="0">
      <selection activeCell="C76" sqref="C76:C7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Thermo Restrict Valve</v>
      </c>
      <c r="C7" s="98" t="s">
        <v>858</v>
      </c>
      <c r="D7" s="97" t="s">
        <v>212</v>
      </c>
      <c r="E7" s="97">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Thermo Restrict Valve_Res, E - HWat  (RET)</v>
      </c>
      <c r="J11" s="83" t="str">
        <f t="shared" ref="J11:J20" si="3">IF(B11="","",CONCATENATE($C$7,IF(C11="","",CONCATENATE(" with ",C11," Secondary Fuel"))))</f>
        <v>Thermostatic Restriction Valve</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Thermo Restrict Valve_Res, P - HWat  (RET)</v>
      </c>
      <c r="J12" s="83" t="str">
        <f t="shared" si="3"/>
        <v>Thermostatic Restriction Valve</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Thermo Restrict Valve_Res, E - HWat  (RET)</v>
      </c>
      <c r="D33" s="83" t="str">
        <f t="shared" ca="1" si="5"/>
        <v>Thermo Restrict Valve_Res,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Thermo Restrict Valve_Res, E - HWat  (RET)</v>
      </c>
      <c r="N33" s="84" t="str">
        <f t="shared" ca="1" si="6"/>
        <v>Thermo Restrict Valve_Res,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Thermostatic Restriction Valve</v>
      </c>
      <c r="D34" s="83" t="str">
        <f t="shared" si="8"/>
        <v>Thermostatic Restriction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Thermo Restrict Valve_Res,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Thermostatic Restriction Valve</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Thermostatic Restriction Valve</v>
      </c>
      <c r="D52" s="66" t="str">
        <f t="shared" si="16"/>
        <v>Thermostatic Restriction Valve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856</v>
      </c>
      <c r="D55" s="65" t="s">
        <v>856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855</v>
      </c>
      <c r="D56" s="65" t="s">
        <v>855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F127</f>
        <v>86.345193674582958</v>
      </c>
      <c r="D64" s="67">
        <f>G133</f>
        <v>4.0536892587905298</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H127</f>
        <v>0.10999999999999999</v>
      </c>
      <c r="D65" s="74">
        <f>H133</f>
        <v>0.10999999999999999</v>
      </c>
      <c r="E65" s="67"/>
      <c r="F65" s="65"/>
      <c r="G65" s="65"/>
      <c r="H65" s="65"/>
      <c r="I65" s="65"/>
      <c r="J65" s="65"/>
      <c r="K65" s="65"/>
      <c r="L65" s="65"/>
      <c r="M65" s="69" t="s">
        <v>84</v>
      </c>
      <c r="N65" s="69"/>
      <c r="O65" s="69"/>
      <c r="P65" s="69"/>
      <c r="Q65" s="69"/>
      <c r="R65" s="69"/>
      <c r="S65" s="69"/>
      <c r="T65" s="69"/>
      <c r="U65" s="69"/>
      <c r="V65" s="69"/>
    </row>
    <row r="66" spans="1:22">
      <c r="A66" s="1">
        <f t="shared" ref="A66:A97" si="19">A65+1</f>
        <v>34</v>
      </c>
      <c r="B66" s="65" t="s">
        <v>83</v>
      </c>
      <c r="C66" s="65">
        <v>50</v>
      </c>
      <c r="D66" s="65">
        <v>50</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C66</f>
        <v>50</v>
      </c>
      <c r="D68" s="71">
        <f>D66</f>
        <v>50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J127</f>
        <v>0.58061674278577424</v>
      </c>
      <c r="D69" s="70">
        <f>J133</f>
        <v>12.493675315021022</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Thermostatic Restriction Valve</v>
      </c>
      <c r="D71" s="66" t="str">
        <f t="shared" si="23"/>
        <v>Thermostatic Restriction Valve</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E7</f>
        <v>10</v>
      </c>
      <c r="D76" s="65">
        <f>C76</f>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7</v>
      </c>
      <c r="D77" s="65">
        <f>C77</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267">
        <f>C67</f>
        <v>0</v>
      </c>
      <c r="D78" s="267">
        <f>D67</f>
        <v>0</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7">
        <f>C78/C64</f>
        <v>0</v>
      </c>
      <c r="D79" s="67">
        <f>D78/D64</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854</v>
      </c>
    </row>
    <row r="107" spans="1:22" s="63" customFormat="1" ht="15.75" thickBot="1">
      <c r="B107" s="63" t="s">
        <v>50</v>
      </c>
    </row>
    <row r="109" spans="1:22">
      <c r="B109" s="94" t="s">
        <v>520</v>
      </c>
      <c r="C109" s="94" t="s">
        <v>519</v>
      </c>
      <c r="D109" s="94" t="s">
        <v>409</v>
      </c>
      <c r="E109" s="94" t="s">
        <v>122</v>
      </c>
    </row>
    <row r="110" spans="1:22">
      <c r="B110" s="93" t="s">
        <v>518</v>
      </c>
      <c r="C110" s="93">
        <v>10</v>
      </c>
      <c r="D110" s="93" t="s">
        <v>844</v>
      </c>
      <c r="E110" s="93"/>
    </row>
    <row r="111" spans="1:22">
      <c r="B111" s="93" t="s">
        <v>438</v>
      </c>
      <c r="C111" s="93">
        <v>50</v>
      </c>
      <c r="D111" s="93" t="s">
        <v>844</v>
      </c>
      <c r="E111" s="93"/>
    </row>
    <row r="112" spans="1:22">
      <c r="B112" s="93" t="s">
        <v>484</v>
      </c>
      <c r="C112" s="97">
        <v>0.22</v>
      </c>
      <c r="D112" s="93" t="s">
        <v>844</v>
      </c>
      <c r="E112" s="93"/>
    </row>
    <row r="113" spans="2:11">
      <c r="B113" s="93" t="s">
        <v>795</v>
      </c>
      <c r="C113" s="93">
        <v>2.35</v>
      </c>
      <c r="D113" s="93" t="s">
        <v>844</v>
      </c>
      <c r="E113" s="286" t="s">
        <v>853</v>
      </c>
    </row>
    <row r="114" spans="2:11">
      <c r="B114" s="93" t="s">
        <v>852</v>
      </c>
      <c r="C114" s="93">
        <v>0.89</v>
      </c>
      <c r="D114" s="93" t="s">
        <v>844</v>
      </c>
      <c r="E114" s="286" t="s">
        <v>851</v>
      </c>
    </row>
    <row r="115" spans="2:11">
      <c r="B115" s="93" t="s">
        <v>738</v>
      </c>
      <c r="C115" s="93" t="s">
        <v>35</v>
      </c>
      <c r="D115" s="93" t="s">
        <v>844</v>
      </c>
      <c r="E115" s="286" t="s">
        <v>850</v>
      </c>
    </row>
    <row r="116" spans="2:11">
      <c r="B116" s="93" t="s">
        <v>741</v>
      </c>
      <c r="C116" s="93">
        <v>0.6</v>
      </c>
      <c r="D116" s="93" t="s">
        <v>844</v>
      </c>
      <c r="E116" s="286" t="s">
        <v>849</v>
      </c>
    </row>
    <row r="117" spans="2:11">
      <c r="B117" s="93" t="s">
        <v>809</v>
      </c>
      <c r="C117" s="93" t="s">
        <v>35</v>
      </c>
      <c r="D117" s="93" t="s">
        <v>844</v>
      </c>
      <c r="E117" s="286" t="s">
        <v>848</v>
      </c>
    </row>
    <row r="118" spans="2:11">
      <c r="B118" s="93" t="s">
        <v>847</v>
      </c>
      <c r="C118" s="93">
        <v>0.125</v>
      </c>
      <c r="D118" s="93" t="s">
        <v>844</v>
      </c>
      <c r="E118" s="286" t="s">
        <v>846</v>
      </c>
    </row>
    <row r="119" spans="2:11">
      <c r="B119" s="93" t="s">
        <v>2084</v>
      </c>
      <c r="C119" s="93" t="s">
        <v>35</v>
      </c>
      <c r="D119" s="93" t="s">
        <v>844</v>
      </c>
      <c r="E119" s="286"/>
    </row>
    <row r="120" spans="2:11">
      <c r="B120" s="93" t="s">
        <v>249</v>
      </c>
      <c r="C120" s="93">
        <v>612</v>
      </c>
      <c r="D120" s="93" t="s">
        <v>844</v>
      </c>
      <c r="E120" s="93"/>
    </row>
    <row r="121" spans="2:11">
      <c r="B121" s="93" t="s">
        <v>845</v>
      </c>
      <c r="C121" s="93">
        <v>5010</v>
      </c>
      <c r="D121" s="93" t="s">
        <v>844</v>
      </c>
      <c r="E121" s="286" t="s">
        <v>843</v>
      </c>
    </row>
    <row r="123" spans="2:11">
      <c r="B123" s="94" t="s">
        <v>739</v>
      </c>
      <c r="C123" s="94" t="s">
        <v>842</v>
      </c>
      <c r="D123" s="94" t="s">
        <v>809</v>
      </c>
      <c r="E123" s="94" t="s">
        <v>309</v>
      </c>
      <c r="F123" s="94" t="s">
        <v>500</v>
      </c>
      <c r="G123" s="94" t="s">
        <v>499</v>
      </c>
      <c r="H123" s="94" t="s">
        <v>244</v>
      </c>
      <c r="I123" s="94" t="s">
        <v>9</v>
      </c>
      <c r="J123" s="94" t="s">
        <v>8</v>
      </c>
      <c r="K123" s="94" t="s">
        <v>497</v>
      </c>
    </row>
    <row r="124" spans="2:11">
      <c r="B124" s="93" t="s">
        <v>574</v>
      </c>
      <c r="C124" s="93">
        <v>2.56</v>
      </c>
      <c r="D124" s="93">
        <v>1.79</v>
      </c>
      <c r="E124" s="93">
        <v>32.6</v>
      </c>
      <c r="F124" s="93">
        <f>$C$113*$C$114*C124*$C$116*365.25*$C$118/D124</f>
        <v>81.940062569832392</v>
      </c>
      <c r="G124" s="93">
        <f>F124*$C$112/E124</f>
        <v>0.55296974740377691</v>
      </c>
      <c r="H124" s="93">
        <f>1-$C$114</f>
        <v>0.10999999999999999</v>
      </c>
      <c r="I124" s="93"/>
      <c r="J124" s="93">
        <f>$C$111/F124</f>
        <v>0.61020212130529106</v>
      </c>
      <c r="K124" s="93">
        <f>1/COUNT($J$124:$J$126)</f>
        <v>0.33333333333333331</v>
      </c>
    </row>
    <row r="125" spans="2:11">
      <c r="B125" s="93" t="s">
        <v>573</v>
      </c>
      <c r="C125" s="93">
        <v>2.1</v>
      </c>
      <c r="D125" s="93">
        <v>1.3</v>
      </c>
      <c r="E125" s="93">
        <v>26.7</v>
      </c>
      <c r="F125" s="93">
        <f>$C$113*$C$114*C125*$C$116*365.25*$C$118/D125</f>
        <v>92.551891586538446</v>
      </c>
      <c r="G125" s="93">
        <f>F125*$C$112/E125</f>
        <v>0.76259985576923062</v>
      </c>
      <c r="H125" s="93">
        <f>1-$C$114</f>
        <v>0.10999999999999999</v>
      </c>
      <c r="I125" s="93"/>
      <c r="J125" s="93">
        <f>$C$111/F125</f>
        <v>0.54023747265336752</v>
      </c>
      <c r="K125" s="93">
        <f>1/COUNT($J$124:$J$126)</f>
        <v>0.33333333333333331</v>
      </c>
    </row>
    <row r="126" spans="2:11">
      <c r="B126" s="93" t="s">
        <v>841</v>
      </c>
      <c r="C126" s="93">
        <v>2.42</v>
      </c>
      <c r="D126" s="93">
        <v>1.64</v>
      </c>
      <c r="E126" s="93">
        <f>(E124+E125)/2</f>
        <v>29.65</v>
      </c>
      <c r="F126" s="93">
        <f>$C$113*$C$114*C126*$C$116*365.25*$C$118/D126</f>
        <v>84.543626867378038</v>
      </c>
      <c r="G126" s="93">
        <f>F126*$C$112/E126</f>
        <v>0.62730515719471058</v>
      </c>
      <c r="H126" s="93">
        <f>1-$C$114</f>
        <v>0.10999999999999999</v>
      </c>
      <c r="I126" s="93"/>
      <c r="J126" s="93">
        <f>$C$111/F126</f>
        <v>0.59141063439866426</v>
      </c>
      <c r="K126" s="93">
        <f>1/COUNT($J$124:$J$126)</f>
        <v>0.33333333333333331</v>
      </c>
    </row>
    <row r="127" spans="2:11">
      <c r="B127" s="7" t="s">
        <v>0</v>
      </c>
      <c r="C127" s="7"/>
      <c r="D127" s="7"/>
      <c r="E127" s="7"/>
      <c r="F127" s="7">
        <f>SUMPRODUCT(F124:F126,$K$124:$K$126)</f>
        <v>86.345193674582958</v>
      </c>
      <c r="G127" s="7">
        <f>SUMPRODUCT(G124:G126,$K$124:$K$126)</f>
        <v>0.64762492012257267</v>
      </c>
      <c r="H127" s="7">
        <f>SUMPRODUCT(H124:H126,$K$124:$K$126)</f>
        <v>0.10999999999999999</v>
      </c>
      <c r="I127" s="7">
        <f>SUMPRODUCT(I124:I126,$K$124:$K$126)</f>
        <v>0</v>
      </c>
      <c r="J127" s="7">
        <f>SUMPRODUCT(J124:J126,$K$124:$K$126)</f>
        <v>0.58061674278577424</v>
      </c>
      <c r="K127" s="93"/>
    </row>
    <row r="129" spans="2:11">
      <c r="B129" s="94" t="s">
        <v>739</v>
      </c>
      <c r="C129" s="94" t="s">
        <v>842</v>
      </c>
      <c r="D129" s="94" t="s">
        <v>809</v>
      </c>
      <c r="E129" s="94" t="s">
        <v>309</v>
      </c>
      <c r="F129" s="94" t="s">
        <v>2084</v>
      </c>
      <c r="G129" s="94" t="s">
        <v>2017</v>
      </c>
      <c r="H129" s="94" t="s">
        <v>244</v>
      </c>
      <c r="I129" s="94" t="s">
        <v>9</v>
      </c>
      <c r="J129" s="94" t="s">
        <v>8</v>
      </c>
      <c r="K129" s="94" t="s">
        <v>497</v>
      </c>
    </row>
    <row r="130" spans="2:11">
      <c r="B130" s="93" t="s">
        <v>574</v>
      </c>
      <c r="C130" s="93">
        <v>2.56</v>
      </c>
      <c r="D130" s="93">
        <v>1.79</v>
      </c>
      <c r="E130" s="93">
        <v>32.6</v>
      </c>
      <c r="F130" s="93">
        <v>5.4000000000000003E-3</v>
      </c>
      <c r="G130" s="93">
        <f>$C$113*$C$114*C130*$C$116*365.25*F130/D130</f>
        <v>3.5398107030167596</v>
      </c>
      <c r="H130" s="93">
        <f>1-$C$114</f>
        <v>0.10999999999999999</v>
      </c>
      <c r="I130" s="93"/>
      <c r="J130" s="93">
        <f>$C$111/G130</f>
        <v>14.125049104289143</v>
      </c>
      <c r="K130" s="93">
        <f>1/COUNT($J$124:$J$126)</f>
        <v>0.33333333333333331</v>
      </c>
    </row>
    <row r="131" spans="2:11">
      <c r="B131" s="93" t="s">
        <v>573</v>
      </c>
      <c r="C131" s="93">
        <v>2.1</v>
      </c>
      <c r="D131" s="93">
        <v>1.3</v>
      </c>
      <c r="E131" s="93">
        <v>26.7</v>
      </c>
      <c r="F131" s="93">
        <v>6.3E-3</v>
      </c>
      <c r="G131" s="93">
        <f>$C$113*$C$114*C131*$C$116*365.25*F131/D131</f>
        <v>4.6646153359615381</v>
      </c>
      <c r="H131" s="93">
        <f>1-$C$114</f>
        <v>0.10999999999999999</v>
      </c>
      <c r="I131" s="93"/>
      <c r="J131" s="93">
        <f>$C$111/G131</f>
        <v>10.718997473281101</v>
      </c>
      <c r="K131" s="93">
        <f>1/COUNT($J$124:$J$126)</f>
        <v>0.33333333333333331</v>
      </c>
    </row>
    <row r="132" spans="2:11">
      <c r="B132" s="93" t="s">
        <v>841</v>
      </c>
      <c r="C132" s="93">
        <v>2.42</v>
      </c>
      <c r="D132" s="93">
        <v>1.64</v>
      </c>
      <c r="E132" s="93">
        <f>(E130+E131)/2</f>
        <v>29.65</v>
      </c>
      <c r="F132" s="93">
        <f>AVERAGE(F130:F131)</f>
        <v>5.8500000000000002E-3</v>
      </c>
      <c r="G132" s="93">
        <f>$C$113*$C$114*C132*$C$116*365.25*F132/D132</f>
        <v>3.9566417373932925</v>
      </c>
      <c r="H132" s="93">
        <f>1-$C$114</f>
        <v>0.10999999999999999</v>
      </c>
      <c r="I132" s="93"/>
      <c r="J132" s="93">
        <f>$C$111/G132</f>
        <v>12.636979367492824</v>
      </c>
      <c r="K132" s="93">
        <f>1/COUNT($J$124:$J$126)</f>
        <v>0.33333333333333331</v>
      </c>
    </row>
    <row r="133" spans="2:11">
      <c r="B133" s="7" t="s">
        <v>0</v>
      </c>
      <c r="C133" s="7"/>
      <c r="D133" s="7"/>
      <c r="E133" s="7"/>
      <c r="F133" s="7"/>
      <c r="G133" s="7">
        <f>SUMPRODUCT(G130:G132,$K$124:$K$126)</f>
        <v>4.0536892587905298</v>
      </c>
      <c r="H133" s="7">
        <f>SUMPRODUCT(H130:H132,$K$124:$K$126)</f>
        <v>0.10999999999999999</v>
      </c>
      <c r="I133" s="7">
        <f>SUMPRODUCT(I130:I132,$K$124:$K$126)</f>
        <v>0</v>
      </c>
      <c r="J133" s="7">
        <f>SUMPRODUCT(J130:J132,$K$124:$K$126)</f>
        <v>12.493675315021022</v>
      </c>
      <c r="K133" s="93"/>
    </row>
  </sheetData>
  <phoneticPr fontId="35" type="noConversion"/>
  <dataValidations count="5">
    <dataValidation type="list" allowBlank="1" showInputMessage="1" showErrorMessage="1" sqref="C59:L59" xr:uid="{00000000-0002-0000-4C00-000004000000}">
      <formula1>$N$19:$AQ$19</formula1>
    </dataValidation>
    <dataValidation type="list" allowBlank="1" showInputMessage="1" showErrorMessage="1" sqref="E11:E20" xr:uid="{00000000-0002-0000-4C00-000003000000}">
      <formula1>$N$16:$O$16</formula1>
    </dataValidation>
    <dataValidation type="list" allowBlank="1" showInputMessage="1" showErrorMessage="1" sqref="D11:D20" xr:uid="{00000000-0002-0000-4C00-000002000000}">
      <formula1>$N$22:$AE$22</formula1>
    </dataValidation>
    <dataValidation type="list" allowBlank="1" showInputMessage="1" showErrorMessage="1" sqref="B11:C20" xr:uid="{00000000-0002-0000-4C00-000001000000}">
      <formula1>$N$7:$Q$7</formula1>
    </dataValidation>
    <dataValidation type="list" allowBlank="1" showInputMessage="1" showErrorMessage="1" sqref="D7" xr:uid="{00000000-0002-0000-4C00-000000000000}">
      <formula1>$N$11:$O$11</formula1>
    </dataValidation>
  </dataValidations>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91DAD-46E5-4632-9D94-F15BB5D3413F}">
  <sheetPr codeName="Sheet36">
    <tabColor indexed="12"/>
  </sheetPr>
  <dimension ref="A1:AQ138"/>
  <sheetViews>
    <sheetView topLeftCell="A33" zoomScaleNormal="100" workbookViewId="0">
      <selection activeCell="G138" sqref="G13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3.8554687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Window AC</v>
      </c>
      <c r="C7" s="98" t="s">
        <v>2055</v>
      </c>
      <c r="D7" s="97" t="s">
        <v>212</v>
      </c>
      <c r="E7" s="97">
        <f>C118</f>
        <v>9</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169</v>
      </c>
      <c r="E11" s="99" t="s">
        <v>202</v>
      </c>
      <c r="F11" s="99"/>
      <c r="G11" s="83" t="str">
        <f t="shared" ref="G11:G20" si="0">IF(B11="","",HLOOKUP(B11,$N$7:$Q$8,2,FALSE)) &amp; IF(C11="","","/" &amp; HLOOKUP(C11,$N$7:$Q$8,2,FALSE))</f>
        <v>E</v>
      </c>
      <c r="H11" s="91" t="str">
        <f t="shared" ref="H11:H20" si="1">IF(B11="","",IFERROR(HLOOKUP(D11,$N$22:$AE$23,2,FALSE),HLOOKUP(D11,$N$22:$AE$23,2,FALSE)))</f>
        <v>Cool</v>
      </c>
      <c r="I11" s="83" t="str">
        <f t="shared" ref="I11:I20" ca="1" si="2">IF(B11="","", CONCATENATE($B$7, "_", IFERROR(HLOOKUP($D$7, $N$11:$P$12, 2, FALSE), "INSERT SECTOR"), ", ", IF(G11="", "INSERT FUEL(S)", G11), " - ", IF(H11="", "INSERT END USE", H11), IF(F11="", "", CONCATENATE(" [", F11, "]")), " (", IF(E11="", "INSERT MARKET", E11), ")"))</f>
        <v>Window AC_Res, E - Cool (MD)</v>
      </c>
      <c r="J11" s="83" t="str">
        <f t="shared" ref="J11:J20" si="3">IF(B11="","",CONCATENATE($C$7,IF(C11="","",CONCATENATE(" with ",C11," Secondary Fuel"))))</f>
        <v>Window AC</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Window AC_Res, E - Cool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Window AC_Res, E - Cool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Window AC</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Window AC_Res, E - Cool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Window AC</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568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Cooling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Window AC</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2057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2056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D138</f>
        <v>259.09196577659327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F138</f>
        <v>6.6996478875168672E-2</v>
      </c>
      <c r="D65" s="67"/>
      <c r="E65" s="67"/>
      <c r="F65" s="65"/>
      <c r="G65" s="65"/>
      <c r="H65" s="65"/>
      <c r="I65" s="65"/>
      <c r="J65" s="65"/>
      <c r="K65" s="65"/>
      <c r="L65" s="65"/>
      <c r="M65" s="69" t="s">
        <v>567</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C117</f>
        <v>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G138</f>
        <v>0.27805683416442895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Window AC</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520</v>
      </c>
      <c r="C108" s="94" t="s">
        <v>410</v>
      </c>
      <c r="D108" s="94" t="s">
        <v>409</v>
      </c>
      <c r="E108" s="94" t="s">
        <v>122</v>
      </c>
    </row>
    <row r="109" spans="1:22">
      <c r="B109" s="93" t="s">
        <v>263</v>
      </c>
      <c r="C109" s="93" t="s">
        <v>566</v>
      </c>
      <c r="D109" s="93" t="s">
        <v>565</v>
      </c>
      <c r="E109" s="93" t="s">
        <v>564</v>
      </c>
    </row>
    <row r="110" spans="1:22">
      <c r="B110" s="93" t="s">
        <v>542</v>
      </c>
      <c r="C110" s="93" t="s">
        <v>35</v>
      </c>
      <c r="D110" s="93" t="s">
        <v>563</v>
      </c>
      <c r="E110" s="93" t="s">
        <v>562</v>
      </c>
    </row>
    <row r="111" spans="1:22">
      <c r="B111" s="93" t="s">
        <v>561</v>
      </c>
      <c r="C111" s="93" t="s">
        <v>555</v>
      </c>
      <c r="D111" s="93" t="s">
        <v>560</v>
      </c>
      <c r="E111" s="93" t="s">
        <v>559</v>
      </c>
    </row>
    <row r="112" spans="1:22">
      <c r="B112" s="93" t="s">
        <v>543</v>
      </c>
      <c r="C112" s="93" t="s">
        <v>35</v>
      </c>
      <c r="D112" s="93" t="s">
        <v>558</v>
      </c>
      <c r="E112" s="93" t="s">
        <v>557</v>
      </c>
    </row>
    <row r="113" spans="2:8">
      <c r="B113" s="93" t="s">
        <v>556</v>
      </c>
      <c r="C113" s="93" t="s">
        <v>555</v>
      </c>
      <c r="D113" s="93" t="s">
        <v>554</v>
      </c>
      <c r="E113" s="93" t="s">
        <v>553</v>
      </c>
    </row>
    <row r="114" spans="2:8">
      <c r="B114" s="93" t="s">
        <v>34</v>
      </c>
      <c r="C114" s="93">
        <v>0.36</v>
      </c>
      <c r="D114" s="93" t="s">
        <v>548</v>
      </c>
      <c r="E114" s="93" t="s">
        <v>484</v>
      </c>
    </row>
    <row r="115" spans="2:8">
      <c r="B115" s="93" t="s">
        <v>552</v>
      </c>
      <c r="C115" s="261">
        <v>2528</v>
      </c>
      <c r="D115" s="93" t="s">
        <v>551</v>
      </c>
      <c r="E115" s="93" t="s">
        <v>550</v>
      </c>
    </row>
    <row r="116" spans="2:8">
      <c r="B116" s="93" t="s">
        <v>549</v>
      </c>
      <c r="C116" s="93">
        <v>1</v>
      </c>
      <c r="D116" s="93" t="s">
        <v>548</v>
      </c>
      <c r="E116" s="93" t="s">
        <v>547</v>
      </c>
    </row>
    <row r="117" spans="2:8">
      <c r="B117" s="93" t="s">
        <v>438</v>
      </c>
      <c r="C117" s="93">
        <v>50</v>
      </c>
      <c r="D117" s="93"/>
      <c r="E117" s="93"/>
    </row>
    <row r="118" spans="2:8">
      <c r="B118" s="93" t="s">
        <v>518</v>
      </c>
      <c r="C118" s="93">
        <v>9</v>
      </c>
      <c r="D118" s="93"/>
      <c r="E118" s="93"/>
    </row>
    <row r="120" spans="2:8">
      <c r="B120" s="93"/>
      <c r="C120" s="710" t="s">
        <v>513</v>
      </c>
      <c r="D120" s="710"/>
      <c r="E120" s="710" t="s">
        <v>21</v>
      </c>
      <c r="F120" s="710"/>
      <c r="G120" s="710"/>
      <c r="H120" s="710"/>
    </row>
    <row r="121" spans="2:8">
      <c r="B121" s="94"/>
      <c r="C121" s="710"/>
      <c r="D121" s="710"/>
      <c r="E121" s="710" t="s">
        <v>546</v>
      </c>
      <c r="F121" s="710"/>
      <c r="G121" s="710" t="s">
        <v>545</v>
      </c>
      <c r="H121" s="710"/>
    </row>
    <row r="122" spans="2:8">
      <c r="B122" s="94" t="s">
        <v>544</v>
      </c>
      <c r="C122" s="94" t="s">
        <v>543</v>
      </c>
      <c r="D122" s="94" t="s">
        <v>542</v>
      </c>
      <c r="E122" s="94" t="s">
        <v>541</v>
      </c>
      <c r="F122" s="94" t="s">
        <v>540</v>
      </c>
      <c r="G122" s="94" t="s">
        <v>539</v>
      </c>
      <c r="H122" s="94" t="s">
        <v>538</v>
      </c>
    </row>
    <row r="123" spans="2:8">
      <c r="B123" s="94" t="s">
        <v>537</v>
      </c>
      <c r="C123" s="93">
        <v>11</v>
      </c>
      <c r="D123" s="93">
        <v>11.1</v>
      </c>
      <c r="E123" s="93">
        <v>12.1</v>
      </c>
      <c r="F123" s="93">
        <v>12.2</v>
      </c>
      <c r="G123" s="93">
        <v>11.5</v>
      </c>
      <c r="H123" s="93">
        <v>11.6</v>
      </c>
    </row>
    <row r="124" spans="2:8">
      <c r="B124" s="94" t="s">
        <v>536</v>
      </c>
      <c r="C124" s="93">
        <v>10.9</v>
      </c>
      <c r="D124" s="93">
        <v>11</v>
      </c>
      <c r="E124" s="93">
        <v>12</v>
      </c>
      <c r="F124" s="93">
        <v>12.1</v>
      </c>
      <c r="G124" s="93">
        <v>11.4</v>
      </c>
      <c r="H124" s="93">
        <v>11.5</v>
      </c>
    </row>
    <row r="125" spans="2:8">
      <c r="B125" s="94" t="s">
        <v>535</v>
      </c>
      <c r="C125" s="93">
        <v>10.7</v>
      </c>
      <c r="D125" s="93">
        <v>10.8</v>
      </c>
      <c r="E125" s="93">
        <v>11.8</v>
      </c>
      <c r="F125" s="93">
        <v>11.9</v>
      </c>
      <c r="G125" s="93">
        <v>11.2</v>
      </c>
      <c r="H125" s="93">
        <v>11.3</v>
      </c>
    </row>
    <row r="126" spans="2:8">
      <c r="B126" s="94" t="s">
        <v>534</v>
      </c>
      <c r="C126" s="93">
        <v>9.4</v>
      </c>
      <c r="D126" s="93">
        <v>9.5</v>
      </c>
      <c r="E126" s="93">
        <v>10.3</v>
      </c>
      <c r="F126" s="93">
        <v>10.4</v>
      </c>
      <c r="G126" s="93">
        <v>9.8000000000000007</v>
      </c>
      <c r="H126" s="93">
        <v>9.9</v>
      </c>
    </row>
    <row r="128" spans="2:8">
      <c r="B128" s="95" t="s">
        <v>533</v>
      </c>
    </row>
    <row r="129" spans="2:8">
      <c r="B129" s="94" t="s">
        <v>532</v>
      </c>
      <c r="C129" s="94" t="s">
        <v>263</v>
      </c>
      <c r="D129" s="94" t="s">
        <v>500</v>
      </c>
      <c r="E129" s="94" t="s">
        <v>499</v>
      </c>
      <c r="F129" s="94" t="s">
        <v>244</v>
      </c>
      <c r="G129" s="94" t="s">
        <v>498</v>
      </c>
      <c r="H129" s="94" t="s">
        <v>497</v>
      </c>
    </row>
    <row r="130" spans="2:8">
      <c r="B130" s="711" t="s">
        <v>27</v>
      </c>
      <c r="C130" s="94">
        <v>7500</v>
      </c>
      <c r="D130" s="93">
        <f>C130*((1/C123)-(1/E123))*$C$115*$C$116/1000</f>
        <v>156.69421487603307</v>
      </c>
      <c r="E130" s="93">
        <f>C130*((1/D123)-(1/F123))*$C$114*$C$116/1000</f>
        <v>2.1931767833407181E-2</v>
      </c>
      <c r="F130" s="260">
        <f>D130/(C130*((1/C123))*$C$115*$C$116/1000)</f>
        <v>9.0909090909090912E-2</v>
      </c>
      <c r="G130" s="93">
        <f t="shared" ref="G130:G137" si="28">$C$117/D130</f>
        <v>0.31909282700421937</v>
      </c>
      <c r="H130" s="93">
        <f>1/COUNT($G$130:$G$137)</f>
        <v>0.125</v>
      </c>
    </row>
    <row r="131" spans="2:8">
      <c r="B131" s="711"/>
      <c r="C131" s="94">
        <v>12500</v>
      </c>
      <c r="D131" s="93">
        <f>C131*((1/C124)-(1/E124))*$C$115*$C$116/1000</f>
        <v>265.74923547400596</v>
      </c>
      <c r="E131" s="93">
        <f>C131*((1/D124)-(1/F124))*$C$114*$C$116/1000</f>
        <v>3.71900826446281E-2</v>
      </c>
      <c r="F131" s="260">
        <f>D131/(C131*((1/C124))*$C$115*$C$116/1000)</f>
        <v>9.1666666666666619E-2</v>
      </c>
      <c r="G131" s="93">
        <f t="shared" si="28"/>
        <v>0.18814729574223257</v>
      </c>
      <c r="H131" s="93">
        <f t="shared" ref="H131:H137" si="29">1/COUNT($G$130:$G$137)</f>
        <v>0.125</v>
      </c>
    </row>
    <row r="132" spans="2:8">
      <c r="B132" s="711"/>
      <c r="C132" s="94">
        <v>18000</v>
      </c>
      <c r="D132" s="93">
        <f>C132*((1/C125)-(1/E125))*$C$115*$C$116/1000</f>
        <v>396.43909393315442</v>
      </c>
      <c r="E132" s="93">
        <f>C132*((1/D125)-(1/F125))*$C$114*$C$116/1000</f>
        <v>5.5462184873949598E-2</v>
      </c>
      <c r="F132" s="260">
        <f>D132/(C132*((1/C125))*$C$115*$C$116/1000)</f>
        <v>9.3220338983050974E-2</v>
      </c>
      <c r="G132" s="93">
        <f t="shared" si="28"/>
        <v>0.12612277841708203</v>
      </c>
      <c r="H132" s="93">
        <f t="shared" si="29"/>
        <v>0.125</v>
      </c>
    </row>
    <row r="133" spans="2:8">
      <c r="B133" s="711"/>
      <c r="C133" s="94">
        <v>25000</v>
      </c>
      <c r="D133" s="93">
        <f>C133*((1/C126)-(1/E126))*$C$115*$C$116/1000</f>
        <v>587.4819252220617</v>
      </c>
      <c r="E133" s="93">
        <f>C133*((1/D126)-(1/F126))*$C$114*$C$116/1000</f>
        <v>8.1983805668016219E-2</v>
      </c>
      <c r="F133" s="260">
        <f>D133/(C133*((1/C126))*$C$115*$C$116/1000)</f>
        <v>8.737864077669906E-2</v>
      </c>
      <c r="G133" s="93">
        <f t="shared" si="28"/>
        <v>8.5109001406469736E-2</v>
      </c>
      <c r="H133" s="93">
        <f t="shared" si="29"/>
        <v>0.125</v>
      </c>
    </row>
    <row r="134" spans="2:8">
      <c r="B134" s="711" t="s">
        <v>531</v>
      </c>
      <c r="C134" s="94">
        <v>7500</v>
      </c>
      <c r="D134" s="93">
        <f>C134*((1/C123)-(1/G123))*$C$115*$C$116/1000</f>
        <v>74.940711462450679</v>
      </c>
      <c r="E134" s="93">
        <f>C134*((1/D123)-(1/H123))*$C$114*$C$116/1000</f>
        <v>1.0484622553588081E-2</v>
      </c>
      <c r="F134" s="260">
        <f>D134/(C134*((1/C123)*$C$115*$C$116/1000))</f>
        <v>4.3478260869565272E-2</v>
      </c>
      <c r="G134" s="93">
        <f t="shared" si="28"/>
        <v>0.66719409282700348</v>
      </c>
      <c r="H134" s="93">
        <f t="shared" si="29"/>
        <v>0.125</v>
      </c>
    </row>
    <row r="135" spans="2:8">
      <c r="B135" s="711"/>
      <c r="C135" s="94">
        <v>12500</v>
      </c>
      <c r="D135" s="93">
        <f>C135*((1/C124)-(1/G124))*$C$115*$C$116/1000</f>
        <v>127.15274424593581</v>
      </c>
      <c r="E135" s="93">
        <f>C135*((1/D124)-(1/H124))*$C$114*$C$116/1000</f>
        <v>1.7786561264822157E-2</v>
      </c>
      <c r="F135" s="260">
        <f>D135/(C135*((1/C124)*$C$115*$C$116/1000))</f>
        <v>4.3859649122806967E-2</v>
      </c>
      <c r="G135" s="93">
        <f t="shared" si="28"/>
        <v>0.39322784810126621</v>
      </c>
      <c r="H135" s="93">
        <f t="shared" si="29"/>
        <v>0.125</v>
      </c>
    </row>
    <row r="136" spans="2:8">
      <c r="B136" s="711"/>
      <c r="C136" s="94">
        <v>18000</v>
      </c>
      <c r="D136" s="93">
        <f>C136*((1/C125)-(1/G125))*$C$115*$C$116/1000</f>
        <v>189.85313751668932</v>
      </c>
      <c r="E136" s="93">
        <f>C136*((1/D125)-(1/H125))*$C$114*$C$116/1000</f>
        <v>2.6548672566371653E-2</v>
      </c>
      <c r="F136" s="260">
        <f>D136/(C136*((1/C125)*$C$115*$C$116/1000))</f>
        <v>4.4642857142857227E-2</v>
      </c>
      <c r="G136" s="93">
        <f t="shared" si="28"/>
        <v>0.26336146272855077</v>
      </c>
      <c r="H136" s="93">
        <f t="shared" si="29"/>
        <v>0.125</v>
      </c>
    </row>
    <row r="137" spans="2:8">
      <c r="B137" s="711"/>
      <c r="C137" s="94">
        <v>25000</v>
      </c>
      <c r="D137" s="93">
        <f>C137*((1/C126)-(1/G126))*$C$115*$C$116/1000</f>
        <v>274.42466348241504</v>
      </c>
      <c r="E137" s="93">
        <f>C137*((1/D126)-(1/H126))*$C$114*$C$116/1000</f>
        <v>3.8277511961722445E-2</v>
      </c>
      <c r="F137" s="260">
        <f>D137/(C137*((1/C126)*$C$115*$C$116/1000))</f>
        <v>4.0816326530612367E-2</v>
      </c>
      <c r="G137" s="93">
        <f t="shared" si="28"/>
        <v>0.18219936708860707</v>
      </c>
      <c r="H137" s="93">
        <f t="shared" si="29"/>
        <v>0.125</v>
      </c>
    </row>
    <row r="138" spans="2:8">
      <c r="B138" s="7" t="s">
        <v>0</v>
      </c>
      <c r="C138" s="7"/>
      <c r="D138" s="107">
        <f>SUMPRODUCT(D130:D137,$H$130:$H$137)</f>
        <v>259.09196577659327</v>
      </c>
      <c r="E138" s="609">
        <f>SUMPRODUCT(E130:E137,$H$130:$H$137)</f>
        <v>3.6208151170813184E-2</v>
      </c>
      <c r="F138" s="610">
        <f>SUMPRODUCT(F130:F137,$H$130:$H$137)</f>
        <v>6.6996478875168672E-2</v>
      </c>
      <c r="G138" s="107">
        <f>SUMPRODUCT(G130:G137,$H$130:$H$137)</f>
        <v>0.27805683416442895</v>
      </c>
      <c r="H138" s="7"/>
    </row>
  </sheetData>
  <mergeCells count="6">
    <mergeCell ref="B134:B137"/>
    <mergeCell ref="E120:H120"/>
    <mergeCell ref="C120:D121"/>
    <mergeCell ref="E121:F121"/>
    <mergeCell ref="G121:H121"/>
    <mergeCell ref="B130:B133"/>
  </mergeCells>
  <dataValidations count="5">
    <dataValidation type="list" allowBlank="1" showInputMessage="1" showErrorMessage="1" sqref="C59:L59" xr:uid="{00000000-0002-0000-1E00-000004000000}">
      <formula1>$N$19:$AQ$19</formula1>
    </dataValidation>
    <dataValidation type="list" allowBlank="1" showInputMessage="1" showErrorMessage="1" sqref="E11:E20" xr:uid="{00000000-0002-0000-1E00-000003000000}">
      <formula1>$N$16:$O$16</formula1>
    </dataValidation>
    <dataValidation type="list" allowBlank="1" showInputMessage="1" showErrorMessage="1" sqref="D11:D20" xr:uid="{00000000-0002-0000-1E00-000002000000}">
      <formula1>$N$22:$AE$22</formula1>
    </dataValidation>
    <dataValidation type="list" allowBlank="1" showInputMessage="1" showErrorMessage="1" sqref="B11:C20" xr:uid="{00000000-0002-0000-1E00-000001000000}">
      <formula1>$N$7:$Q$7</formula1>
    </dataValidation>
    <dataValidation type="list" allowBlank="1" showInputMessage="1" showErrorMessage="1" sqref="D7" xr:uid="{00000000-0002-0000-1E00-000000000000}">
      <formula1>$N$11:$O$11</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7EE1-57DE-4716-9FD5-B9BB2B440282}">
  <sheetPr codeName="Sheet44">
    <tabColor indexed="60"/>
  </sheetPr>
  <dimension ref="A1:AQ138"/>
  <sheetViews>
    <sheetView topLeftCell="A51"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23.42578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Drainwater Heat Recovery</v>
      </c>
      <c r="C7" s="98" t="s">
        <v>750</v>
      </c>
      <c r="D7" s="97" t="s">
        <v>212</v>
      </c>
      <c r="E7" s="97">
        <f>C111</f>
        <v>30</v>
      </c>
      <c r="F7" s="97">
        <v>8</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Drainwater Heat Recovery_Res, E - HWat  (RET)</v>
      </c>
      <c r="J11" s="83" t="str">
        <f t="shared" ref="J11:J20" si="3">IF(B11="","",CONCATENATE($C$7,IF(C11="","",CONCATENATE(" with ",C11," Secondary Fuel"))))</f>
        <v>Drainwater Heat Recovery</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Drainwater Heat Recovery_Res, P - HWat  (RET)</v>
      </c>
      <c r="J12" s="83" t="str">
        <f t="shared" si="3"/>
        <v>Drainwater Heat Recovery</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Drainwater Heat Recovery_Res, E - HWat  (RET)</v>
      </c>
      <c r="D33" s="83" t="str">
        <f t="shared" ca="1" si="5"/>
        <v>Drainwater Heat Recovery_Res,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Drainwater Heat Recovery_Res, E - HWat  (RET)</v>
      </c>
      <c r="N33" s="84" t="str">
        <f t="shared" ca="1" si="6"/>
        <v>Drainwater Heat Recovery_Res,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Drainwater Heat Recovery</v>
      </c>
      <c r="D34" s="83" t="str">
        <f t="shared" si="8"/>
        <v>Drainwater Heat Recovery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Drainwater Heat Recovery_Res,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Drainwater Heat Recovery</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749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30</v>
      </c>
      <c r="D39" s="83">
        <f t="shared" si="11"/>
        <v>30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Drainwater Heat Recovery</v>
      </c>
      <c r="D52" s="66" t="str">
        <f t="shared" si="16"/>
        <v>Drainwater Heat Recovery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748</v>
      </c>
      <c r="D55" s="65" t="s">
        <v>748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747</v>
      </c>
      <c r="D56" s="65" t="s">
        <v>747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E131</f>
        <v>553.57917981904041</v>
      </c>
      <c r="D64" s="67">
        <f>E138</f>
        <v>25.333840158219612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G131</f>
        <v>0.46599999999999997</v>
      </c>
      <c r="D65" s="67">
        <f>G138</f>
        <v>0.46599999999999997</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C112</f>
        <v>744</v>
      </c>
      <c r="D68" s="71">
        <f>C112</f>
        <v>744</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I131</f>
        <v>1.3533402788361428</v>
      </c>
      <c r="D69" s="70">
        <f>I138</f>
        <v>29.383403101704474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Drainwater Heat Recovery</v>
      </c>
      <c r="D71" s="66" t="str">
        <f t="shared" si="23"/>
        <v>Drainwater Heat Recovery</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8" spans="1:22" s="63" customFormat="1" ht="15.75" thickBot="1">
      <c r="B108" s="63" t="s">
        <v>50</v>
      </c>
    </row>
    <row r="110" spans="1:22">
      <c r="B110" s="94" t="s">
        <v>520</v>
      </c>
      <c r="C110" s="94" t="s">
        <v>519</v>
      </c>
      <c r="D110" s="94" t="s">
        <v>409</v>
      </c>
      <c r="E110" s="94" t="s">
        <v>122</v>
      </c>
    </row>
    <row r="111" spans="1:22">
      <c r="B111" s="93" t="s">
        <v>518</v>
      </c>
      <c r="C111" s="93">
        <v>30</v>
      </c>
      <c r="D111" s="93" t="s">
        <v>740</v>
      </c>
      <c r="E111" s="93"/>
    </row>
    <row r="112" spans="1:22">
      <c r="B112" s="93" t="s">
        <v>438</v>
      </c>
      <c r="C112" s="93">
        <v>744</v>
      </c>
      <c r="D112" s="93" t="s">
        <v>740</v>
      </c>
      <c r="E112" s="93"/>
    </row>
    <row r="113" spans="2:10">
      <c r="B113" s="93" t="s">
        <v>484</v>
      </c>
      <c r="C113" s="93">
        <v>2.7799999999999998E-2</v>
      </c>
      <c r="D113" s="93" t="s">
        <v>740</v>
      </c>
      <c r="E113" s="93"/>
    </row>
    <row r="114" spans="2:10">
      <c r="B114" s="93" t="s">
        <v>746</v>
      </c>
      <c r="C114" s="93">
        <v>101</v>
      </c>
      <c r="D114" s="93" t="s">
        <v>740</v>
      </c>
      <c r="E114" s="93"/>
    </row>
    <row r="115" spans="2:10">
      <c r="B115" s="93" t="s">
        <v>745</v>
      </c>
      <c r="C115" s="93">
        <v>50.7</v>
      </c>
      <c r="D115" s="93" t="s">
        <v>740</v>
      </c>
      <c r="E115" s="93"/>
    </row>
    <row r="116" spans="2:10">
      <c r="B116" s="93" t="s">
        <v>744</v>
      </c>
      <c r="C116" s="93">
        <v>2.35</v>
      </c>
      <c r="D116" s="93" t="s">
        <v>740</v>
      </c>
      <c r="E116" s="93"/>
    </row>
    <row r="117" spans="2:10">
      <c r="B117" s="93" t="s">
        <v>743</v>
      </c>
      <c r="C117" s="93">
        <v>7.8</v>
      </c>
      <c r="D117" s="93" t="s">
        <v>740</v>
      </c>
      <c r="E117" s="93"/>
    </row>
    <row r="118" spans="2:10">
      <c r="B118" s="93" t="s">
        <v>738</v>
      </c>
      <c r="C118" s="93" t="s">
        <v>35</v>
      </c>
      <c r="D118" s="93" t="s">
        <v>740</v>
      </c>
      <c r="E118" s="93"/>
    </row>
    <row r="119" spans="2:10">
      <c r="B119" s="93" t="s">
        <v>742</v>
      </c>
      <c r="C119" s="93">
        <v>1</v>
      </c>
      <c r="D119" s="93" t="s">
        <v>740</v>
      </c>
      <c r="E119" s="93"/>
    </row>
    <row r="120" spans="2:10">
      <c r="B120" s="93" t="s">
        <v>741</v>
      </c>
      <c r="C120" s="93">
        <v>0.6</v>
      </c>
      <c r="D120" s="93" t="s">
        <v>740</v>
      </c>
      <c r="E120" s="93"/>
    </row>
    <row r="121" spans="2:10">
      <c r="B121" s="93" t="s">
        <v>574</v>
      </c>
      <c r="C121" s="93">
        <v>0.46600000000000003</v>
      </c>
      <c r="D121" s="93" t="s">
        <v>740</v>
      </c>
      <c r="E121" s="93"/>
    </row>
    <row r="122" spans="2:10">
      <c r="B122" s="93" t="s">
        <v>2072</v>
      </c>
      <c r="C122" s="93">
        <v>0.98</v>
      </c>
      <c r="D122" s="93" t="s">
        <v>740</v>
      </c>
      <c r="E122" s="93"/>
    </row>
    <row r="123" spans="2:10">
      <c r="B123" s="93" t="s">
        <v>2073</v>
      </c>
      <c r="C123" s="93" t="s">
        <v>35</v>
      </c>
      <c r="D123" s="93" t="s">
        <v>740</v>
      </c>
      <c r="E123" s="93"/>
    </row>
    <row r="126" spans="2:10">
      <c r="B126" s="94" t="s">
        <v>739</v>
      </c>
      <c r="C126" s="94" t="s">
        <v>738</v>
      </c>
      <c r="D126" s="94" t="s">
        <v>309</v>
      </c>
      <c r="E126" s="94" t="s">
        <v>500</v>
      </c>
      <c r="F126" s="94" t="s">
        <v>499</v>
      </c>
      <c r="G126" s="94" t="s">
        <v>244</v>
      </c>
      <c r="H126" s="94" t="s">
        <v>9</v>
      </c>
      <c r="I126" s="94" t="s">
        <v>8</v>
      </c>
      <c r="J126" s="94" t="s">
        <v>497</v>
      </c>
    </row>
    <row r="127" spans="2:10">
      <c r="B127" s="93" t="s">
        <v>737</v>
      </c>
      <c r="C127" s="93">
        <v>2.56</v>
      </c>
      <c r="D127" s="93">
        <v>286</v>
      </c>
      <c r="E127" s="93">
        <f>(($C$114-$C$115)*8.33*$C$116*$C$117*C127*$C$119*$C$120*365.25*$C$121)/(3412*$C$122)</f>
        <v>600.49266963421326</v>
      </c>
      <c r="F127" s="93">
        <f>E127*$C$113/D127</f>
        <v>5.8369567188220728E-2</v>
      </c>
      <c r="G127" s="93">
        <f>$C$121</f>
        <v>0.46600000000000003</v>
      </c>
      <c r="H127" s="93"/>
      <c r="I127" s="93">
        <f>$C$112/E127</f>
        <v>1.2389826514505222</v>
      </c>
      <c r="J127" s="93">
        <f>1/COUNT($I$127:$I$129)</f>
        <v>0.33333333333333331</v>
      </c>
    </row>
    <row r="128" spans="2:10">
      <c r="B128" s="93" t="s">
        <v>736</v>
      </c>
      <c r="C128" s="93">
        <v>2.1</v>
      </c>
      <c r="D128" s="93">
        <v>234</v>
      </c>
      <c r="E128" s="93">
        <f>(($C$114-$C$115)*8.33*$C$116*$C$117*C128*$C$119*$C$120*365.25*$C$121)/(3412*$C$122)</f>
        <v>492.59164305931563</v>
      </c>
      <c r="F128" s="93">
        <f>E128*$C$113/D128</f>
        <v>5.8521571269440062E-2</v>
      </c>
      <c r="G128" s="93">
        <f>$C$121</f>
        <v>0.46600000000000003</v>
      </c>
      <c r="H128" s="93"/>
      <c r="I128" s="93">
        <f>$C$112/E128</f>
        <v>1.5103788512920648</v>
      </c>
      <c r="J128" s="93">
        <f>1/COUNT($I$127:$I$129)</f>
        <v>0.33333333333333331</v>
      </c>
    </row>
    <row r="129" spans="2:10">
      <c r="B129" s="93" t="s">
        <v>735</v>
      </c>
      <c r="C129" s="93">
        <v>2.42</v>
      </c>
      <c r="D129" s="93">
        <f>AVERAGE(D127:D128)</f>
        <v>260</v>
      </c>
      <c r="E129" s="93">
        <f>(($C$114-$C$115)*8.33*$C$116*$C$117*C129*$C$119*$C$120*365.25*$C$121)/(3412*$C$122)</f>
        <v>567.65322676359233</v>
      </c>
      <c r="F129" s="93">
        <f>E129*$C$113/D129</f>
        <v>6.0695229630876403E-2</v>
      </c>
      <c r="G129" s="93">
        <f>$C$121</f>
        <v>0.46600000000000003</v>
      </c>
      <c r="H129" s="93"/>
      <c r="I129" s="93">
        <f>$C$112/E129</f>
        <v>1.3106593337658414</v>
      </c>
      <c r="J129" s="93">
        <f>1/COUNT($I$127:$I$129)</f>
        <v>0.33333333333333331</v>
      </c>
    </row>
    <row r="130" spans="2:10">
      <c r="B130" s="93" t="s">
        <v>600</v>
      </c>
      <c r="C130" s="93" t="s">
        <v>555</v>
      </c>
      <c r="D130" s="93"/>
      <c r="E130" s="93"/>
      <c r="F130" s="93"/>
      <c r="G130" s="93"/>
      <c r="H130" s="93"/>
      <c r="I130" s="93"/>
      <c r="J130" s="93"/>
    </row>
    <row r="131" spans="2:10">
      <c r="B131" s="7" t="s">
        <v>0</v>
      </c>
      <c r="C131" s="7"/>
      <c r="D131" s="7"/>
      <c r="E131" s="7">
        <f>SUMPRODUCT(E127:E129,$J$127:$J$129)</f>
        <v>553.57917981904041</v>
      </c>
      <c r="F131" s="7">
        <f>SUMPRODUCT(F127:F129,$J$127:$J$129)</f>
        <v>5.9195456029512393E-2</v>
      </c>
      <c r="G131" s="7">
        <f>SUMPRODUCT(G127:G129,$J$127:$J$129)</f>
        <v>0.46599999999999997</v>
      </c>
      <c r="H131" s="7">
        <f>SUMPRODUCT(H127:H129,$J$127:$J$129)</f>
        <v>0</v>
      </c>
      <c r="I131" s="7">
        <f>SUMPRODUCT(I127:I129,$J$127:$J$129)</f>
        <v>1.3533402788361428</v>
      </c>
    </row>
    <row r="133" spans="2:10">
      <c r="B133" s="94" t="s">
        <v>739</v>
      </c>
      <c r="C133" s="94" t="s">
        <v>738</v>
      </c>
      <c r="D133" s="94" t="s">
        <v>309</v>
      </c>
      <c r="E133" s="94" t="s">
        <v>2017</v>
      </c>
      <c r="F133" s="94" t="s">
        <v>2073</v>
      </c>
      <c r="G133" s="94" t="s">
        <v>244</v>
      </c>
      <c r="H133" s="94" t="s">
        <v>9</v>
      </c>
      <c r="I133" s="94" t="s">
        <v>2047</v>
      </c>
      <c r="J133" s="94" t="s">
        <v>497</v>
      </c>
    </row>
    <row r="134" spans="2:10">
      <c r="B134" s="93" t="s">
        <v>737</v>
      </c>
      <c r="C134" s="93">
        <v>2.56</v>
      </c>
      <c r="D134" s="93">
        <v>286</v>
      </c>
      <c r="E134" s="93">
        <f>(($C$114-$C$115)*8.33*$C$116*$C$117*C134*$C$119*$C$120*365.25*$C$121)/(100000*F134)</f>
        <v>25.41649834197591</v>
      </c>
      <c r="F134" s="93">
        <v>0.79</v>
      </c>
      <c r="G134" s="93">
        <f>$C$121</f>
        <v>0.46600000000000003</v>
      </c>
      <c r="H134" s="93"/>
      <c r="I134" s="93">
        <f>$C$112/E134</f>
        <v>29.272325006756244</v>
      </c>
      <c r="J134" s="93">
        <f>1/COUNT($I$127:$I$129)</f>
        <v>0.33333333333333331</v>
      </c>
    </row>
    <row r="135" spans="2:10">
      <c r="B135" s="93" t="s">
        <v>736</v>
      </c>
      <c r="C135" s="93">
        <v>2.1</v>
      </c>
      <c r="D135" s="93">
        <v>234</v>
      </c>
      <c r="E135" s="93">
        <f>(($C$114-$C$115)*8.33*$C$116*$C$117*C135*$C$119*$C$120*365.25*$C$121)/(100000*F135)</f>
        <v>24.583704961134583</v>
      </c>
      <c r="F135" s="93">
        <v>0.67</v>
      </c>
      <c r="G135" s="93">
        <f>$C$121</f>
        <v>0.46600000000000003</v>
      </c>
      <c r="H135" s="93"/>
      <c r="I135" s="93">
        <f>$C$112/E135</f>
        <v>30.263949277630083</v>
      </c>
      <c r="J135" s="93">
        <f>1/COUNT($I$127:$I$129)</f>
        <v>0.33333333333333331</v>
      </c>
    </row>
    <row r="136" spans="2:10">
      <c r="B136" s="93" t="s">
        <v>735</v>
      </c>
      <c r="C136" s="93">
        <v>2.42</v>
      </c>
      <c r="D136" s="93">
        <f>AVERAGE(D134:D135)</f>
        <v>260</v>
      </c>
      <c r="E136" s="93">
        <f>(($C$114-$C$115)*8.33*$C$116*$C$117*C136*$C$119*$C$120*365.25*$C$121)/(100000*F136)</f>
        <v>26.001317171548347</v>
      </c>
      <c r="F136" s="93">
        <f>AVERAGE(F134:F135)</f>
        <v>0.73</v>
      </c>
      <c r="G136" s="93">
        <f>$C$121</f>
        <v>0.46600000000000003</v>
      </c>
      <c r="H136" s="93"/>
      <c r="I136" s="93">
        <f>$C$112/E136</f>
        <v>28.613935020727094</v>
      </c>
      <c r="J136" s="93">
        <f>1/COUNT($I$127:$I$129)</f>
        <v>0.33333333333333331</v>
      </c>
    </row>
    <row r="137" spans="2:10">
      <c r="B137" s="93" t="s">
        <v>600</v>
      </c>
      <c r="C137" s="93" t="s">
        <v>555</v>
      </c>
      <c r="D137" s="93"/>
      <c r="E137" s="93"/>
      <c r="F137" s="93"/>
      <c r="G137" s="93"/>
      <c r="H137" s="93"/>
      <c r="I137" s="93"/>
      <c r="J137" s="93"/>
    </row>
    <row r="138" spans="2:10">
      <c r="B138" s="7" t="s">
        <v>0</v>
      </c>
      <c r="C138" s="7"/>
      <c r="D138" s="7"/>
      <c r="E138" s="7">
        <f>SUMPRODUCT(E134:E136,$J$127:$J$129)</f>
        <v>25.333840158219612</v>
      </c>
      <c r="F138" s="7">
        <f>SUMPRODUCT(F134:F136,$J$127:$J$129)</f>
        <v>0.73</v>
      </c>
      <c r="G138" s="7">
        <f>SUMPRODUCT(G134:G136,$J$127:$J$129)</f>
        <v>0.46599999999999997</v>
      </c>
      <c r="H138" s="7">
        <f>SUMPRODUCT(H134:H136,$J$127:$J$129)</f>
        <v>0</v>
      </c>
      <c r="I138" s="7">
        <f>SUMPRODUCT(I134:I136,$J$127:$J$129)</f>
        <v>29.383403101704474</v>
      </c>
    </row>
  </sheetData>
  <phoneticPr fontId="35" type="noConversion"/>
  <dataValidations count="5">
    <dataValidation type="list" allowBlank="1" showInputMessage="1" showErrorMessage="1" sqref="C59:L59" xr:uid="{00000000-0002-0000-4E00-000004000000}">
      <formula1>$N$19:$AQ$19</formula1>
    </dataValidation>
    <dataValidation type="list" allowBlank="1" showInputMessage="1" showErrorMessage="1" sqref="E11:E20" xr:uid="{00000000-0002-0000-4E00-000003000000}">
      <formula1>$N$16:$O$16</formula1>
    </dataValidation>
    <dataValidation type="list" allowBlank="1" showInputMessage="1" showErrorMessage="1" sqref="D11:D20" xr:uid="{00000000-0002-0000-4E00-000002000000}">
      <formula1>$N$22:$AE$22</formula1>
    </dataValidation>
    <dataValidation type="list" allowBlank="1" showInputMessage="1" showErrorMessage="1" sqref="B11:C20" xr:uid="{00000000-0002-0000-4E00-000001000000}">
      <formula1>$N$7:$Q$7</formula1>
    </dataValidation>
    <dataValidation type="list" allowBlank="1" showInputMessage="1" showErrorMessage="1" sqref="D7" xr:uid="{00000000-0002-0000-4E00-000000000000}">
      <formula1>$N$11:$O$11</formula1>
    </dataValidation>
  </dataValidations>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13560-C1F8-49C9-9DCB-DC27CF89D5E1}">
  <sheetPr codeName="Sheet11">
    <tabColor rgb="FF00FFFF"/>
  </sheetPr>
  <dimension ref="A1:AQ132"/>
  <sheetViews>
    <sheetView topLeftCell="A21" zoomScaleNormal="100" workbookViewId="0">
      <selection activeCell="C54" sqref="C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21" style="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Clothes Dryer</v>
      </c>
      <c r="C7" s="98" t="s">
        <v>2341</v>
      </c>
      <c r="D7" s="97" t="s">
        <v>211</v>
      </c>
      <c r="E7" s="250">
        <f>C109</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Clothes Dryer_CI, E - Appl [Building w elec WH] (MD)</v>
      </c>
      <c r="J11" s="83" t="str">
        <f t="shared" ref="J11:J20" si="3">IF(B11="","",CONCATENATE($C$7,IF(C11="","",CONCATENATE(" with ",C11," Secondary Fuel"))))</f>
        <v>Clothes Dryer</v>
      </c>
      <c r="K11" s="83"/>
      <c r="M11" s="94" t="s">
        <v>123</v>
      </c>
      <c r="N11" s="93" t="s">
        <v>212</v>
      </c>
      <c r="O11" s="93" t="s">
        <v>211</v>
      </c>
    </row>
    <row r="12" spans="1:17">
      <c r="A12" s="1">
        <v>2</v>
      </c>
      <c r="B12" s="97" t="s">
        <v>205</v>
      </c>
      <c r="C12" s="97"/>
      <c r="D12" s="97" t="s">
        <v>112</v>
      </c>
      <c r="E12" s="99" t="s">
        <v>204</v>
      </c>
      <c r="F12" s="99" t="s">
        <v>1361</v>
      </c>
      <c r="G12" s="83" t="str">
        <f t="shared" si="0"/>
        <v>E</v>
      </c>
      <c r="H12" s="83" t="str">
        <f t="shared" si="1"/>
        <v>Appl</v>
      </c>
      <c r="I12" s="83" t="str">
        <f t="shared" ca="1" si="2"/>
        <v>CI Clothes Dryer_CI, E - Appl [Building w elec WH] (RET)</v>
      </c>
      <c r="J12" s="83" t="str">
        <f t="shared" si="3"/>
        <v>Clothes Dryer</v>
      </c>
      <c r="K12" s="83"/>
      <c r="M12" s="94" t="s">
        <v>154</v>
      </c>
      <c r="N12" s="93" t="s">
        <v>210</v>
      </c>
      <c r="O12" s="93" t="s">
        <v>209</v>
      </c>
    </row>
    <row r="13" spans="1:17">
      <c r="A13" s="1">
        <v>3</v>
      </c>
      <c r="B13" s="97"/>
      <c r="C13" s="97"/>
      <c r="D13" s="98"/>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Clothes Dryer_CI, E - Appl [Building w elec WH] (MD)</v>
      </c>
      <c r="D33" s="83" t="str">
        <f t="shared" ca="1" si="5"/>
        <v>CI Clothes Dryer_CI, E - Appl [Building w elec WH]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Clothes Dryer_CI, E - Appl [Building w elec WH] (MD)</v>
      </c>
      <c r="N33" s="84" t="str">
        <f t="shared" ca="1" si="6"/>
        <v>CI Clothes Dryer_CI, E - Appl [Building w elec WH]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Clothes Dryer</v>
      </c>
      <c r="D34" s="83" t="str">
        <f t="shared" si="8"/>
        <v>Clothes Dryer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Clothes Dryer_CI, E - Appl [Building w elec WH] (MD)</v>
      </c>
      <c r="D35" s="82" t="str">
        <f t="shared" ca="1" si="10"/>
        <v>CI Clothes Dryer_CI, E - Appl [Building w elec WH] (RET)</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Clothes Dryer</v>
      </c>
      <c r="D36" s="65" t="str">
        <f t="shared" si="10"/>
        <v>Clothes Dryer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10</v>
      </c>
      <c r="D39" s="83">
        <f>C39</f>
        <v>10</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c r="E42" s="83"/>
      <c r="F42" s="83"/>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Appliances</v>
      </c>
      <c r="E43" s="83"/>
      <c r="F43" s="83"/>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Clothes Dryer_CI, E - Appl [Building w elec WH] (MD)</v>
      </c>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Clothes Dryer</v>
      </c>
      <c r="D52" s="66" t="str">
        <f t="shared" si="16"/>
        <v>Clothes Dryer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2342</v>
      </c>
      <c r="D55" s="65" t="s">
        <v>2344</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2343</v>
      </c>
      <c r="D56" s="65" t="s">
        <v>2343</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J125</f>
        <v>13.259653033342596</v>
      </c>
      <c r="D64" s="183">
        <f>J132</f>
        <v>13.259653033342596</v>
      </c>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L125</f>
        <v>5.0392990242943997E-2</v>
      </c>
      <c r="D65" s="67">
        <f>L132</f>
        <v>5.0392990242943997E-2</v>
      </c>
      <c r="E65" s="67"/>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M125</f>
        <v>0</v>
      </c>
      <c r="D68" s="71">
        <f>M132</f>
        <v>0</v>
      </c>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f>N125</f>
        <v>0</v>
      </c>
      <c r="D69" s="493">
        <f>N132</f>
        <v>0</v>
      </c>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Clothes Dryer</v>
      </c>
      <c r="D71" s="66" t="str">
        <f t="shared" si="20"/>
        <v>Clothes Dryer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f>C109</f>
        <v>10</v>
      </c>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f>ROUND(D76-D76*1/3,0)</f>
        <v>7</v>
      </c>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f>D67</f>
        <v>0</v>
      </c>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67">
        <f>D78/D64</f>
        <v>0</v>
      </c>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t="s">
        <v>2330</v>
      </c>
    </row>
    <row r="106" spans="1:23" s="63" customFormat="1" ht="15.75" thickBot="1">
      <c r="B106" s="63" t="s">
        <v>50</v>
      </c>
    </row>
    <row r="108" spans="1:23" ht="21">
      <c r="B108" s="2" t="s">
        <v>1349</v>
      </c>
      <c r="C108" s="2" t="s">
        <v>45</v>
      </c>
      <c r="D108" s="194" t="s">
        <v>44</v>
      </c>
      <c r="E108" s="2" t="s">
        <v>1348</v>
      </c>
      <c r="F108" s="26"/>
      <c r="G108" s="599" t="s">
        <v>1968</v>
      </c>
      <c r="H108" s="26"/>
      <c r="I108" s="26"/>
      <c r="J108" s="26"/>
      <c r="K108" s="26"/>
      <c r="L108" s="26"/>
      <c r="M108" s="26"/>
      <c r="N108" s="26"/>
      <c r="O108" s="27"/>
      <c r="P108" s="27"/>
      <c r="Q108" s="27"/>
      <c r="R108" s="27"/>
      <c r="S108" s="27"/>
      <c r="T108" s="27"/>
      <c r="U108" s="26"/>
      <c r="V108" s="26"/>
      <c r="W108" s="26"/>
    </row>
    <row r="109" spans="1:23">
      <c r="B109" s="26" t="s">
        <v>518</v>
      </c>
      <c r="C109" s="26">
        <v>10</v>
      </c>
      <c r="D109" s="26" t="s">
        <v>2329</v>
      </c>
      <c r="E109" s="26"/>
      <c r="F109" s="221"/>
      <c r="G109" s="26"/>
      <c r="H109" s="26"/>
      <c r="I109" s="221"/>
      <c r="J109" s="26"/>
      <c r="K109" s="26"/>
      <c r="L109" s="221"/>
      <c r="M109" s="26"/>
      <c r="N109" s="26"/>
      <c r="O109" s="27"/>
      <c r="P109" s="27"/>
      <c r="Q109" s="27"/>
      <c r="R109" s="27"/>
      <c r="S109" s="27"/>
      <c r="T109" s="27"/>
      <c r="U109" s="26"/>
      <c r="V109" s="26"/>
      <c r="W109" s="26"/>
    </row>
    <row r="110" spans="1:23">
      <c r="B110" s="26" t="s">
        <v>2331</v>
      </c>
      <c r="C110" s="26" t="s">
        <v>1955</v>
      </c>
      <c r="D110" s="26" t="s">
        <v>2329</v>
      </c>
      <c r="E110" s="26"/>
      <c r="F110" s="221"/>
      <c r="G110" s="26"/>
      <c r="H110" s="26"/>
      <c r="I110" s="221"/>
      <c r="J110" s="26"/>
      <c r="K110" s="26"/>
      <c r="L110" s="221"/>
      <c r="M110" s="26"/>
      <c r="N110" s="26"/>
      <c r="O110" s="27"/>
      <c r="P110" s="27"/>
      <c r="Q110" s="27"/>
      <c r="R110" s="27"/>
      <c r="S110" s="27"/>
      <c r="T110" s="27"/>
      <c r="U110" s="26"/>
      <c r="V110" s="26"/>
      <c r="W110" s="26"/>
    </row>
    <row r="111" spans="1:23">
      <c r="B111" s="26" t="s">
        <v>15</v>
      </c>
      <c r="C111" s="26" t="s">
        <v>1955</v>
      </c>
      <c r="D111" s="26" t="s">
        <v>2329</v>
      </c>
      <c r="E111" s="26"/>
      <c r="F111" s="26"/>
      <c r="G111" s="26"/>
      <c r="H111" s="26"/>
      <c r="I111" s="221"/>
      <c r="J111" s="26"/>
      <c r="K111" s="26"/>
      <c r="L111" s="26"/>
      <c r="M111" s="26"/>
      <c r="N111" s="26"/>
      <c r="O111" s="27"/>
      <c r="P111" s="27"/>
      <c r="Q111" s="27"/>
      <c r="R111" s="27"/>
      <c r="S111" s="27"/>
      <c r="T111" s="27"/>
      <c r="U111" s="26"/>
      <c r="V111" s="26"/>
      <c r="W111" s="26"/>
    </row>
    <row r="112" spans="1:23">
      <c r="B112" s="26" t="s">
        <v>2332</v>
      </c>
      <c r="C112" s="26" t="s">
        <v>1955</v>
      </c>
      <c r="D112" s="26" t="s">
        <v>2329</v>
      </c>
      <c r="E112" s="26"/>
      <c r="F112" s="26"/>
      <c r="G112" s="26"/>
      <c r="H112" s="26"/>
      <c r="I112" s="221"/>
      <c r="J112" s="26"/>
      <c r="K112" s="26"/>
      <c r="L112" s="26"/>
      <c r="M112" s="26"/>
      <c r="N112" s="26"/>
      <c r="O112" s="27"/>
      <c r="P112" s="27"/>
      <c r="Q112" s="27"/>
      <c r="R112" s="27"/>
      <c r="S112" s="27"/>
      <c r="T112" s="27"/>
      <c r="U112" s="26"/>
      <c r="V112" s="26"/>
      <c r="W112" s="26"/>
    </row>
    <row r="113" spans="2:23">
      <c r="B113" s="26" t="s">
        <v>2333</v>
      </c>
      <c r="C113" s="26" t="s">
        <v>1955</v>
      </c>
      <c r="D113" s="26" t="s">
        <v>2329</v>
      </c>
      <c r="E113" s="26"/>
      <c r="F113" s="26"/>
      <c r="G113" s="26"/>
      <c r="H113" s="26"/>
      <c r="I113" s="26"/>
      <c r="J113" s="26"/>
      <c r="K113" s="26"/>
      <c r="L113" s="26"/>
      <c r="M113" s="26"/>
      <c r="N113" s="26"/>
      <c r="O113" s="27"/>
      <c r="P113" s="27"/>
      <c r="Q113" s="27"/>
      <c r="R113" s="27"/>
      <c r="S113" s="27"/>
      <c r="T113" s="27"/>
      <c r="U113" s="26"/>
      <c r="V113" s="26"/>
      <c r="W113" s="26"/>
    </row>
    <row r="114" spans="2:23">
      <c r="B114" s="26" t="s">
        <v>2334</v>
      </c>
      <c r="C114" s="26" t="s">
        <v>1955</v>
      </c>
      <c r="D114" s="26" t="s">
        <v>2329</v>
      </c>
      <c r="E114" s="26"/>
      <c r="F114" s="26"/>
      <c r="G114" s="26"/>
      <c r="H114" s="26"/>
      <c r="I114" s="26"/>
      <c r="J114" s="26"/>
      <c r="K114" s="26"/>
      <c r="L114" s="26"/>
      <c r="M114" s="26"/>
      <c r="N114" s="26"/>
      <c r="O114" s="27"/>
      <c r="P114" s="27"/>
      <c r="Q114" s="27"/>
      <c r="R114" s="27"/>
      <c r="S114" s="27"/>
      <c r="T114" s="27"/>
      <c r="U114" s="26"/>
      <c r="V114" s="26"/>
      <c r="W114" s="26"/>
    </row>
    <row r="115" spans="2:23">
      <c r="B115" s="26" t="s">
        <v>13</v>
      </c>
      <c r="C115" s="26" t="s">
        <v>1955</v>
      </c>
      <c r="D115" s="26" t="s">
        <v>2329</v>
      </c>
      <c r="E115" s="26"/>
      <c r="F115" s="26"/>
      <c r="G115" s="26"/>
      <c r="H115" s="26"/>
      <c r="I115" s="26"/>
      <c r="J115" s="26"/>
      <c r="K115" s="26"/>
      <c r="L115" s="26"/>
      <c r="M115" s="26"/>
      <c r="N115" s="26"/>
      <c r="O115" s="27"/>
      <c r="P115" s="27"/>
      <c r="Q115" s="27"/>
      <c r="R115" s="27"/>
      <c r="S115" s="27"/>
      <c r="T115" s="27"/>
      <c r="U115" s="26"/>
      <c r="V115" s="26"/>
      <c r="W115" s="26"/>
    </row>
    <row r="116" spans="2:23">
      <c r="B116" s="26" t="s">
        <v>2216</v>
      </c>
      <c r="C116" s="26" t="s">
        <v>1955</v>
      </c>
      <c r="D116" s="26" t="s">
        <v>2329</v>
      </c>
      <c r="E116" s="26"/>
      <c r="F116" s="26"/>
      <c r="G116" s="26"/>
      <c r="H116" s="26"/>
      <c r="I116" s="26"/>
      <c r="J116" s="26"/>
      <c r="K116" s="26"/>
      <c r="L116" s="26"/>
      <c r="M116" s="26"/>
      <c r="N116" s="26"/>
      <c r="O116" s="27"/>
      <c r="P116" s="27"/>
      <c r="Q116" s="27"/>
      <c r="R116" s="27"/>
      <c r="S116" s="27"/>
      <c r="T116" s="27"/>
      <c r="U116" s="26"/>
      <c r="V116" s="26"/>
      <c r="W116" s="26"/>
    </row>
    <row r="117" spans="2:23">
      <c r="B117" s="26" t="s">
        <v>34</v>
      </c>
      <c r="C117" s="598">
        <v>4.2000000000000003E-2</v>
      </c>
      <c r="D117" s="26" t="s">
        <v>2329</v>
      </c>
      <c r="E117" s="26"/>
      <c r="F117" s="26"/>
      <c r="G117" s="26"/>
      <c r="H117" s="26"/>
      <c r="I117" s="26"/>
      <c r="J117" s="26"/>
      <c r="K117" s="26"/>
      <c r="L117" s="26"/>
      <c r="M117" s="26"/>
      <c r="N117" s="26"/>
      <c r="O117" s="27"/>
      <c r="P117" s="27"/>
      <c r="Q117" s="27"/>
      <c r="R117" s="27"/>
      <c r="S117" s="27"/>
      <c r="T117" s="27"/>
      <c r="U117" s="26"/>
      <c r="V117" s="26"/>
      <c r="W117" s="26"/>
    </row>
    <row r="118" spans="2:23">
      <c r="B118" s="2"/>
      <c r="C118" s="26"/>
      <c r="D118" s="26"/>
      <c r="E118" s="26"/>
      <c r="F118" s="26"/>
      <c r="G118" s="26"/>
      <c r="H118" s="26"/>
      <c r="I118" s="26"/>
      <c r="J118" s="26"/>
      <c r="K118" s="26"/>
      <c r="L118" s="26"/>
      <c r="M118" s="26"/>
      <c r="N118" s="26"/>
      <c r="O118" s="27"/>
      <c r="P118" s="27"/>
      <c r="Q118" s="27"/>
      <c r="R118" s="27"/>
      <c r="S118" s="27"/>
      <c r="T118" s="27"/>
      <c r="U118" s="26"/>
      <c r="V118" s="26"/>
      <c r="W118" s="26"/>
    </row>
    <row r="119" spans="2:23">
      <c r="B119" s="2" t="s">
        <v>2340</v>
      </c>
      <c r="C119" s="26"/>
      <c r="D119" s="26"/>
      <c r="E119" s="26"/>
      <c r="F119" s="26"/>
      <c r="G119" s="26"/>
      <c r="H119" s="26"/>
      <c r="I119" s="26"/>
      <c r="J119" s="26"/>
      <c r="K119" s="26"/>
      <c r="L119" s="26"/>
      <c r="M119" s="26"/>
      <c r="N119" s="26"/>
      <c r="O119" s="27"/>
      <c r="P119" s="27"/>
      <c r="Q119" s="27"/>
      <c r="R119" s="27"/>
      <c r="S119" s="27"/>
      <c r="T119" s="27"/>
      <c r="U119" s="26"/>
      <c r="V119" s="26"/>
      <c r="W119" s="26"/>
    </row>
    <row r="120" spans="2:23">
      <c r="B120" s="94" t="s">
        <v>2335</v>
      </c>
      <c r="C120" s="94" t="s">
        <v>2331</v>
      </c>
      <c r="D120" s="94" t="s">
        <v>15</v>
      </c>
      <c r="E120" s="94" t="s">
        <v>2332</v>
      </c>
      <c r="F120" s="94" t="s">
        <v>2333</v>
      </c>
      <c r="G120" s="497" t="s">
        <v>2334</v>
      </c>
      <c r="H120" s="496" t="s">
        <v>13</v>
      </c>
      <c r="I120" s="94" t="s">
        <v>2216</v>
      </c>
      <c r="J120" s="94" t="s">
        <v>500</v>
      </c>
      <c r="K120" s="94" t="s">
        <v>499</v>
      </c>
      <c r="L120" s="94" t="s">
        <v>244</v>
      </c>
      <c r="M120" s="94" t="s">
        <v>9</v>
      </c>
      <c r="N120" s="94" t="s">
        <v>8</v>
      </c>
      <c r="O120" s="94" t="s">
        <v>497</v>
      </c>
    </row>
    <row r="121" spans="2:23">
      <c r="B121" s="177" t="s">
        <v>2336</v>
      </c>
      <c r="C121" s="177">
        <v>283</v>
      </c>
      <c r="D121" s="177">
        <v>3</v>
      </c>
      <c r="E121" s="93">
        <v>1</v>
      </c>
      <c r="F121" s="93">
        <v>1</v>
      </c>
      <c r="G121" s="93">
        <v>3.73</v>
      </c>
      <c r="H121" s="93">
        <v>3.93</v>
      </c>
      <c r="I121" s="93">
        <v>290</v>
      </c>
      <c r="J121" s="93">
        <f>C121*D121*((E121/G121)-(F121/H121))</f>
        <v>11.58340666762173</v>
      </c>
      <c r="K121" s="93">
        <f>J121*$C$117/I121</f>
        <v>1.6775968277245267E-3</v>
      </c>
      <c r="L121" s="93">
        <f>J121/(C121*D121*(E121/G121))</f>
        <v>5.0890585241730339E-2</v>
      </c>
      <c r="M121" s="93"/>
      <c r="N121" s="93"/>
      <c r="O121" s="93">
        <f>1/COUNT($C$121:$C$124)</f>
        <v>0.25</v>
      </c>
    </row>
    <row r="122" spans="2:23">
      <c r="B122" s="177" t="s">
        <v>2337</v>
      </c>
      <c r="C122" s="93">
        <v>283</v>
      </c>
      <c r="D122" s="93">
        <v>3</v>
      </c>
      <c r="E122" s="93">
        <v>1</v>
      </c>
      <c r="F122" s="93">
        <v>1</v>
      </c>
      <c r="G122" s="93">
        <v>3.61</v>
      </c>
      <c r="H122" s="93">
        <v>3.8</v>
      </c>
      <c r="I122" s="93">
        <v>290</v>
      </c>
      <c r="J122" s="93">
        <f>C122*D122*((E122/G122)-(F122/H122))</f>
        <v>11.759002770083132</v>
      </c>
      <c r="K122" s="93">
        <f>J122*$C$117/I122</f>
        <v>1.7030279873913503E-3</v>
      </c>
      <c r="L122" s="93">
        <f>J122/(C122*D122*(E122/G122))</f>
        <v>5.0000000000000121E-2</v>
      </c>
      <c r="M122" s="93"/>
      <c r="N122" s="93"/>
      <c r="O122" s="93">
        <f>1/COUNT($C$121:$C$124)</f>
        <v>0.25</v>
      </c>
    </row>
    <row r="123" spans="2:23">
      <c r="B123" s="177" t="s">
        <v>2338</v>
      </c>
      <c r="C123" s="93">
        <v>283</v>
      </c>
      <c r="D123" s="93">
        <v>3</v>
      </c>
      <c r="E123" s="93">
        <v>1</v>
      </c>
      <c r="F123" s="93">
        <v>1</v>
      </c>
      <c r="G123" s="93">
        <v>3.27</v>
      </c>
      <c r="H123" s="93">
        <v>3.45</v>
      </c>
      <c r="I123" s="93">
        <v>290</v>
      </c>
      <c r="J123" s="93">
        <f>C123*D123*((E123/G123)-(F123/H123))</f>
        <v>13.546071001196623</v>
      </c>
      <c r="K123" s="93">
        <f>J123*$C$117/I123</f>
        <v>1.9618447656905456E-3</v>
      </c>
      <c r="L123" s="93">
        <f>J123/(C123*D123*(E123/G123))</f>
        <v>5.2173913043478161E-2</v>
      </c>
      <c r="M123" s="93"/>
      <c r="N123" s="93"/>
      <c r="O123" s="93">
        <f>1/COUNT($C$121:$C$124)</f>
        <v>0.25</v>
      </c>
    </row>
    <row r="124" spans="2:23">
      <c r="B124" s="177" t="s">
        <v>2339</v>
      </c>
      <c r="C124" s="93">
        <v>283</v>
      </c>
      <c r="D124" s="93">
        <v>3</v>
      </c>
      <c r="E124" s="93">
        <v>1</v>
      </c>
      <c r="F124" s="93">
        <v>1</v>
      </c>
      <c r="G124" s="93">
        <v>2.5499999999999998</v>
      </c>
      <c r="H124" s="93">
        <v>2.68</v>
      </c>
      <c r="I124" s="93">
        <v>290</v>
      </c>
      <c r="J124" s="93">
        <f>C124*D124*((E124/G124)-(F124/H124))</f>
        <v>16.150131694468904</v>
      </c>
      <c r="K124" s="93">
        <f>J124*$C$117/I124</f>
        <v>2.3389845902334274E-3</v>
      </c>
      <c r="L124" s="93">
        <f>J124/(C124*D124*(E124/G124))</f>
        <v>4.8507462686567374E-2</v>
      </c>
      <c r="M124" s="93"/>
      <c r="N124" s="93"/>
      <c r="O124" s="93">
        <f>1/COUNT($C$121:$C$124)</f>
        <v>0.25</v>
      </c>
    </row>
    <row r="125" spans="2:23">
      <c r="B125" s="26"/>
      <c r="J125" s="1">
        <f>SUMPRODUCT(J121:J124,$O$121:$O$124)</f>
        <v>13.259653033342596</v>
      </c>
      <c r="K125" s="1">
        <f>SUMPRODUCT(K121:K124,$O$121:$O$124)</f>
        <v>1.9203635427599624E-3</v>
      </c>
      <c r="L125" s="1">
        <f>SUMPRODUCT(L121:L124,$O$121:$O$124)</f>
        <v>5.0392990242943997E-2</v>
      </c>
      <c r="M125" s="1">
        <f>SUMPRODUCT(M121:M124,$O$121:$O$124)</f>
        <v>0</v>
      </c>
      <c r="N125" s="1">
        <f>SUMPRODUCT(N121:N124,$O$121:$O$124)</f>
        <v>0</v>
      </c>
    </row>
    <row r="126" spans="2:23">
      <c r="B126" s="2" t="s">
        <v>207</v>
      </c>
      <c r="C126" s="26"/>
      <c r="D126" s="26"/>
      <c r="E126" s="26"/>
      <c r="F126" s="26"/>
      <c r="G126" s="26"/>
      <c r="H126" s="26"/>
      <c r="I126" s="26"/>
      <c r="J126" s="26"/>
      <c r="K126" s="26"/>
      <c r="L126" s="26"/>
      <c r="M126" s="26"/>
      <c r="N126" s="26"/>
      <c r="O126" s="27"/>
    </row>
    <row r="127" spans="2:23">
      <c r="B127" s="94" t="s">
        <v>2335</v>
      </c>
      <c r="C127" s="94" t="s">
        <v>2331</v>
      </c>
      <c r="D127" s="94" t="s">
        <v>15</v>
      </c>
      <c r="E127" s="94" t="s">
        <v>2332</v>
      </c>
      <c r="F127" s="94" t="s">
        <v>2333</v>
      </c>
      <c r="G127" s="497" t="s">
        <v>2334</v>
      </c>
      <c r="H127" s="496" t="s">
        <v>13</v>
      </c>
      <c r="I127" s="94" t="s">
        <v>2216</v>
      </c>
      <c r="J127" s="94" t="s">
        <v>500</v>
      </c>
      <c r="K127" s="94" t="s">
        <v>499</v>
      </c>
      <c r="L127" s="94" t="s">
        <v>244</v>
      </c>
      <c r="M127" s="94" t="s">
        <v>9</v>
      </c>
      <c r="N127" s="94" t="s">
        <v>8</v>
      </c>
      <c r="O127" s="94" t="s">
        <v>497</v>
      </c>
    </row>
    <row r="128" spans="2:23">
      <c r="B128" s="177" t="s">
        <v>2336</v>
      </c>
      <c r="C128" s="177">
        <v>283</v>
      </c>
      <c r="D128" s="177">
        <v>3</v>
      </c>
      <c r="E128" s="93">
        <v>1</v>
      </c>
      <c r="F128" s="93">
        <v>1</v>
      </c>
      <c r="G128" s="97">
        <v>3.73</v>
      </c>
      <c r="H128" s="93">
        <v>3.93</v>
      </c>
      <c r="I128" s="93">
        <v>290</v>
      </c>
      <c r="J128" s="93">
        <f>C128*D128*((E128/G128)-(F128/H128))</f>
        <v>11.58340666762173</v>
      </c>
      <c r="K128" s="93">
        <f>J128*$C$117/I128</f>
        <v>1.6775968277245267E-3</v>
      </c>
      <c r="L128" s="93">
        <f>J128/(C128*D128*(E128/G128))</f>
        <v>5.0890585241730339E-2</v>
      </c>
      <c r="M128" s="93"/>
      <c r="N128" s="93"/>
      <c r="O128" s="93">
        <f>1/COUNT($C$121:$C$124)</f>
        <v>0.25</v>
      </c>
    </row>
    <row r="129" spans="2:15">
      <c r="B129" s="177" t="s">
        <v>2337</v>
      </c>
      <c r="C129" s="93">
        <v>283</v>
      </c>
      <c r="D129" s="93">
        <v>3</v>
      </c>
      <c r="E129" s="93">
        <v>1</v>
      </c>
      <c r="F129" s="93">
        <v>1</v>
      </c>
      <c r="G129" s="97">
        <v>3.61</v>
      </c>
      <c r="H129" s="93">
        <v>3.8</v>
      </c>
      <c r="I129" s="93">
        <v>290</v>
      </c>
      <c r="J129" s="93">
        <f>C129*D129*((E129/G129)-(F129/H129))</f>
        <v>11.759002770083132</v>
      </c>
      <c r="K129" s="93">
        <f>J129*$C$117/I129</f>
        <v>1.7030279873913503E-3</v>
      </c>
      <c r="L129" s="93">
        <f>J129/(C129*D129*(E129/G129))</f>
        <v>5.0000000000000121E-2</v>
      </c>
      <c r="M129" s="93"/>
      <c r="N129" s="93"/>
      <c r="O129" s="93">
        <f>1/COUNT($C$121:$C$124)</f>
        <v>0.25</v>
      </c>
    </row>
    <row r="130" spans="2:15">
      <c r="B130" s="177" t="s">
        <v>2338</v>
      </c>
      <c r="C130" s="93">
        <v>283</v>
      </c>
      <c r="D130" s="93">
        <v>3</v>
      </c>
      <c r="E130" s="93">
        <v>1</v>
      </c>
      <c r="F130" s="93">
        <v>1</v>
      </c>
      <c r="G130" s="97">
        <v>3.27</v>
      </c>
      <c r="H130" s="93">
        <v>3.45</v>
      </c>
      <c r="I130" s="93">
        <v>290</v>
      </c>
      <c r="J130" s="93">
        <f>C130*D130*((E130/G130)-(F130/H130))</f>
        <v>13.546071001196623</v>
      </c>
      <c r="K130" s="93">
        <f>J130*$C$117/I130</f>
        <v>1.9618447656905456E-3</v>
      </c>
      <c r="L130" s="93">
        <f>J130/(C130*D130*(E130/G130))</f>
        <v>5.2173913043478161E-2</v>
      </c>
      <c r="M130" s="93"/>
      <c r="N130" s="93"/>
      <c r="O130" s="93">
        <f>1/COUNT($C$121:$C$124)</f>
        <v>0.25</v>
      </c>
    </row>
    <row r="131" spans="2:15">
      <c r="B131" s="177" t="s">
        <v>2339</v>
      </c>
      <c r="C131" s="93">
        <v>283</v>
      </c>
      <c r="D131" s="93">
        <v>3</v>
      </c>
      <c r="E131" s="93">
        <v>1</v>
      </c>
      <c r="F131" s="93">
        <v>1</v>
      </c>
      <c r="G131" s="97">
        <v>2.5499999999999998</v>
      </c>
      <c r="H131" s="93">
        <v>2.68</v>
      </c>
      <c r="I131" s="93">
        <v>290</v>
      </c>
      <c r="J131" s="93">
        <f>C131*D131*((E131/G131)-(F131/H131))</f>
        <v>16.150131694468904</v>
      </c>
      <c r="K131" s="93">
        <f>J131*$C$117/I131</f>
        <v>2.3389845902334274E-3</v>
      </c>
      <c r="L131" s="93">
        <f>J131/(C131*D131*(E131/G131))</f>
        <v>4.8507462686567374E-2</v>
      </c>
      <c r="M131" s="93"/>
      <c r="N131" s="93"/>
      <c r="O131" s="93">
        <f>1/COUNT($C$121:$C$124)</f>
        <v>0.25</v>
      </c>
    </row>
    <row r="132" spans="2:15">
      <c r="J132" s="1">
        <f>SUMPRODUCT(J128:J131,$O$121:$O$124)</f>
        <v>13.259653033342596</v>
      </c>
      <c r="K132" s="1">
        <f>SUMPRODUCT(K128:K131,$O$121:$O$124)</f>
        <v>1.9203635427599624E-3</v>
      </c>
      <c r="L132" s="1">
        <f>SUMPRODUCT(L128:L131,$O$121:$O$124)</f>
        <v>5.0392990242943997E-2</v>
      </c>
      <c r="M132" s="1">
        <f>SUMPRODUCT(M128:M131,$O$121:$O$124)</f>
        <v>0</v>
      </c>
      <c r="N132" s="1">
        <f>SUMPRODUCT(N128:N131,$O$121:$O$124)</f>
        <v>0</v>
      </c>
    </row>
  </sheetData>
  <phoneticPr fontId="35" type="noConversion"/>
  <dataValidations count="5">
    <dataValidation type="list" allowBlank="1" showInputMessage="1" showErrorMessage="1" sqref="C59:L59" xr:uid="{41D7AB39-5404-4DEE-A277-44DD8EE2A129}">
      <formula1>$N$19:$AQ$19</formula1>
    </dataValidation>
    <dataValidation type="list" allowBlank="1" showInputMessage="1" showErrorMessage="1" sqref="E11:E20" xr:uid="{7E597904-AE42-4A5E-AC4E-FD686C955CA9}">
      <formula1>$N$16:$O$16</formula1>
    </dataValidation>
    <dataValidation type="list" allowBlank="1" showInputMessage="1" showErrorMessage="1" sqref="D11:D20" xr:uid="{41DEA938-8DC6-4F99-A384-6F3298E96F9F}">
      <formula1>$N$22:$AE$22</formula1>
    </dataValidation>
    <dataValidation type="list" allowBlank="1" showInputMessage="1" showErrorMessage="1" sqref="B11:C20" xr:uid="{3705740C-6D47-4448-9513-E6A441F69A49}">
      <formula1>$N$7:$Q$7</formula1>
    </dataValidation>
    <dataValidation type="list" allowBlank="1" showInputMessage="1" showErrorMessage="1" sqref="D7" xr:uid="{CC7C94A5-1E9C-4B22-A16D-9F8EABA9D3F5}">
      <formula1>$N$11:$O$11</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5EA0-3BAC-4256-8F21-59E16F1A4DCA}">
  <sheetPr codeName="Sheet12">
    <tabColor rgb="FF00FFFF"/>
  </sheetPr>
  <dimension ref="A1:AQ130"/>
  <sheetViews>
    <sheetView topLeftCell="A48" zoomScaleNormal="100" workbookViewId="0">
      <selection activeCell="C54" sqref="C54:E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Clothes Washer</v>
      </c>
      <c r="C7" s="98" t="s">
        <v>1953</v>
      </c>
      <c r="D7" s="97" t="s">
        <v>211</v>
      </c>
      <c r="E7" s="250">
        <f>C118</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High Speed Clothes Washer_CI, E - Appl [Building w elec WH] (MD)</v>
      </c>
      <c r="J11" s="83" t="str">
        <f t="shared" ref="J11:J20" si="3">IF(B11="","",CONCATENATE($C$7,IF(C11="","",CONCATENATE(" with ",C11," Secondary Fuel"))))</f>
        <v>High Speed Clothes Washer</v>
      </c>
      <c r="K11" s="83"/>
      <c r="M11" s="94" t="s">
        <v>123</v>
      </c>
      <c r="N11" s="93" t="s">
        <v>212</v>
      </c>
      <c r="O11" s="93" t="s">
        <v>211</v>
      </c>
    </row>
    <row r="12" spans="1:17">
      <c r="A12" s="1">
        <v>2</v>
      </c>
      <c r="B12" s="97" t="s">
        <v>205</v>
      </c>
      <c r="C12" s="97"/>
      <c r="D12" s="97" t="s">
        <v>113</v>
      </c>
      <c r="E12" s="99" t="s">
        <v>202</v>
      </c>
      <c r="F12" s="99" t="s">
        <v>1361</v>
      </c>
      <c r="G12" s="83" t="str">
        <f t="shared" si="0"/>
        <v>E</v>
      </c>
      <c r="H12" s="83" t="str">
        <f t="shared" si="1"/>
        <v xml:space="preserve">HWat </v>
      </c>
      <c r="I12" s="83" t="str">
        <f t="shared" ca="1" si="2"/>
        <v>CI High Speed Clothes Washer_CI, E - HWat  [Building w elec WH] (MD)</v>
      </c>
      <c r="J12" s="83" t="str">
        <f t="shared" si="3"/>
        <v>High Speed Clothes Washer</v>
      </c>
      <c r="K12" s="83"/>
      <c r="M12" s="94" t="s">
        <v>154</v>
      </c>
      <c r="N12" s="93" t="s">
        <v>210</v>
      </c>
      <c r="O12" s="93" t="s">
        <v>209</v>
      </c>
    </row>
    <row r="13" spans="1:17">
      <c r="A13" s="1">
        <v>3</v>
      </c>
      <c r="B13" s="97" t="s">
        <v>227</v>
      </c>
      <c r="C13" s="97" t="s">
        <v>205</v>
      </c>
      <c r="D13" s="98" t="s">
        <v>112</v>
      </c>
      <c r="E13" s="99" t="s">
        <v>202</v>
      </c>
      <c r="F13" s="99" t="s">
        <v>1360</v>
      </c>
      <c r="G13" s="83" t="str">
        <f t="shared" si="0"/>
        <v>P/E</v>
      </c>
      <c r="H13" s="83" t="str">
        <f t="shared" si="1"/>
        <v>Appl</v>
      </c>
      <c r="I13" s="83" t="str">
        <f t="shared" ca="1" si="2"/>
        <v>CI High Speed Clothes Washer_CI, P/E - Appl [Building w gas WH] (MD)</v>
      </c>
      <c r="J13" s="83" t="str">
        <f t="shared" si="3"/>
        <v>High Speed Clothes Washer with Electric Secondary Fuel</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High Speed Clothes Washer_CI, E - Appl [Building w elec WH] (MD)</v>
      </c>
      <c r="D33" s="83" t="str">
        <f t="shared" ca="1" si="5"/>
        <v>CI High Speed Clothes Washer_CI, E - HWat  [Building w elec WH] (MD)</v>
      </c>
      <c r="E33" s="83" t="str">
        <f t="shared" ca="1" si="5"/>
        <v>CI High Speed Clothes 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Clothes Washer_CI, E - Appl [Building w elec WH] (MD)</v>
      </c>
      <c r="N33" s="84" t="str">
        <f t="shared" ca="1" si="6"/>
        <v>CI High Speed Clothes Washer_CI, E - HWat  [Building w elec WH] (MD)</v>
      </c>
      <c r="O33" s="84" t="str">
        <f t="shared" ca="1" si="6"/>
        <v>CI High Speed Clothes 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High Speed Clothes Washer</v>
      </c>
      <c r="D34" s="83" t="str">
        <f t="shared" si="8"/>
        <v>High Speed Clothes Washer</v>
      </c>
      <c r="E34" s="83" t="str">
        <f t="shared" si="8"/>
        <v>High Speed Clothes 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High Speed Clothes Washer_CI, E - Appl [Building w elec WH] (MD)</v>
      </c>
      <c r="D35" s="82" t="str">
        <f t="shared" ca="1" si="10"/>
        <v>CI High Speed Clothes Washer_CI, E - HWat  [Building w elec WH] (MD)</v>
      </c>
      <c r="E35" s="82" t="str">
        <f t="shared" ca="1" si="10"/>
        <v>CI High Speed Clothes 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High Speed Clothes Washer</v>
      </c>
      <c r="D36" s="65" t="str">
        <f t="shared" si="10"/>
        <v>High Speed Clothes Washer</v>
      </c>
      <c r="E36" s="65" t="str">
        <f t="shared" si="10"/>
        <v>High Speed Clothes 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7</v>
      </c>
      <c r="D39" s="83">
        <f t="shared" si="12"/>
        <v>7</v>
      </c>
      <c r="E39" s="83">
        <f t="shared" si="12"/>
        <v>7</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ca="1" si="9"/>
        <v>-</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ca="1" si="9"/>
        <v>-</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ca="1" si="9"/>
        <v>-</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High Speed Clothes Washer_CI, E - Appl [Building w elec WH] (MD)</v>
      </c>
      <c r="D49" s="65" t="str">
        <f ca="1">C33</f>
        <v>CI High Speed Clothes Washer_CI, E - Appl [Building w elec WH] (MD)</v>
      </c>
      <c r="E49" s="65" t="str">
        <f ca="1">E33</f>
        <v>CI High Speed Clothes Washer_CI, P/E - Appl [Building w gas WH] (MD)</v>
      </c>
      <c r="F49" s="65"/>
      <c r="G49" s="65"/>
      <c r="H49" s="65"/>
      <c r="I49" s="65"/>
      <c r="J49" s="65"/>
      <c r="K49" s="65"/>
      <c r="L49" s="65"/>
      <c r="M49" s="64" t="str">
        <f t="shared" ca="1" si="9"/>
        <v>-</v>
      </c>
      <c r="N49" s="64" t="str">
        <f t="shared" ca="1" si="9"/>
        <v>-</v>
      </c>
      <c r="O49" s="64" t="str">
        <f t="shared" ca="1" si="9"/>
        <v>-</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Clothes Washer</v>
      </c>
      <c r="D52" s="66" t="str">
        <f t="shared" si="16"/>
        <v>High Speed Clothes Washer</v>
      </c>
      <c r="E52" s="66" t="str">
        <f t="shared" si="16"/>
        <v>High Speed Clothes 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82"/>
      <c r="G54" s="82"/>
      <c r="H54" s="82"/>
      <c r="I54" s="65"/>
      <c r="J54" s="65"/>
      <c r="K54" s="65"/>
      <c r="L54" s="65"/>
      <c r="M54" s="64" t="str">
        <f t="shared" ca="1" si="15"/>
        <v>-</v>
      </c>
      <c r="N54" s="64" t="str">
        <f t="shared" ca="1" si="15"/>
        <v>-</v>
      </c>
      <c r="O54" s="64" t="str">
        <f t="shared" ca="1" si="15"/>
        <v>-</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1357</v>
      </c>
      <c r="D55" s="65" t="s">
        <v>1357</v>
      </c>
      <c r="E55" s="65" t="s">
        <v>1357</v>
      </c>
      <c r="F55" s="65"/>
      <c r="G55" s="65"/>
      <c r="H55" s="65"/>
      <c r="I55" s="65"/>
      <c r="J55" s="65"/>
      <c r="K55" s="65"/>
      <c r="L55" s="65"/>
      <c r="M55" s="64" t="str">
        <f t="shared" ca="1" si="15"/>
        <v>-</v>
      </c>
      <c r="N55" s="64" t="str">
        <f t="shared" ca="1" si="15"/>
        <v>-</v>
      </c>
      <c r="O55" s="64" t="str">
        <f t="shared" ca="1" si="15"/>
        <v>-</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1356</v>
      </c>
      <c r="D56" s="65" t="s">
        <v>1356</v>
      </c>
      <c r="E56" s="65" t="s">
        <v>1356</v>
      </c>
      <c r="F56" s="65"/>
      <c r="G56" s="65"/>
      <c r="H56" s="65"/>
      <c r="I56" s="65"/>
      <c r="J56" s="65"/>
      <c r="K56" s="65"/>
      <c r="L56" s="65"/>
      <c r="M56" s="64" t="str">
        <f t="shared" ca="1" si="15"/>
        <v>-</v>
      </c>
      <c r="N56" s="64" t="str">
        <f t="shared" ca="1" si="15"/>
        <v>-</v>
      </c>
      <c r="O56" s="64" t="str">
        <f t="shared" ca="1" si="15"/>
        <v>-</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t="e">
        <f>D57</f>
        <v>#REF!</v>
      </c>
      <c r="F57" s="65"/>
      <c r="G57" s="65"/>
      <c r="H57" s="65"/>
      <c r="I57" s="65"/>
      <c r="J57" s="65"/>
      <c r="K57" s="65"/>
      <c r="L57" s="65"/>
      <c r="M57" s="64" t="str">
        <f t="shared" ca="1" si="15"/>
        <v>-</v>
      </c>
      <c r="N57" s="64" t="str">
        <f t="shared" ca="1" si="15"/>
        <v>-</v>
      </c>
      <c r="O57" s="64" t="str">
        <f t="shared" ca="1" si="15"/>
        <v>-</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t="e">
        <f>D58</f>
        <v>#REF!</v>
      </c>
      <c r="F58" s="65"/>
      <c r="G58" s="65"/>
      <c r="H58" s="65"/>
      <c r="I58" s="65"/>
      <c r="J58" s="65"/>
      <c r="K58" s="65"/>
      <c r="L58" s="65"/>
      <c r="M58" s="64" t="str">
        <f t="shared" ca="1" si="15"/>
        <v>-</v>
      </c>
      <c r="N58" s="64" t="str">
        <f t="shared" ca="1" si="15"/>
        <v>-</v>
      </c>
      <c r="O58" s="64" t="str">
        <f t="shared" ca="1" si="15"/>
        <v>-</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t="s">
        <v>187</v>
      </c>
      <c r="E59" s="82" t="s">
        <v>187</v>
      </c>
      <c r="F59" s="82"/>
      <c r="G59" s="82"/>
      <c r="H59" s="82"/>
      <c r="I59" s="65"/>
      <c r="J59" s="65"/>
      <c r="K59" s="65"/>
      <c r="L59" s="65"/>
      <c r="M59" s="64" t="str">
        <f t="shared" ca="1" si="15"/>
        <v>-</v>
      </c>
      <c r="N59" s="64" t="str">
        <f t="shared" ca="1" si="15"/>
        <v>-</v>
      </c>
      <c r="O59" s="64" t="str">
        <f t="shared" ca="1" si="15"/>
        <v>-</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ca="1" si="15"/>
        <v>-</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E124*($H$116+$J$116)</f>
        <v>3485.9126764361076</v>
      </c>
      <c r="D64" s="183">
        <f>E124*I116</f>
        <v>262.38052403282535</v>
      </c>
      <c r="E64" s="183">
        <f>E130</f>
        <v>127.89176399999999</v>
      </c>
      <c r="F64" s="183"/>
      <c r="G64" s="282"/>
      <c r="H64" s="67"/>
      <c r="I64" s="65"/>
      <c r="J64" s="65"/>
      <c r="K64" s="65"/>
      <c r="L64" s="65"/>
      <c r="M64" s="64" t="str">
        <f t="shared" ca="1" si="15"/>
        <v>-</v>
      </c>
      <c r="N64" s="64" t="str">
        <f t="shared" ca="1" si="15"/>
        <v>-</v>
      </c>
      <c r="O64" s="64" t="str">
        <f t="shared" ca="1" si="15"/>
        <v>-</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G124*($H$116+$J$116)</f>
        <v>0</v>
      </c>
      <c r="D65" s="67">
        <f>G124*I116</f>
        <v>0</v>
      </c>
      <c r="E65" s="67">
        <f>G130</f>
        <v>0</v>
      </c>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ca="1" si="18"/>
        <v>-</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ca="1" si="18"/>
        <v>-</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H124*($H$116+$J$116)</f>
        <v>311.7204999999999</v>
      </c>
      <c r="D68" s="71">
        <f>H124*I116</f>
        <v>23.462833333333332</v>
      </c>
      <c r="E68" s="612">
        <f>H130</f>
        <v>335.18333333333328</v>
      </c>
      <c r="F68" s="494"/>
      <c r="G68" s="71"/>
      <c r="H68" s="71"/>
      <c r="I68" s="65"/>
      <c r="J68" s="65"/>
      <c r="K68" s="65"/>
      <c r="L68" s="65"/>
      <c r="M68" s="64" t="str">
        <f t="shared" ca="1" si="18"/>
        <v>-</v>
      </c>
      <c r="N68" s="64" t="str">
        <f t="shared" ca="1" si="18"/>
        <v>-</v>
      </c>
      <c r="O68" s="64" t="str">
        <f t="shared" ca="1" si="18"/>
        <v>-</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f>I124*($H$116+$J$116)</f>
        <v>2.9982382726796768</v>
      </c>
      <c r="D69" s="493">
        <f>I124*I116</f>
        <v>0.22567384848126604</v>
      </c>
      <c r="E69" s="493">
        <f>I130</f>
        <v>94.487459588538769</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High Speed Clothes Washer</v>
      </c>
      <c r="D71" s="66" t="str">
        <f t="shared" si="20"/>
        <v>High Speed Clothes Washer</v>
      </c>
      <c r="E71" s="66" t="str">
        <f t="shared" si="20"/>
        <v>High Speed Clothes Washer with Electric Secondary Fuel</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ca="1" si="19"/>
        <v>-</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19"/>
        <v>-</v>
      </c>
      <c r="N76" s="64" t="str">
        <f t="shared" ca="1" si="19"/>
        <v>-</v>
      </c>
      <c r="O76" s="64" t="str">
        <f t="shared" ca="1" si="19"/>
        <v>-</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19"/>
        <v>-</v>
      </c>
      <c r="N77" s="64" t="str">
        <f t="shared" ca="1" si="19"/>
        <v>-</v>
      </c>
      <c r="O77" s="64" t="str">
        <f t="shared" ca="1" si="19"/>
        <v>-</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c r="E78" s="65"/>
      <c r="F78" s="267"/>
      <c r="G78" s="65"/>
      <c r="H78" s="65"/>
      <c r="I78" s="65"/>
      <c r="J78" s="65"/>
      <c r="K78" s="65"/>
      <c r="L78" s="65"/>
      <c r="M78" s="64" t="str">
        <f t="shared" ca="1" si="19"/>
        <v>-</v>
      </c>
      <c r="N78" s="64" t="str">
        <f t="shared" ca="1" si="19"/>
        <v>-</v>
      </c>
      <c r="O78" s="64" t="str">
        <f t="shared" ca="1" si="19"/>
        <v>-</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266"/>
      <c r="E79" s="65"/>
      <c r="F79" s="266"/>
      <c r="G79" s="65"/>
      <c r="H79" s="65"/>
      <c r="I79" s="65"/>
      <c r="J79" s="65"/>
      <c r="K79" s="65"/>
      <c r="L79" s="65"/>
      <c r="M79" s="64" t="str">
        <f t="shared" ca="1" si="19"/>
        <v>-</v>
      </c>
      <c r="N79" s="64" t="str">
        <f t="shared" ca="1" si="19"/>
        <v>-</v>
      </c>
      <c r="O79" s="64" t="str">
        <f t="shared" ca="1" si="19"/>
        <v>-</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ca="1" si="19"/>
        <v>-</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ca="1" si="19"/>
        <v>-</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ca="1" si="19"/>
        <v>-</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ca="1" si="19"/>
        <v>-</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ca="1" si="19"/>
        <v>-</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ca="1" si="19"/>
        <v>-</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ca="1" si="22"/>
        <v>-</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ca="1" si="22"/>
        <v>-</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ca="1" si="22"/>
        <v>-</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ca="1" si="22"/>
        <v>-</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ca="1" si="22"/>
        <v>-</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ca="1" si="22"/>
        <v>-</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ca="1" si="22"/>
        <v>-</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ca="1" si="22"/>
        <v>-</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ca="1" si="22"/>
        <v>-</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ca="1" si="22"/>
        <v>-</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ca="1" si="22"/>
        <v>-</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ca="1" si="22"/>
        <v>-</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ca="1" si="22"/>
        <v>-</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ca="1" si="22"/>
        <v>-</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ca="1" si="22"/>
        <v>-</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ca="1" si="22"/>
        <v>-</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ca="1" si="24"/>
        <v>-</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ca="1" si="24"/>
        <v>-</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c r="B106" s="63" t="s">
        <v>50</v>
      </c>
    </row>
    <row r="108" spans="1:23">
      <c r="B108" s="2" t="s">
        <v>1349</v>
      </c>
      <c r="C108" s="2" t="s">
        <v>45</v>
      </c>
      <c r="D108" s="194" t="s">
        <v>44</v>
      </c>
      <c r="E108" s="2" t="s">
        <v>1348</v>
      </c>
      <c r="F108" s="26"/>
      <c r="G108" s="26"/>
      <c r="H108" s="26"/>
      <c r="I108" s="26"/>
      <c r="J108" s="26"/>
      <c r="K108" s="26"/>
      <c r="L108" s="26"/>
      <c r="M108" s="26"/>
      <c r="N108" s="26"/>
      <c r="O108" s="27"/>
      <c r="P108" s="27"/>
      <c r="Q108" s="27"/>
      <c r="R108" s="27"/>
      <c r="S108" s="27"/>
      <c r="T108" s="27"/>
      <c r="U108" s="26"/>
      <c r="V108" s="26"/>
      <c r="W108" s="26"/>
    </row>
    <row r="109" spans="1:23">
      <c r="B109" s="26" t="s">
        <v>1954</v>
      </c>
      <c r="C109" s="26" t="s">
        <v>1955</v>
      </c>
      <c r="D109" s="26" t="s">
        <v>1960</v>
      </c>
      <c r="E109" s="26"/>
      <c r="F109" s="221"/>
      <c r="G109" s="26"/>
      <c r="H109" s="26"/>
      <c r="I109" s="221"/>
      <c r="J109" s="26"/>
      <c r="K109" s="26"/>
      <c r="L109" s="221"/>
      <c r="M109" s="26"/>
      <c r="N109" s="26"/>
      <c r="O109" s="27"/>
      <c r="P109" s="27"/>
      <c r="Q109" s="27"/>
      <c r="R109" s="27"/>
      <c r="S109" s="27"/>
      <c r="T109" s="27"/>
      <c r="U109" s="26"/>
      <c r="V109" s="26"/>
      <c r="W109" s="26"/>
    </row>
    <row r="110" spans="1:23">
      <c r="B110" s="26" t="s">
        <v>408</v>
      </c>
      <c r="C110" s="26">
        <v>360</v>
      </c>
      <c r="D110" s="26" t="s">
        <v>1960</v>
      </c>
      <c r="E110" s="26"/>
      <c r="F110" s="221"/>
      <c r="G110" s="26"/>
      <c r="H110" s="26"/>
      <c r="I110" s="221"/>
      <c r="J110" s="26"/>
      <c r="K110" s="26"/>
      <c r="L110" s="221"/>
      <c r="M110" s="26"/>
      <c r="N110" s="26"/>
      <c r="O110" s="27"/>
      <c r="P110" s="27"/>
      <c r="Q110" s="27"/>
      <c r="R110" s="27"/>
      <c r="S110" s="27"/>
      <c r="T110" s="27"/>
      <c r="U110" s="26"/>
      <c r="V110" s="26"/>
      <c r="W110" s="26"/>
    </row>
    <row r="111" spans="1:23">
      <c r="B111" s="26" t="s">
        <v>263</v>
      </c>
      <c r="C111" s="26" t="s">
        <v>1955</v>
      </c>
      <c r="D111" s="26" t="s">
        <v>1962</v>
      </c>
      <c r="E111" s="26" t="s">
        <v>1961</v>
      </c>
      <c r="F111" s="26"/>
      <c r="G111" s="26"/>
      <c r="H111" s="26"/>
      <c r="I111" s="221"/>
      <c r="J111" s="26"/>
      <c r="K111" s="26"/>
      <c r="L111" s="26"/>
      <c r="M111" s="26"/>
      <c r="N111" s="26"/>
      <c r="O111" s="27"/>
      <c r="P111" s="27"/>
      <c r="Q111" s="27"/>
      <c r="R111" s="27"/>
      <c r="S111" s="27"/>
      <c r="T111" s="27"/>
      <c r="U111" s="26"/>
      <c r="V111" s="26"/>
      <c r="W111" s="26"/>
    </row>
    <row r="112" spans="1:23" ht="25.5">
      <c r="B112" s="26" t="s">
        <v>1956</v>
      </c>
      <c r="C112" s="221">
        <v>0.15</v>
      </c>
      <c r="D112" s="26" t="s">
        <v>1960</v>
      </c>
      <c r="E112" s="26"/>
      <c r="F112" s="26"/>
      <c r="G112" s="141" t="s">
        <v>270</v>
      </c>
      <c r="H112" s="140" t="s">
        <v>269</v>
      </c>
      <c r="I112" s="140" t="s">
        <v>268</v>
      </c>
      <c r="J112" s="140" t="s">
        <v>267</v>
      </c>
      <c r="K112" s="139" t="s">
        <v>249</v>
      </c>
      <c r="L112" s="26"/>
      <c r="M112" s="26"/>
      <c r="N112" s="26"/>
      <c r="O112" s="27"/>
      <c r="P112" s="27"/>
      <c r="Q112" s="27"/>
      <c r="R112" s="27"/>
      <c r="S112" s="27"/>
      <c r="T112" s="27"/>
      <c r="U112" s="26"/>
      <c r="V112" s="26"/>
      <c r="W112" s="26"/>
    </row>
    <row r="113" spans="2:23">
      <c r="B113" s="26" t="s">
        <v>2043</v>
      </c>
      <c r="C113" s="598">
        <f>1200/3412</f>
        <v>0.35169988276670572</v>
      </c>
      <c r="D113" s="26" t="s">
        <v>1960</v>
      </c>
      <c r="E113" s="26" t="s">
        <v>1967</v>
      </c>
      <c r="F113" s="26"/>
      <c r="G113" s="138" t="s">
        <v>266</v>
      </c>
      <c r="H113" s="41">
        <v>6.7000000000000004E-2</v>
      </c>
      <c r="I113" s="41">
        <v>0.158</v>
      </c>
      <c r="J113" s="41">
        <v>0.77500000000000002</v>
      </c>
      <c r="K113" s="137"/>
      <c r="L113" s="26"/>
      <c r="M113" s="26"/>
      <c r="N113" s="26"/>
      <c r="O113" s="27"/>
      <c r="P113" s="27"/>
      <c r="Q113" s="27"/>
      <c r="R113" s="27"/>
      <c r="S113" s="27"/>
      <c r="T113" s="27"/>
      <c r="U113" s="26"/>
      <c r="V113" s="26"/>
      <c r="W113" s="26"/>
    </row>
    <row r="114" spans="2:23">
      <c r="B114" s="1" t="s">
        <v>2044</v>
      </c>
      <c r="C114" s="1">
        <v>1200</v>
      </c>
      <c r="D114" s="26" t="s">
        <v>1960</v>
      </c>
      <c r="E114" s="26"/>
      <c r="F114" s="26"/>
      <c r="G114" s="136" t="s">
        <v>21</v>
      </c>
      <c r="H114" s="135">
        <v>6.6000000000000003E-2</v>
      </c>
      <c r="I114" s="135">
        <v>0.13</v>
      </c>
      <c r="J114" s="39">
        <v>0.80400000000000005</v>
      </c>
      <c r="K114" s="134">
        <v>1595</v>
      </c>
      <c r="L114" s="26"/>
      <c r="M114" s="26"/>
      <c r="N114" s="26"/>
      <c r="O114" s="27"/>
      <c r="P114" s="27"/>
      <c r="Q114" s="27"/>
      <c r="R114" s="27"/>
      <c r="S114" s="27"/>
      <c r="T114" s="27"/>
      <c r="U114" s="26"/>
      <c r="V114" s="26"/>
      <c r="W114" s="26"/>
    </row>
    <row r="115" spans="2:23">
      <c r="B115" s="26" t="s">
        <v>1957</v>
      </c>
      <c r="C115" s="221">
        <v>0.6</v>
      </c>
      <c r="D115" s="26" t="s">
        <v>1960</v>
      </c>
      <c r="E115" s="26"/>
      <c r="F115" s="26"/>
      <c r="G115" s="133" t="s">
        <v>241</v>
      </c>
      <c r="H115" s="38">
        <v>8.2000000000000003E-2</v>
      </c>
      <c r="I115" s="38">
        <v>8.7999999999999995E-2</v>
      </c>
      <c r="J115" s="38">
        <v>0.82899999999999996</v>
      </c>
      <c r="K115" s="132">
        <v>2500</v>
      </c>
      <c r="L115" s="26"/>
      <c r="M115" s="26"/>
      <c r="N115" s="26"/>
      <c r="O115" s="27"/>
      <c r="P115" s="27"/>
      <c r="Q115" s="27"/>
      <c r="R115" s="27"/>
      <c r="S115" s="27"/>
      <c r="T115" s="27"/>
      <c r="U115" s="26"/>
      <c r="V115" s="26"/>
      <c r="W115" s="26"/>
    </row>
    <row r="116" spans="2:23">
      <c r="B116" s="26" t="s">
        <v>1958</v>
      </c>
      <c r="C116" s="221">
        <v>0.91</v>
      </c>
      <c r="D116" s="26" t="s">
        <v>1960</v>
      </c>
      <c r="E116" s="26"/>
      <c r="F116" s="26"/>
      <c r="G116" s="131" t="s">
        <v>240</v>
      </c>
      <c r="H116" s="130">
        <v>8.8999999999999996E-2</v>
      </c>
      <c r="I116" s="130">
        <v>7.0000000000000007E-2</v>
      </c>
      <c r="J116" s="130">
        <v>0.84099999999999997</v>
      </c>
      <c r="K116" s="129">
        <v>2709</v>
      </c>
      <c r="L116" s="26"/>
      <c r="M116" s="26"/>
      <c r="N116" s="26"/>
      <c r="O116" s="27"/>
      <c r="P116" s="27"/>
      <c r="Q116" s="27"/>
      <c r="R116" s="27"/>
      <c r="S116" s="27"/>
      <c r="T116" s="27"/>
      <c r="U116" s="26"/>
      <c r="V116" s="26"/>
      <c r="W116" s="26"/>
    </row>
    <row r="117" spans="2:23">
      <c r="B117" s="26" t="s">
        <v>1959</v>
      </c>
      <c r="C117" s="221">
        <v>0.66</v>
      </c>
      <c r="D117" s="26" t="s">
        <v>1960</v>
      </c>
      <c r="E117" s="26"/>
      <c r="F117" s="26"/>
      <c r="G117" s="616"/>
      <c r="H117" s="38"/>
      <c r="I117" s="38"/>
      <c r="J117" s="38"/>
      <c r="K117" s="37"/>
      <c r="L117" s="26"/>
      <c r="M117" s="26"/>
      <c r="N117" s="26"/>
      <c r="O117" s="27"/>
      <c r="P117" s="27"/>
      <c r="Q117" s="27"/>
      <c r="R117" s="27"/>
      <c r="S117" s="27"/>
      <c r="T117" s="27"/>
      <c r="U117" s="26"/>
      <c r="V117" s="26"/>
      <c r="W117" s="26"/>
    </row>
    <row r="118" spans="2:23">
      <c r="B118" s="26" t="s">
        <v>2045</v>
      </c>
      <c r="C118" s="26">
        <v>7</v>
      </c>
      <c r="D118" s="26" t="s">
        <v>1960</v>
      </c>
      <c r="E118" s="26"/>
      <c r="F118" s="26"/>
      <c r="G118" s="26"/>
      <c r="H118" s="26"/>
      <c r="I118" s="26"/>
      <c r="J118" s="26"/>
      <c r="K118" s="26"/>
      <c r="L118" s="26"/>
      <c r="M118" s="26"/>
      <c r="N118" s="26"/>
      <c r="O118" s="27"/>
      <c r="P118" s="27"/>
      <c r="Q118" s="27"/>
      <c r="R118" s="27"/>
      <c r="S118" s="27"/>
      <c r="T118" s="27"/>
      <c r="U118" s="26"/>
      <c r="V118" s="26"/>
      <c r="W118" s="26"/>
    </row>
    <row r="119" spans="2:23">
      <c r="B119" s="26" t="s">
        <v>2046</v>
      </c>
      <c r="C119" s="26">
        <v>2.2999999999999998</v>
      </c>
      <c r="D119" s="26" t="s">
        <v>1960</v>
      </c>
      <c r="E119" s="26"/>
      <c r="F119" s="26"/>
      <c r="G119" s="26"/>
      <c r="H119" s="26"/>
      <c r="I119" s="26"/>
      <c r="J119" s="26"/>
      <c r="K119" s="26"/>
      <c r="L119" s="26"/>
      <c r="M119" s="26"/>
      <c r="N119" s="26"/>
      <c r="O119" s="27"/>
      <c r="P119" s="27"/>
      <c r="Q119" s="27"/>
      <c r="R119" s="27"/>
      <c r="S119" s="27"/>
      <c r="T119" s="27"/>
      <c r="U119" s="26"/>
      <c r="V119" s="26"/>
      <c r="W119" s="26"/>
    </row>
    <row r="120" spans="2:23">
      <c r="B120" s="94" t="s">
        <v>579</v>
      </c>
      <c r="C120" s="94" t="s">
        <v>1954</v>
      </c>
      <c r="D120" s="94" t="s">
        <v>263</v>
      </c>
      <c r="E120" s="94" t="s">
        <v>500</v>
      </c>
      <c r="F120" s="94" t="s">
        <v>10</v>
      </c>
      <c r="G120" s="497" t="s">
        <v>244</v>
      </c>
      <c r="H120" s="496" t="s">
        <v>1966</v>
      </c>
      <c r="I120" s="94" t="s">
        <v>8</v>
      </c>
      <c r="J120" s="94" t="s">
        <v>7</v>
      </c>
    </row>
    <row r="121" spans="2:23">
      <c r="B121" s="177" t="s">
        <v>1963</v>
      </c>
      <c r="C121" s="177">
        <v>4.3</v>
      </c>
      <c r="D121" s="177">
        <v>25</v>
      </c>
      <c r="E121" s="93">
        <f>C121*$C$110*D121*$C$112*$C$113*$C$116*$C$117/$C$115</f>
        <v>2043.6594372801878</v>
      </c>
      <c r="F121" s="93"/>
      <c r="G121" s="93"/>
      <c r="H121" s="93">
        <f>11.83*D121</f>
        <v>295.75</v>
      </c>
      <c r="I121" s="93">
        <f>H121*D121/E121</f>
        <v>3.6178973194477066</v>
      </c>
      <c r="J121" s="93">
        <f>1/COUNT($I$121:$I$123)</f>
        <v>0.33333333333333331</v>
      </c>
    </row>
    <row r="122" spans="2:23">
      <c r="B122" s="177" t="s">
        <v>1964</v>
      </c>
      <c r="C122" s="93">
        <v>3.4</v>
      </c>
      <c r="D122" s="93">
        <v>20</v>
      </c>
      <c r="E122" s="93">
        <f>C122*$C$110*D122*$C$112*$C$113*$C$116*$C$117/$C$115</f>
        <v>1292.7334114888631</v>
      </c>
      <c r="F122" s="93"/>
      <c r="G122" s="93"/>
      <c r="H122" s="93">
        <f>11.83*D122</f>
        <v>236.6</v>
      </c>
      <c r="I122" s="93">
        <f>H122*D122/E122</f>
        <v>3.6604608173235618</v>
      </c>
      <c r="J122" s="93">
        <f>1/COUNT($I$121:$I$123)</f>
        <v>0.33333333333333331</v>
      </c>
    </row>
    <row r="123" spans="2:23">
      <c r="B123" s="177" t="s">
        <v>1965</v>
      </c>
      <c r="C123" s="93">
        <v>10.4</v>
      </c>
      <c r="D123" s="93">
        <v>40</v>
      </c>
      <c r="E123" s="93">
        <f>C123*$C$110*D123*$C$112*$C$113*$C$116*$C$117/$C$115</f>
        <v>7908.4867526377502</v>
      </c>
      <c r="F123" s="93"/>
      <c r="G123" s="93"/>
      <c r="H123" s="93">
        <f>11.83*D123</f>
        <v>473.2</v>
      </c>
      <c r="I123" s="93">
        <f>H123*D123/E123</f>
        <v>2.3933782267115595</v>
      </c>
      <c r="J123" s="93">
        <f>1/COUNT($I$121:$I$123)</f>
        <v>0.33333333333333331</v>
      </c>
    </row>
    <row r="124" spans="2:23">
      <c r="B124" s="7" t="s">
        <v>0</v>
      </c>
      <c r="C124" s="7"/>
      <c r="D124" s="7"/>
      <c r="E124" s="7">
        <f>SUMPRODUCT(E121:E123,$J$121:$J$123)</f>
        <v>3748.2932004689333</v>
      </c>
      <c r="F124" s="7">
        <f>SUMPRODUCT(F121:F123,$J$121:$J$123)</f>
        <v>0</v>
      </c>
      <c r="G124" s="7">
        <f>SUMPRODUCT(G121:G123,$J$121:$J$123)</f>
        <v>0</v>
      </c>
      <c r="H124" s="7">
        <f>SUMPRODUCT(H121:H123,$J$121:$J$123)</f>
        <v>335.18333333333328</v>
      </c>
      <c r="I124" s="7">
        <f>SUMPRODUCT(I121:I123,$J$121:$J$123)</f>
        <v>3.2239121211609429</v>
      </c>
    </row>
    <row r="125" spans="2:23">
      <c r="B125" s="26"/>
    </row>
    <row r="126" spans="2:23">
      <c r="B126" s="94" t="s">
        <v>579</v>
      </c>
      <c r="C126" s="94" t="s">
        <v>1954</v>
      </c>
      <c r="D126" s="94" t="s">
        <v>263</v>
      </c>
      <c r="E126" s="94" t="s">
        <v>2017</v>
      </c>
      <c r="F126" s="94" t="s">
        <v>10</v>
      </c>
      <c r="G126" s="497" t="s">
        <v>244</v>
      </c>
      <c r="H126" s="496" t="s">
        <v>1966</v>
      </c>
      <c r="I126" s="94" t="s">
        <v>2047</v>
      </c>
      <c r="J126" s="94" t="s">
        <v>7</v>
      </c>
    </row>
    <row r="127" spans="2:23">
      <c r="B127" s="177" t="s">
        <v>1963</v>
      </c>
      <c r="C127" s="177">
        <v>4.3</v>
      </c>
      <c r="D127" s="177">
        <v>25</v>
      </c>
      <c r="E127" s="93">
        <f>C127*$C$110*D127*$C$112*$C$114*$C$116*$C$117/($C$115*100000)</f>
        <v>69.729659999999996</v>
      </c>
      <c r="F127" s="93"/>
      <c r="G127" s="93"/>
      <c r="H127" s="93">
        <f>11.83*D127</f>
        <v>295.75</v>
      </c>
      <c r="I127" s="93">
        <f>H127*D127/E127</f>
        <v>106.03450525931147</v>
      </c>
      <c r="J127" s="93">
        <f>1/COUNT($I$121:$I$123)</f>
        <v>0.33333333333333331</v>
      </c>
    </row>
    <row r="128" spans="2:23">
      <c r="B128" s="177" t="s">
        <v>1964</v>
      </c>
      <c r="C128" s="93">
        <v>3.4</v>
      </c>
      <c r="D128" s="93">
        <v>20</v>
      </c>
      <c r="E128" s="93">
        <f>C128*$C$110*D128*$C$112*$C$114*$C$116*$C$117/($C$115*100000)</f>
        <v>44.108064000000006</v>
      </c>
      <c r="F128" s="93"/>
      <c r="G128" s="93"/>
      <c r="H128" s="93">
        <f>11.83*D128</f>
        <v>236.6</v>
      </c>
      <c r="I128" s="93">
        <f>H128*D128/E128</f>
        <v>107.28197002706806</v>
      </c>
      <c r="J128" s="93">
        <f>1/COUNT($I$121:$I$123)</f>
        <v>0.33333333333333331</v>
      </c>
    </row>
    <row r="129" spans="2:10">
      <c r="B129" s="177" t="s">
        <v>1965</v>
      </c>
      <c r="C129" s="93">
        <v>10.4</v>
      </c>
      <c r="D129" s="93">
        <v>40</v>
      </c>
      <c r="E129" s="93">
        <f>C129*$C$110*D129*$C$112*$C$114*$C$116*$C$117/($C$115*100000)</f>
        <v>269.83756799999998</v>
      </c>
      <c r="F129" s="93"/>
      <c r="G129" s="93"/>
      <c r="H129" s="93">
        <f>11.83*D129</f>
        <v>473.2</v>
      </c>
      <c r="I129" s="93">
        <f>H129*D129/E129</f>
        <v>70.145903479236821</v>
      </c>
      <c r="J129" s="93">
        <f>1/COUNT($I$121:$I$123)</f>
        <v>0.33333333333333331</v>
      </c>
    </row>
    <row r="130" spans="2:10">
      <c r="B130" s="7" t="s">
        <v>0</v>
      </c>
      <c r="C130" s="7"/>
      <c r="D130" s="7"/>
      <c r="E130" s="7">
        <f>SUMPRODUCT(E127:E129,$J$121:$J$123)</f>
        <v>127.89176399999999</v>
      </c>
      <c r="F130" s="7">
        <f>SUMPRODUCT(F127:F129,$J$121:$J$123)</f>
        <v>0</v>
      </c>
      <c r="G130" s="7">
        <f>SUMPRODUCT(G127:G129,$J$121:$J$123)</f>
        <v>0</v>
      </c>
      <c r="H130" s="7">
        <f>SUMPRODUCT(H127:H129,$J$121:$J$123)</f>
        <v>335.18333333333328</v>
      </c>
      <c r="I130" s="7">
        <f>SUMPRODUCT(I127:I129,$J$121:$J$123)</f>
        <v>94.487459588538769</v>
      </c>
    </row>
  </sheetData>
  <phoneticPr fontId="35" type="noConversion"/>
  <dataValidations count="5">
    <dataValidation type="list" allowBlank="1" showInputMessage="1" showErrorMessage="1" sqref="D7" xr:uid="{61B96E2C-7458-45A4-83AC-4FB9CA06031F}">
      <formula1>$N$11:$O$11</formula1>
    </dataValidation>
    <dataValidation type="list" allowBlank="1" showInputMessage="1" showErrorMessage="1" sqref="B11:C20" xr:uid="{01964340-3866-4FEA-81F4-F801E63DB10E}">
      <formula1>$N$7:$Q$7</formula1>
    </dataValidation>
    <dataValidation type="list" allowBlank="1" showInputMessage="1" showErrorMessage="1" sqref="D11:D20" xr:uid="{BEB7100D-3FA7-4F0D-BD5C-C3949D9707EF}">
      <formula1>$N$22:$AE$22</formula1>
    </dataValidation>
    <dataValidation type="list" allowBlank="1" showInputMessage="1" showErrorMessage="1" sqref="E11:E20" xr:uid="{08721C98-0412-47E3-8ED8-0E38DC30EB8D}">
      <formula1>$N$16:$O$16</formula1>
    </dataValidation>
    <dataValidation type="list" allowBlank="1" showInputMessage="1" showErrorMessage="1" sqref="C59:L59" xr:uid="{31B70E5D-FD4B-4BF1-B90B-34F3F7BE1232}">
      <formula1>$N$19:$AQ$19</formula1>
    </dataValidation>
  </dataValidations>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9630D-4448-46A3-B2A4-D343721076EF}">
  <sheetPr codeName="Sheet138">
    <tabColor rgb="FF00FFFF"/>
  </sheetPr>
  <dimension ref="A1:AQ191"/>
  <sheetViews>
    <sheetView topLeftCell="A18" zoomScale="85" zoomScaleNormal="85" workbookViewId="0">
      <selection activeCell="C54" sqref="C54:E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1" style="1" customWidth="1"/>
    <col min="9" max="9" width="21.140625" style="1" customWidth="1"/>
    <col min="10" max="10" width="17.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5" width="8.85546875" style="1"/>
    <col min="26" max="26" width="10.85546875" style="1" customWidth="1"/>
    <col min="27" max="28" width="8.85546875" style="1"/>
    <col min="29" max="29" width="11.5703125" style="1" customWidth="1"/>
    <col min="30" max="31" width="8.85546875" style="1"/>
    <col min="32" max="32" width="14.28515625" style="1" customWidth="1"/>
    <col min="33" max="33" width="16.42578125" style="1" customWidth="1"/>
    <col min="34" max="34" width="15.7109375" style="1" customWidth="1"/>
    <col min="35" max="35" width="10.85546875" style="1" customWidth="1"/>
    <col min="36" max="36" width="12.140625" style="1" customWidth="1"/>
    <col min="37" max="37" width="8.85546875" style="1"/>
    <col min="38" max="38" width="10.85546875" style="1" customWidth="1"/>
    <col min="39" max="39" width="9.7109375" style="1" customWidth="1"/>
    <col min="4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Dishwasher</v>
      </c>
      <c r="C7" s="98" t="s">
        <v>1362</v>
      </c>
      <c r="D7" s="97" t="s">
        <v>211</v>
      </c>
      <c r="E7" s="250">
        <f>K174</f>
        <v>15.555555555555554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Dishwasher_CI, E - Appl [Building w elec WH] (MD)</v>
      </c>
      <c r="J11" s="83" t="str">
        <f t="shared" ref="J11:J20" si="3">IF(B11="","",CONCATENATE($C$7,IF(C11="","",CONCATENATE(" with ",C11," Secondary Fuel"))))</f>
        <v>Commercial ENERGY STAR Dishwasher</v>
      </c>
      <c r="K11" s="83"/>
      <c r="M11" s="94" t="s">
        <v>123</v>
      </c>
      <c r="N11" s="93" t="s">
        <v>212</v>
      </c>
      <c r="O11" s="93" t="s">
        <v>211</v>
      </c>
    </row>
    <row r="12" spans="1:17">
      <c r="A12" s="1">
        <v>2</v>
      </c>
      <c r="B12" s="97" t="s">
        <v>205</v>
      </c>
      <c r="C12" s="97"/>
      <c r="D12" s="97" t="s">
        <v>113</v>
      </c>
      <c r="E12" s="99" t="s">
        <v>202</v>
      </c>
      <c r="F12" s="99" t="s">
        <v>1361</v>
      </c>
      <c r="G12" s="83" t="str">
        <f t="shared" si="0"/>
        <v>E</v>
      </c>
      <c r="H12" s="83" t="str">
        <f t="shared" si="1"/>
        <v xml:space="preserve">HWat </v>
      </c>
      <c r="I12" s="83" t="str">
        <f t="shared" ca="1" si="2"/>
        <v>CI ES Dishwasher_CI, E - HWat  [Building w elec WH] (MD)</v>
      </c>
      <c r="J12" s="83" t="str">
        <f t="shared" si="3"/>
        <v>Commercial ENERGY STAR Dishwasher</v>
      </c>
      <c r="K12" s="83"/>
      <c r="M12" s="94" t="s">
        <v>154</v>
      </c>
      <c r="N12" s="93" t="s">
        <v>210</v>
      </c>
      <c r="O12" s="93" t="s">
        <v>209</v>
      </c>
    </row>
    <row r="13" spans="1:17">
      <c r="A13" s="1">
        <v>3</v>
      </c>
      <c r="B13" s="97" t="s">
        <v>227</v>
      </c>
      <c r="C13" s="97" t="s">
        <v>205</v>
      </c>
      <c r="D13" s="98" t="s">
        <v>112</v>
      </c>
      <c r="E13" s="99" t="s">
        <v>202</v>
      </c>
      <c r="F13" s="99" t="s">
        <v>1360</v>
      </c>
      <c r="G13" s="83" t="str">
        <f t="shared" si="0"/>
        <v>P/E</v>
      </c>
      <c r="H13" s="83" t="str">
        <f t="shared" si="1"/>
        <v>Appl</v>
      </c>
      <c r="I13" s="83" t="str">
        <f t="shared" ca="1" si="2"/>
        <v>CI ES Dishwasher_CI, P/E - Appl [Building w gas WH] (MD)</v>
      </c>
      <c r="J13" s="83" t="str">
        <f t="shared" si="3"/>
        <v>Commercial ENERGY STAR Dishwasher with Electric Secondary Fuel</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Dishwasher_CI, E - Appl [Building w elec WH] (MD)</v>
      </c>
      <c r="D33" s="83" t="str">
        <f t="shared" ca="1" si="5"/>
        <v>CI ES Dishwasher_CI, E - HWat  [Building w elec WH] (MD)</v>
      </c>
      <c r="E33" s="83" t="str">
        <f t="shared" ca="1" si="5"/>
        <v>CI ES Dishwasher_CI,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Dishwasher_CI, E - Appl [Building w elec WH] (MD)</v>
      </c>
      <c r="N33" s="84" t="str">
        <f t="shared" ca="1" si="6"/>
        <v>CI ES Dishwasher_CI, E - HWat  [Building w elec WH] (MD)</v>
      </c>
      <c r="O33" s="84" t="str">
        <f t="shared" ca="1" si="6"/>
        <v>CI ES Dishwasher_CI,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ENERGY STAR Dishwasher</v>
      </c>
      <c r="D34" s="83" t="str">
        <f t="shared" si="8"/>
        <v>Commercial ENERGY STAR Dishwasher</v>
      </c>
      <c r="E34" s="83" t="str">
        <f t="shared" si="8"/>
        <v>Commercial ENERGY STAR Dishwasher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ES Dishwasher_CI, E - Appl [Building w elec WH] (MD)</v>
      </c>
      <c r="D35" s="82" t="str">
        <f t="shared" ca="1" si="10"/>
        <v>CI ES Dishwasher_CI, E - HWat  [Building w elec WH] (MD)</v>
      </c>
      <c r="E35" s="82" t="str">
        <f t="shared" ca="1" si="10"/>
        <v>CI ES Dishwasher_CI,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Commercial ENERGY STAR Dishwasher</v>
      </c>
      <c r="D36" s="65" t="str">
        <f t="shared" si="10"/>
        <v>Commercial ENERGY STAR Dishwasher</v>
      </c>
      <c r="E36" s="65" t="str">
        <f t="shared" si="10"/>
        <v>Commercial ENERGY STAR Dishwasher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15.555555555555554</v>
      </c>
      <c r="D39" s="83">
        <f t="shared" si="12"/>
        <v>15.555555555555554</v>
      </c>
      <c r="E39" s="83">
        <f t="shared" si="12"/>
        <v>15.555555555555554</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CI ES Dishwasher_CI, E - Appl [Building w elec WH] (MD)</v>
      </c>
      <c r="D49" s="65" t="str">
        <f ca="1">C33</f>
        <v>CI ES Dishwasher_CI, E - Appl [Building w elec WH] (MD)</v>
      </c>
      <c r="E49" s="65" t="str">
        <f ca="1">E33</f>
        <v>CI ES Dishwasher_CI, P/E - Appl [Building w gas WH] (MD)</v>
      </c>
      <c r="F49" s="65" t="str">
        <f ca="1">E33</f>
        <v>CI ES Dishwasher_CI, P/E - Appl [Building w gas WH] (MD)</v>
      </c>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ENERGY STAR Dishwasher</v>
      </c>
      <c r="D52" s="66" t="str">
        <f t="shared" si="16"/>
        <v>Commercial ENERGY STAR Dishwasher</v>
      </c>
      <c r="E52" s="66" t="str">
        <f t="shared" si="16"/>
        <v>Commercial ENERGY STAR Dishwasher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82"/>
      <c r="G54" s="82"/>
      <c r="H54" s="82"/>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1357</v>
      </c>
      <c r="D55" s="65" t="s">
        <v>1357</v>
      </c>
      <c r="E55" s="65" t="s">
        <v>1357</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1356</v>
      </c>
      <c r="D56" s="65" t="s">
        <v>1356</v>
      </c>
      <c r="E56" s="65" t="s">
        <v>1356</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t="e">
        <f>C57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t="e">
        <f>C58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t="s">
        <v>187</v>
      </c>
      <c r="F59" s="82"/>
      <c r="G59" s="82"/>
      <c r="H59" s="82"/>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82"/>
      <c r="H60" s="82"/>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O174</f>
        <v>674.35972222222222</v>
      </c>
      <c r="D64" s="183">
        <f>X174</f>
        <v>14176.602245675527</v>
      </c>
      <c r="E64" s="183">
        <f>C64</f>
        <v>674.35972222222222</v>
      </c>
      <c r="F64" s="183"/>
      <c r="G64" s="282"/>
      <c r="H64" s="67"/>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S174</f>
        <v>0.10570073763532871</v>
      </c>
      <c r="D65" s="67">
        <f>AB174</f>
        <v>0.32879625501297194</v>
      </c>
      <c r="E65" s="67">
        <f>C65</f>
        <v>0.10570073763532871</v>
      </c>
      <c r="F65" s="73"/>
      <c r="G65" s="73"/>
      <c r="H65" s="67"/>
      <c r="I65" s="65"/>
      <c r="J65" s="65"/>
      <c r="K65" s="65"/>
      <c r="L65" s="65"/>
      <c r="M65" s="69">
        <v>3</v>
      </c>
      <c r="N65" s="69">
        <v>3</v>
      </c>
      <c r="O65" s="69">
        <v>3</v>
      </c>
      <c r="P65" s="69">
        <v>3</v>
      </c>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ca="1" si="20"/>
        <v>-</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ca="1" si="20"/>
        <v>-</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AL174</f>
        <v>1068.4444444444446</v>
      </c>
      <c r="D68" s="71"/>
      <c r="E68" s="495">
        <f>C68</f>
        <v>1068.4444444444446</v>
      </c>
      <c r="F68" s="494"/>
      <c r="G68" s="71"/>
      <c r="H68" s="71"/>
      <c r="I68" s="65"/>
      <c r="J68" s="65"/>
      <c r="K68" s="65"/>
      <c r="L68" s="65"/>
      <c r="M68" s="64" t="str">
        <f t="shared" ca="1" si="20"/>
        <v>-</v>
      </c>
      <c r="N68" s="64" t="str">
        <f t="shared" ca="1" si="20"/>
        <v>-</v>
      </c>
      <c r="O68" s="64" t="str">
        <f t="shared" ca="1" si="20"/>
        <v>-</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493">
        <f>IFERROR(C68/C64,"")</f>
        <v>1.5843835407660354</v>
      </c>
      <c r="D69" s="493">
        <f>IFERROR(D68/D64,"")</f>
        <v>0</v>
      </c>
      <c r="E69" s="493">
        <f>IFERROR(E68/E64,"")</f>
        <v>1.5843835407660354</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19"/>
        <v>38</v>
      </c>
      <c r="M70" s="64" t="str">
        <f t="shared" ref="M70:V79" ca="1" si="21">IF(M$33="","","-")</f>
        <v>-</v>
      </c>
      <c r="N70" s="64" t="str">
        <f t="shared" ca="1" si="21"/>
        <v>-</v>
      </c>
      <c r="O70" s="64" t="str">
        <f t="shared" ca="1" si="21"/>
        <v>-</v>
      </c>
      <c r="P70" s="64" t="str">
        <f t="shared" si="21"/>
        <v/>
      </c>
      <c r="Q70" s="64" t="str">
        <f t="shared" si="21"/>
        <v/>
      </c>
      <c r="R70" s="64" t="str">
        <f t="shared" si="21"/>
        <v/>
      </c>
      <c r="S70" s="64" t="str">
        <f t="shared" si="21"/>
        <v/>
      </c>
      <c r="T70" s="64" t="str">
        <f t="shared" si="21"/>
        <v/>
      </c>
      <c r="U70" s="64" t="str">
        <f t="shared" si="21"/>
        <v/>
      </c>
      <c r="V70" s="64" t="str">
        <f t="shared" si="21"/>
        <v/>
      </c>
    </row>
    <row r="71" spans="1:22">
      <c r="A71" s="1">
        <f t="shared" si="19"/>
        <v>39</v>
      </c>
      <c r="B71" s="1" t="s">
        <v>80</v>
      </c>
      <c r="C71" s="66" t="str">
        <f t="shared" ref="C71:L71" si="22">C52</f>
        <v>Commercial ENERGY STAR Dishwasher</v>
      </c>
      <c r="D71" s="66" t="str">
        <f t="shared" si="22"/>
        <v>Commercial ENERGY STAR Dishwasher</v>
      </c>
      <c r="E71" s="66" t="str">
        <f t="shared" si="22"/>
        <v>Commercial ENERGY STAR Dishwasher with Electric Secondary Fuel</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si="21"/>
        <v/>
      </c>
      <c r="Q71" s="64" t="str">
        <f t="shared" si="21"/>
        <v/>
      </c>
      <c r="R71" s="64" t="str">
        <f t="shared" si="21"/>
        <v/>
      </c>
      <c r="S71" s="64" t="str">
        <f t="shared" si="21"/>
        <v/>
      </c>
      <c r="T71" s="64" t="str">
        <f t="shared" si="21"/>
        <v/>
      </c>
      <c r="U71" s="64" t="str">
        <f t="shared" si="21"/>
        <v/>
      </c>
      <c r="V71" s="64" t="str">
        <f t="shared" si="21"/>
        <v/>
      </c>
    </row>
    <row r="72" spans="1:22">
      <c r="A72" s="1">
        <f t="shared" si="19"/>
        <v>40</v>
      </c>
      <c r="B72" s="65" t="s">
        <v>79</v>
      </c>
      <c r="C72" s="65"/>
      <c r="D72" s="65"/>
      <c r="E72" s="182"/>
      <c r="F72" s="65"/>
      <c r="G72" s="65"/>
      <c r="H72" s="65"/>
      <c r="I72" s="65"/>
      <c r="J72" s="65"/>
      <c r="K72" s="65"/>
      <c r="L72" s="65"/>
      <c r="M72" s="64" t="str">
        <f t="shared" ca="1" si="21"/>
        <v>-</v>
      </c>
      <c r="N72" s="64" t="str">
        <f t="shared" ca="1" si="21"/>
        <v>-</v>
      </c>
      <c r="O72" s="64" t="str">
        <f t="shared" ca="1" si="21"/>
        <v>-</v>
      </c>
      <c r="P72" s="64" t="str">
        <f t="shared" si="21"/>
        <v/>
      </c>
      <c r="Q72" s="64" t="str">
        <f t="shared" si="21"/>
        <v/>
      </c>
      <c r="R72" s="64" t="str">
        <f t="shared" si="21"/>
        <v/>
      </c>
      <c r="S72" s="64" t="str">
        <f t="shared" si="21"/>
        <v/>
      </c>
      <c r="T72" s="64" t="str">
        <f t="shared" si="21"/>
        <v/>
      </c>
      <c r="U72" s="64" t="str">
        <f t="shared" si="21"/>
        <v/>
      </c>
      <c r="V72" s="64" t="str">
        <f t="shared" si="21"/>
        <v/>
      </c>
    </row>
    <row r="73" spans="1:22">
      <c r="A73" s="1">
        <f t="shared" si="19"/>
        <v>41</v>
      </c>
      <c r="B73" s="65" t="s">
        <v>78</v>
      </c>
      <c r="C73" s="65"/>
      <c r="D73" s="283"/>
      <c r="E73" s="182"/>
      <c r="F73" s="282"/>
      <c r="G73" s="65"/>
      <c r="H73" s="65"/>
      <c r="I73" s="65"/>
      <c r="J73" s="65"/>
      <c r="K73" s="65"/>
      <c r="L73" s="65"/>
      <c r="M73" s="64" t="str">
        <f t="shared" ca="1" si="21"/>
        <v>-</v>
      </c>
      <c r="N73" s="64" t="str">
        <f t="shared" ca="1" si="21"/>
        <v>-</v>
      </c>
      <c r="O73" s="64" t="str">
        <f t="shared" ca="1" si="21"/>
        <v>-</v>
      </c>
      <c r="P73" s="64" t="str">
        <f t="shared" si="21"/>
        <v/>
      </c>
      <c r="Q73" s="64" t="str">
        <f t="shared" si="21"/>
        <v/>
      </c>
      <c r="R73" s="64" t="str">
        <f t="shared" si="21"/>
        <v/>
      </c>
      <c r="S73" s="64" t="str">
        <f t="shared" si="21"/>
        <v/>
      </c>
      <c r="T73" s="64" t="str">
        <f t="shared" si="21"/>
        <v/>
      </c>
      <c r="U73" s="64" t="str">
        <f t="shared" si="21"/>
        <v/>
      </c>
      <c r="V73" s="64" t="str">
        <f t="shared" si="21"/>
        <v/>
      </c>
    </row>
    <row r="74" spans="1:22">
      <c r="A74" s="1">
        <f t="shared" si="19"/>
        <v>42</v>
      </c>
      <c r="M74" s="64" t="str">
        <f t="shared" ca="1" si="21"/>
        <v>-</v>
      </c>
      <c r="N74" s="64" t="str">
        <f t="shared" ca="1" si="21"/>
        <v>-</v>
      </c>
      <c r="O74" s="64" t="str">
        <f t="shared" ca="1" si="21"/>
        <v>-</v>
      </c>
      <c r="P74" s="64" t="str">
        <f t="shared" si="21"/>
        <v/>
      </c>
      <c r="Q74" s="64" t="str">
        <f t="shared" si="21"/>
        <v/>
      </c>
      <c r="R74" s="64" t="str">
        <f t="shared" si="21"/>
        <v/>
      </c>
      <c r="S74" s="64" t="str">
        <f t="shared" si="21"/>
        <v/>
      </c>
      <c r="T74" s="64" t="str">
        <f t="shared" si="21"/>
        <v/>
      </c>
      <c r="U74" s="64" t="str">
        <f t="shared" si="21"/>
        <v/>
      </c>
      <c r="V74" s="64" t="str">
        <f t="shared" si="21"/>
        <v/>
      </c>
    </row>
    <row r="75" spans="1:22">
      <c r="A75" s="1">
        <f t="shared" si="19"/>
        <v>43</v>
      </c>
      <c r="B75" s="1" t="s">
        <v>77</v>
      </c>
      <c r="M75" s="64" t="str">
        <f t="shared" ca="1" si="21"/>
        <v>-</v>
      </c>
      <c r="N75" s="64" t="str">
        <f t="shared" ca="1" si="21"/>
        <v>-</v>
      </c>
      <c r="O75" s="64" t="str">
        <f t="shared" ca="1" si="21"/>
        <v>-</v>
      </c>
      <c r="P75" s="64" t="str">
        <f t="shared" si="21"/>
        <v/>
      </c>
      <c r="Q75" s="64" t="str">
        <f t="shared" si="21"/>
        <v/>
      </c>
      <c r="R75" s="64" t="str">
        <f t="shared" si="21"/>
        <v/>
      </c>
      <c r="S75" s="64" t="str">
        <f t="shared" si="21"/>
        <v/>
      </c>
      <c r="T75" s="64" t="str">
        <f t="shared" si="21"/>
        <v/>
      </c>
      <c r="U75" s="64" t="str">
        <f t="shared" si="21"/>
        <v/>
      </c>
      <c r="V75" s="64" t="str">
        <f t="shared" si="21"/>
        <v/>
      </c>
    </row>
    <row r="76" spans="1:22">
      <c r="A76" s="1">
        <f t="shared" si="19"/>
        <v>44</v>
      </c>
      <c r="B76" s="65" t="s">
        <v>76</v>
      </c>
      <c r="C76" s="65"/>
      <c r="D76" s="65"/>
      <c r="E76" s="65"/>
      <c r="F76" s="65"/>
      <c r="G76" s="65"/>
      <c r="H76" s="65"/>
      <c r="I76" s="65"/>
      <c r="J76" s="65"/>
      <c r="K76" s="65"/>
      <c r="L76" s="65"/>
      <c r="M76" s="64" t="str">
        <f t="shared" ca="1" si="21"/>
        <v>-</v>
      </c>
      <c r="N76" s="64" t="str">
        <f t="shared" ca="1" si="21"/>
        <v>-</v>
      </c>
      <c r="O76" s="64" t="str">
        <f t="shared" ca="1" si="21"/>
        <v>-</v>
      </c>
      <c r="P76" s="64" t="str">
        <f t="shared" si="21"/>
        <v/>
      </c>
      <c r="Q76" s="64" t="str">
        <f t="shared" si="21"/>
        <v/>
      </c>
      <c r="R76" s="64" t="str">
        <f t="shared" si="21"/>
        <v/>
      </c>
      <c r="S76" s="64" t="str">
        <f t="shared" si="21"/>
        <v/>
      </c>
      <c r="T76" s="64" t="str">
        <f t="shared" si="21"/>
        <v/>
      </c>
      <c r="U76" s="64" t="str">
        <f t="shared" si="21"/>
        <v/>
      </c>
      <c r="V76" s="64" t="str">
        <f t="shared" si="21"/>
        <v/>
      </c>
    </row>
    <row r="77" spans="1:22">
      <c r="A77" s="1">
        <f t="shared" si="19"/>
        <v>45</v>
      </c>
      <c r="B77" s="65" t="s">
        <v>75</v>
      </c>
      <c r="C77" s="65"/>
      <c r="D77" s="65"/>
      <c r="E77" s="65"/>
      <c r="F77" s="65"/>
      <c r="G77" s="65"/>
      <c r="H77" s="65"/>
      <c r="I77" s="65"/>
      <c r="J77" s="65"/>
      <c r="K77" s="65"/>
      <c r="L77" s="65"/>
      <c r="M77" s="64" t="str">
        <f t="shared" ca="1" si="21"/>
        <v>-</v>
      </c>
      <c r="N77" s="64" t="str">
        <f t="shared" ca="1" si="21"/>
        <v>-</v>
      </c>
      <c r="O77" s="64" t="str">
        <f t="shared" ca="1" si="21"/>
        <v>-</v>
      </c>
      <c r="P77" s="64" t="str">
        <f t="shared" si="21"/>
        <v/>
      </c>
      <c r="Q77" s="64" t="str">
        <f t="shared" si="21"/>
        <v/>
      </c>
      <c r="R77" s="64" t="str">
        <f t="shared" si="21"/>
        <v/>
      </c>
      <c r="S77" s="64" t="str">
        <f t="shared" si="21"/>
        <v/>
      </c>
      <c r="T77" s="64" t="str">
        <f t="shared" si="21"/>
        <v/>
      </c>
      <c r="U77" s="64" t="str">
        <f t="shared" si="21"/>
        <v/>
      </c>
      <c r="V77" s="64" t="str">
        <f t="shared" si="21"/>
        <v/>
      </c>
    </row>
    <row r="78" spans="1:22">
      <c r="A78" s="1">
        <f t="shared" si="19"/>
        <v>46</v>
      </c>
      <c r="B78" s="65" t="s">
        <v>74</v>
      </c>
      <c r="C78" s="65"/>
      <c r="D78" s="267"/>
      <c r="E78" s="65"/>
      <c r="F78" s="267"/>
      <c r="G78" s="65"/>
      <c r="H78" s="65"/>
      <c r="I78" s="65"/>
      <c r="J78" s="65"/>
      <c r="K78" s="65"/>
      <c r="L78" s="65"/>
      <c r="M78" s="64" t="str">
        <f t="shared" ca="1" si="21"/>
        <v>-</v>
      </c>
      <c r="N78" s="64" t="str">
        <f t="shared" ca="1" si="21"/>
        <v>-</v>
      </c>
      <c r="O78" s="64" t="str">
        <f t="shared" ca="1" si="21"/>
        <v>-</v>
      </c>
      <c r="P78" s="64" t="str">
        <f t="shared" si="21"/>
        <v/>
      </c>
      <c r="Q78" s="64" t="str">
        <f t="shared" si="21"/>
        <v/>
      </c>
      <c r="R78" s="64" t="str">
        <f t="shared" si="21"/>
        <v/>
      </c>
      <c r="S78" s="64" t="str">
        <f t="shared" si="21"/>
        <v/>
      </c>
      <c r="T78" s="64" t="str">
        <f t="shared" si="21"/>
        <v/>
      </c>
      <c r="U78" s="64" t="str">
        <f t="shared" si="21"/>
        <v/>
      </c>
      <c r="V78" s="64" t="str">
        <f t="shared" si="21"/>
        <v/>
      </c>
    </row>
    <row r="79" spans="1:22">
      <c r="A79" s="1">
        <f t="shared" si="19"/>
        <v>47</v>
      </c>
      <c r="B79" s="65" t="s">
        <v>73</v>
      </c>
      <c r="C79" s="65"/>
      <c r="D79" s="266"/>
      <c r="E79" s="65"/>
      <c r="F79" s="266"/>
      <c r="G79" s="65"/>
      <c r="H79" s="65"/>
      <c r="I79" s="65"/>
      <c r="J79" s="65"/>
      <c r="K79" s="65"/>
      <c r="L79" s="65"/>
      <c r="M79" s="64" t="str">
        <f t="shared" ca="1" si="21"/>
        <v>-</v>
      </c>
      <c r="N79" s="64" t="str">
        <f t="shared" ca="1" si="21"/>
        <v>-</v>
      </c>
      <c r="O79" s="64" t="str">
        <f t="shared" ca="1" si="21"/>
        <v>-</v>
      </c>
      <c r="P79" s="64" t="str">
        <f t="shared" si="21"/>
        <v/>
      </c>
      <c r="Q79" s="64" t="str">
        <f t="shared" si="21"/>
        <v/>
      </c>
      <c r="R79" s="64" t="str">
        <f t="shared" si="21"/>
        <v/>
      </c>
      <c r="S79" s="64" t="str">
        <f t="shared" si="21"/>
        <v/>
      </c>
      <c r="T79" s="64" t="str">
        <f t="shared" si="21"/>
        <v/>
      </c>
      <c r="U79" s="64" t="str">
        <f t="shared" si="21"/>
        <v/>
      </c>
      <c r="V79" s="64" t="str">
        <f t="shared" si="21"/>
        <v/>
      </c>
    </row>
    <row r="80" spans="1:22">
      <c r="A80" s="1">
        <f t="shared" si="19"/>
        <v>48</v>
      </c>
      <c r="B80" s="65" t="s">
        <v>72</v>
      </c>
      <c r="C80" s="65"/>
      <c r="D80" s="65"/>
      <c r="E80" s="65"/>
      <c r="F80" s="65"/>
      <c r="G80" s="65"/>
      <c r="H80" s="65"/>
      <c r="I80" s="65"/>
      <c r="J80" s="65"/>
      <c r="K80" s="65"/>
      <c r="L80" s="65"/>
      <c r="M80" s="64" t="str">
        <f t="shared" ref="M80:V89" ca="1" si="23">IF(M$33="","","-")</f>
        <v>-</v>
      </c>
      <c r="N80" s="64" t="str">
        <f t="shared" ca="1" si="23"/>
        <v>-</v>
      </c>
      <c r="O80" s="64" t="str">
        <f t="shared" ca="1" si="23"/>
        <v>-</v>
      </c>
      <c r="P80" s="64" t="str">
        <f t="shared" si="23"/>
        <v/>
      </c>
      <c r="Q80" s="64" t="str">
        <f t="shared" si="23"/>
        <v/>
      </c>
      <c r="R80" s="64" t="str">
        <f t="shared" si="23"/>
        <v/>
      </c>
      <c r="S80" s="64" t="str">
        <f t="shared" si="23"/>
        <v/>
      </c>
      <c r="T80" s="64" t="str">
        <f t="shared" si="23"/>
        <v/>
      </c>
      <c r="U80" s="64" t="str">
        <f t="shared" si="23"/>
        <v/>
      </c>
      <c r="V80" s="64" t="str">
        <f t="shared" si="23"/>
        <v/>
      </c>
    </row>
    <row r="81" spans="1:22">
      <c r="A81" s="1">
        <f t="shared" si="19"/>
        <v>49</v>
      </c>
      <c r="M81" s="64" t="str">
        <f t="shared" ca="1" si="23"/>
        <v>-</v>
      </c>
      <c r="N81" s="64" t="str">
        <f t="shared" ca="1" si="23"/>
        <v>-</v>
      </c>
      <c r="O81" s="64" t="str">
        <f t="shared" ca="1" si="23"/>
        <v>-</v>
      </c>
      <c r="P81" s="64" t="str">
        <f t="shared" si="23"/>
        <v/>
      </c>
      <c r="Q81" s="64" t="str">
        <f t="shared" si="23"/>
        <v/>
      </c>
      <c r="R81" s="64" t="str">
        <f t="shared" si="23"/>
        <v/>
      </c>
      <c r="S81" s="64" t="str">
        <f t="shared" si="23"/>
        <v/>
      </c>
      <c r="T81" s="64" t="str">
        <f t="shared" si="23"/>
        <v/>
      </c>
      <c r="U81" s="64" t="str">
        <f t="shared" si="23"/>
        <v/>
      </c>
      <c r="V81" s="64" t="str">
        <f t="shared" si="23"/>
        <v/>
      </c>
    </row>
    <row r="82" spans="1:22">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ca="1" si="23"/>
        <v>-</v>
      </c>
      <c r="P82" s="64" t="str">
        <f t="shared" si="23"/>
        <v/>
      </c>
      <c r="Q82" s="64" t="str">
        <f t="shared" si="23"/>
        <v/>
      </c>
      <c r="R82" s="64" t="str">
        <f t="shared" si="23"/>
        <v/>
      </c>
      <c r="S82" s="64" t="str">
        <f t="shared" si="23"/>
        <v/>
      </c>
      <c r="T82" s="64" t="str">
        <f t="shared" si="23"/>
        <v/>
      </c>
      <c r="U82" s="64" t="str">
        <f t="shared" si="23"/>
        <v/>
      </c>
      <c r="V82" s="64" t="str">
        <f t="shared" si="23"/>
        <v/>
      </c>
    </row>
    <row r="83" spans="1:22">
      <c r="A83" s="1">
        <f t="shared" si="19"/>
        <v>51</v>
      </c>
      <c r="B83" s="65" t="s">
        <v>70</v>
      </c>
      <c r="C83" s="65"/>
      <c r="D83" s="65"/>
      <c r="E83" s="65"/>
      <c r="F83" s="65"/>
      <c r="G83" s="65"/>
      <c r="H83" s="65"/>
      <c r="I83" s="65"/>
      <c r="J83" s="65"/>
      <c r="K83" s="65"/>
      <c r="L83" s="65"/>
      <c r="M83" s="64" t="str">
        <f t="shared" ca="1" si="23"/>
        <v>-</v>
      </c>
      <c r="N83" s="64" t="str">
        <f t="shared" ca="1" si="23"/>
        <v>-</v>
      </c>
      <c r="O83" s="64" t="str">
        <f t="shared" ca="1" si="23"/>
        <v>-</v>
      </c>
      <c r="P83" s="64" t="str">
        <f t="shared" si="23"/>
        <v/>
      </c>
      <c r="Q83" s="64" t="str">
        <f t="shared" si="23"/>
        <v/>
      </c>
      <c r="R83" s="64" t="str">
        <f t="shared" si="23"/>
        <v/>
      </c>
      <c r="S83" s="64" t="str">
        <f t="shared" si="23"/>
        <v/>
      </c>
      <c r="T83" s="64" t="str">
        <f t="shared" si="23"/>
        <v/>
      </c>
      <c r="U83" s="64" t="str">
        <f t="shared" si="23"/>
        <v/>
      </c>
      <c r="V83" s="64" t="str">
        <f t="shared" si="23"/>
        <v/>
      </c>
    </row>
    <row r="84" spans="1:22">
      <c r="A84" s="1">
        <f t="shared" si="19"/>
        <v>52</v>
      </c>
      <c r="B84" s="65" t="s">
        <v>69</v>
      </c>
      <c r="C84" s="65"/>
      <c r="D84" s="65"/>
      <c r="E84" s="65"/>
      <c r="F84" s="65"/>
      <c r="G84" s="65"/>
      <c r="H84" s="65"/>
      <c r="I84" s="65"/>
      <c r="J84" s="65"/>
      <c r="K84" s="65"/>
      <c r="L84" s="65"/>
      <c r="M84" s="64" t="str">
        <f t="shared" ca="1" si="23"/>
        <v>-</v>
      </c>
      <c r="N84" s="64" t="str">
        <f t="shared" ca="1" si="23"/>
        <v>-</v>
      </c>
      <c r="O84" s="64" t="str">
        <f t="shared" ca="1" si="23"/>
        <v>-</v>
      </c>
      <c r="P84" s="64" t="str">
        <f t="shared" si="23"/>
        <v/>
      </c>
      <c r="Q84" s="64" t="str">
        <f t="shared" si="23"/>
        <v/>
      </c>
      <c r="R84" s="64" t="str">
        <f t="shared" si="23"/>
        <v/>
      </c>
      <c r="S84" s="64" t="str">
        <f t="shared" si="23"/>
        <v/>
      </c>
      <c r="T84" s="64" t="str">
        <f t="shared" si="23"/>
        <v/>
      </c>
      <c r="U84" s="64" t="str">
        <f t="shared" si="23"/>
        <v/>
      </c>
      <c r="V84" s="64" t="str">
        <f t="shared" si="23"/>
        <v/>
      </c>
    </row>
    <row r="85" spans="1:22">
      <c r="A85" s="1">
        <f t="shared" si="19"/>
        <v>53</v>
      </c>
      <c r="B85" s="65" t="s">
        <v>68</v>
      </c>
      <c r="C85" s="65"/>
      <c r="D85" s="65"/>
      <c r="E85" s="65"/>
      <c r="F85" s="65"/>
      <c r="G85" s="65"/>
      <c r="H85" s="65"/>
      <c r="I85" s="65"/>
      <c r="J85" s="65"/>
      <c r="K85" s="65"/>
      <c r="L85" s="65"/>
      <c r="M85" s="64" t="str">
        <f t="shared" ca="1" si="23"/>
        <v>-</v>
      </c>
      <c r="N85" s="64" t="str">
        <f t="shared" ca="1" si="23"/>
        <v>-</v>
      </c>
      <c r="O85" s="64" t="str">
        <f t="shared" ca="1" si="23"/>
        <v>-</v>
      </c>
      <c r="P85" s="64" t="str">
        <f t="shared" si="23"/>
        <v/>
      </c>
      <c r="Q85" s="64" t="str">
        <f t="shared" si="23"/>
        <v/>
      </c>
      <c r="R85" s="64" t="str">
        <f t="shared" si="23"/>
        <v/>
      </c>
      <c r="S85" s="64" t="str">
        <f t="shared" si="23"/>
        <v/>
      </c>
      <c r="T85" s="64" t="str">
        <f t="shared" si="23"/>
        <v/>
      </c>
      <c r="U85" s="64" t="str">
        <f t="shared" si="23"/>
        <v/>
      </c>
      <c r="V85" s="64" t="str">
        <f t="shared" si="23"/>
        <v/>
      </c>
    </row>
    <row r="86" spans="1:22">
      <c r="A86" s="1">
        <f t="shared" si="19"/>
        <v>54</v>
      </c>
      <c r="B86" s="65" t="s">
        <v>67</v>
      </c>
      <c r="C86" s="65"/>
      <c r="D86" s="65"/>
      <c r="E86" s="65"/>
      <c r="F86" s="65"/>
      <c r="G86" s="65"/>
      <c r="H86" s="65"/>
      <c r="I86" s="65"/>
      <c r="J86" s="65"/>
      <c r="K86" s="65"/>
      <c r="L86" s="65"/>
      <c r="M86" s="64" t="str">
        <f t="shared" ca="1" si="23"/>
        <v>-</v>
      </c>
      <c r="N86" s="64" t="str">
        <f t="shared" ca="1" si="23"/>
        <v>-</v>
      </c>
      <c r="O86" s="64" t="str">
        <f t="shared" ca="1" si="23"/>
        <v>-</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19"/>
        <v>55</v>
      </c>
      <c r="B87" s="65" t="s">
        <v>66</v>
      </c>
      <c r="C87" s="65"/>
      <c r="D87" s="65"/>
      <c r="E87" s="65"/>
      <c r="F87" s="65"/>
      <c r="G87" s="65"/>
      <c r="H87" s="65"/>
      <c r="I87" s="65"/>
      <c r="J87" s="65"/>
      <c r="K87" s="65"/>
      <c r="L87" s="65"/>
      <c r="M87" s="64" t="str">
        <f t="shared" ca="1" si="23"/>
        <v>-</v>
      </c>
      <c r="N87" s="64" t="str">
        <f t="shared" ca="1" si="23"/>
        <v>-</v>
      </c>
      <c r="O87" s="64" t="str">
        <f t="shared" ca="1" si="23"/>
        <v>-</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19"/>
        <v>56</v>
      </c>
      <c r="B88" s="65" t="s">
        <v>65</v>
      </c>
      <c r="C88" s="65"/>
      <c r="D88" s="65"/>
      <c r="E88" s="65"/>
      <c r="F88" s="65"/>
      <c r="G88" s="65"/>
      <c r="H88" s="65"/>
      <c r="I88" s="65"/>
      <c r="J88" s="65"/>
      <c r="K88" s="65"/>
      <c r="L88" s="65"/>
      <c r="M88" s="64" t="str">
        <f t="shared" ca="1" si="23"/>
        <v>-</v>
      </c>
      <c r="N88" s="64" t="str">
        <f t="shared" ca="1" si="23"/>
        <v>-</v>
      </c>
      <c r="O88" s="64" t="str">
        <f t="shared" ca="1" si="23"/>
        <v>-</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19"/>
        <v>57</v>
      </c>
      <c r="B89" s="65" t="s">
        <v>64</v>
      </c>
      <c r="C89" s="65"/>
      <c r="D89" s="65"/>
      <c r="E89" s="65"/>
      <c r="F89" s="65"/>
      <c r="G89" s="65"/>
      <c r="H89" s="65"/>
      <c r="I89" s="65"/>
      <c r="J89" s="65"/>
      <c r="K89" s="65"/>
      <c r="L89" s="65"/>
      <c r="M89" s="64" t="str">
        <f t="shared" ca="1" si="23"/>
        <v>-</v>
      </c>
      <c r="N89" s="64" t="str">
        <f t="shared" ca="1" si="23"/>
        <v>-</v>
      </c>
      <c r="O89" s="64" t="str">
        <f t="shared" ca="1" si="23"/>
        <v>-</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ca="1" si="25"/>
        <v>-</v>
      </c>
      <c r="P90" s="64" t="str">
        <f t="shared" si="25"/>
        <v/>
      </c>
      <c r="Q90" s="64" t="str">
        <f t="shared" si="25"/>
        <v/>
      </c>
      <c r="R90" s="64" t="str">
        <f t="shared" si="25"/>
        <v/>
      </c>
      <c r="S90" s="64" t="str">
        <f t="shared" si="25"/>
        <v/>
      </c>
      <c r="T90" s="64" t="str">
        <f t="shared" si="25"/>
        <v/>
      </c>
      <c r="U90" s="64" t="str">
        <f t="shared" si="25"/>
        <v/>
      </c>
      <c r="V90" s="64" t="str">
        <f t="shared" si="25"/>
        <v/>
      </c>
    </row>
    <row r="91" spans="1:22">
      <c r="A91" s="1">
        <f t="shared" si="19"/>
        <v>59</v>
      </c>
      <c r="B91" s="65" t="s">
        <v>62</v>
      </c>
      <c r="C91" s="65"/>
      <c r="D91" s="65"/>
      <c r="E91" s="65"/>
      <c r="F91" s="65"/>
      <c r="G91" s="65"/>
      <c r="H91" s="65"/>
      <c r="I91" s="65"/>
      <c r="J91" s="65"/>
      <c r="K91" s="65"/>
      <c r="L91" s="65"/>
      <c r="M91" s="64" t="str">
        <f t="shared" ca="1" si="25"/>
        <v>-</v>
      </c>
      <c r="N91" s="64" t="str">
        <f t="shared" ca="1" si="25"/>
        <v>-</v>
      </c>
      <c r="O91" s="64" t="str">
        <f t="shared" ca="1" si="25"/>
        <v>-</v>
      </c>
      <c r="P91" s="64" t="str">
        <f t="shared" si="25"/>
        <v/>
      </c>
      <c r="Q91" s="64" t="str">
        <f t="shared" si="25"/>
        <v/>
      </c>
      <c r="R91" s="64" t="str">
        <f t="shared" si="25"/>
        <v/>
      </c>
      <c r="S91" s="64" t="str">
        <f t="shared" si="25"/>
        <v/>
      </c>
      <c r="T91" s="64" t="str">
        <f t="shared" si="25"/>
        <v/>
      </c>
      <c r="U91" s="64" t="str">
        <f t="shared" si="25"/>
        <v/>
      </c>
      <c r="V91" s="64" t="str">
        <f t="shared" si="25"/>
        <v/>
      </c>
    </row>
    <row r="92" spans="1:22">
      <c r="A92" s="1">
        <f t="shared" si="19"/>
        <v>60</v>
      </c>
      <c r="B92" s="65" t="s">
        <v>61</v>
      </c>
      <c r="C92" s="65"/>
      <c r="D92" s="65"/>
      <c r="E92" s="65"/>
      <c r="F92" s="65"/>
      <c r="G92" s="65"/>
      <c r="H92" s="65"/>
      <c r="I92" s="65"/>
      <c r="J92" s="65"/>
      <c r="K92" s="65"/>
      <c r="L92" s="65"/>
      <c r="M92" s="64" t="str">
        <f t="shared" ca="1" si="25"/>
        <v>-</v>
      </c>
      <c r="N92" s="64" t="str">
        <f t="shared" ca="1" si="25"/>
        <v>-</v>
      </c>
      <c r="O92" s="64" t="str">
        <f t="shared" ca="1" si="25"/>
        <v>-</v>
      </c>
      <c r="P92" s="64" t="str">
        <f t="shared" si="25"/>
        <v/>
      </c>
      <c r="Q92" s="64" t="str">
        <f t="shared" si="25"/>
        <v/>
      </c>
      <c r="R92" s="64" t="str">
        <f t="shared" si="25"/>
        <v/>
      </c>
      <c r="S92" s="64" t="str">
        <f t="shared" si="25"/>
        <v/>
      </c>
      <c r="T92" s="64" t="str">
        <f t="shared" si="25"/>
        <v/>
      </c>
      <c r="U92" s="64" t="str">
        <f t="shared" si="25"/>
        <v/>
      </c>
      <c r="V92" s="64" t="str">
        <f t="shared" si="25"/>
        <v/>
      </c>
    </row>
    <row r="93" spans="1:22">
      <c r="A93" s="1">
        <f t="shared" si="19"/>
        <v>61</v>
      </c>
      <c r="B93" s="65" t="s">
        <v>60</v>
      </c>
      <c r="C93" s="65"/>
      <c r="D93" s="65"/>
      <c r="E93" s="65"/>
      <c r="F93" s="65"/>
      <c r="G93" s="65"/>
      <c r="H93" s="65"/>
      <c r="I93" s="65"/>
      <c r="J93" s="65"/>
      <c r="K93" s="65"/>
      <c r="L93" s="65"/>
      <c r="M93" s="64" t="str">
        <f t="shared" ca="1" si="25"/>
        <v>-</v>
      </c>
      <c r="N93" s="64" t="str">
        <f t="shared" ca="1" si="25"/>
        <v>-</v>
      </c>
      <c r="O93" s="64" t="str">
        <f t="shared" ca="1" si="25"/>
        <v>-</v>
      </c>
      <c r="P93" s="64" t="str">
        <f t="shared" si="25"/>
        <v/>
      </c>
      <c r="Q93" s="64" t="str">
        <f t="shared" si="25"/>
        <v/>
      </c>
      <c r="R93" s="64" t="str">
        <f t="shared" si="25"/>
        <v/>
      </c>
      <c r="S93" s="64" t="str">
        <f t="shared" si="25"/>
        <v/>
      </c>
      <c r="T93" s="64" t="str">
        <f t="shared" si="25"/>
        <v/>
      </c>
      <c r="U93" s="64" t="str">
        <f t="shared" si="25"/>
        <v/>
      </c>
      <c r="V93" s="64" t="str">
        <f t="shared" si="25"/>
        <v/>
      </c>
    </row>
    <row r="94" spans="1:22">
      <c r="A94" s="1">
        <f t="shared" si="19"/>
        <v>62</v>
      </c>
      <c r="B94" s="65" t="s">
        <v>59</v>
      </c>
      <c r="C94" s="65"/>
      <c r="D94" s="65"/>
      <c r="E94" s="65"/>
      <c r="F94" s="65"/>
      <c r="G94" s="65"/>
      <c r="H94" s="65"/>
      <c r="I94" s="65"/>
      <c r="J94" s="65"/>
      <c r="K94" s="65"/>
      <c r="L94" s="65"/>
      <c r="M94" s="64" t="str">
        <f t="shared" ca="1" si="25"/>
        <v>-</v>
      </c>
      <c r="N94" s="64" t="str">
        <f t="shared" ca="1" si="25"/>
        <v>-</v>
      </c>
      <c r="O94" s="64" t="str">
        <f t="shared" ca="1" si="25"/>
        <v>-</v>
      </c>
      <c r="P94" s="64" t="str">
        <f t="shared" si="25"/>
        <v/>
      </c>
      <c r="Q94" s="64" t="str">
        <f t="shared" si="25"/>
        <v/>
      </c>
      <c r="R94" s="64" t="str">
        <f t="shared" si="25"/>
        <v/>
      </c>
      <c r="S94" s="64" t="str">
        <f t="shared" si="25"/>
        <v/>
      </c>
      <c r="T94" s="64" t="str">
        <f t="shared" si="25"/>
        <v/>
      </c>
      <c r="U94" s="64" t="str">
        <f t="shared" si="25"/>
        <v/>
      </c>
      <c r="V94" s="64" t="str">
        <f t="shared" si="25"/>
        <v/>
      </c>
    </row>
    <row r="95" spans="1:22">
      <c r="A95" s="1">
        <f t="shared" si="19"/>
        <v>63</v>
      </c>
      <c r="B95" s="65" t="s">
        <v>58</v>
      </c>
      <c r="C95" s="65"/>
      <c r="D95" s="65"/>
      <c r="E95" s="65"/>
      <c r="F95" s="65"/>
      <c r="G95" s="65"/>
      <c r="H95" s="65"/>
      <c r="I95" s="65"/>
      <c r="J95" s="65"/>
      <c r="K95" s="65"/>
      <c r="L95" s="65"/>
      <c r="M95" s="64" t="str">
        <f t="shared" ca="1" si="25"/>
        <v>-</v>
      </c>
      <c r="N95" s="64" t="str">
        <f t="shared" ca="1" si="25"/>
        <v>-</v>
      </c>
      <c r="O95" s="64" t="str">
        <f t="shared" ca="1" si="25"/>
        <v>-</v>
      </c>
      <c r="P95" s="64" t="str">
        <f t="shared" si="25"/>
        <v/>
      </c>
      <c r="Q95" s="64" t="str">
        <f t="shared" si="25"/>
        <v/>
      </c>
      <c r="R95" s="64" t="str">
        <f t="shared" si="25"/>
        <v/>
      </c>
      <c r="S95" s="64" t="str">
        <f t="shared" si="25"/>
        <v/>
      </c>
      <c r="T95" s="64" t="str">
        <f t="shared" si="25"/>
        <v/>
      </c>
      <c r="U95" s="64" t="str">
        <f t="shared" si="25"/>
        <v/>
      </c>
      <c r="V95" s="64" t="str">
        <f t="shared" si="25"/>
        <v/>
      </c>
    </row>
    <row r="96" spans="1:22">
      <c r="A96" s="1">
        <f t="shared" si="19"/>
        <v>64</v>
      </c>
      <c r="B96" s="65" t="s">
        <v>57</v>
      </c>
      <c r="C96" s="65"/>
      <c r="D96" s="65"/>
      <c r="E96" s="65"/>
      <c r="F96" s="65"/>
      <c r="G96" s="65"/>
      <c r="H96" s="65"/>
      <c r="I96" s="65"/>
      <c r="J96" s="65"/>
      <c r="K96" s="65"/>
      <c r="L96" s="65"/>
      <c r="M96" s="64" t="str">
        <f t="shared" ca="1" si="25"/>
        <v>-</v>
      </c>
      <c r="N96" s="64" t="str">
        <f t="shared" ca="1" si="25"/>
        <v>-</v>
      </c>
      <c r="O96" s="64" t="str">
        <f t="shared" ca="1" si="25"/>
        <v>-</v>
      </c>
      <c r="P96" s="64" t="str">
        <f t="shared" si="25"/>
        <v/>
      </c>
      <c r="Q96" s="64" t="str">
        <f t="shared" si="25"/>
        <v/>
      </c>
      <c r="R96" s="64" t="str">
        <f t="shared" si="25"/>
        <v/>
      </c>
      <c r="S96" s="64" t="str">
        <f t="shared" si="25"/>
        <v/>
      </c>
      <c r="T96" s="64" t="str">
        <f t="shared" si="25"/>
        <v/>
      </c>
      <c r="U96" s="64" t="str">
        <f t="shared" si="25"/>
        <v/>
      </c>
      <c r="V96" s="64" t="str">
        <f t="shared" si="25"/>
        <v/>
      </c>
    </row>
    <row r="97" spans="1:23">
      <c r="A97" s="1">
        <f t="shared" si="19"/>
        <v>65</v>
      </c>
      <c r="B97" s="65" t="s">
        <v>56</v>
      </c>
      <c r="C97" s="65"/>
      <c r="D97" s="65"/>
      <c r="E97" s="65"/>
      <c r="F97" s="65"/>
      <c r="G97" s="65"/>
      <c r="H97" s="65"/>
      <c r="I97" s="65"/>
      <c r="J97" s="65"/>
      <c r="K97" s="65"/>
      <c r="L97" s="65"/>
      <c r="M97" s="64" t="str">
        <f t="shared" ca="1" si="25"/>
        <v>-</v>
      </c>
      <c r="N97" s="64" t="str">
        <f t="shared" ca="1" si="25"/>
        <v>-</v>
      </c>
      <c r="O97" s="64" t="str">
        <f t="shared" ca="1" si="25"/>
        <v>-</v>
      </c>
      <c r="P97" s="64" t="str">
        <f t="shared" si="25"/>
        <v/>
      </c>
      <c r="Q97" s="64" t="str">
        <f t="shared" si="25"/>
        <v/>
      </c>
      <c r="R97" s="64" t="str">
        <f t="shared" si="25"/>
        <v/>
      </c>
      <c r="S97" s="64" t="str">
        <f t="shared" si="25"/>
        <v/>
      </c>
      <c r="T97" s="64" t="str">
        <f t="shared" si="25"/>
        <v/>
      </c>
      <c r="U97" s="64" t="str">
        <f t="shared" si="25"/>
        <v/>
      </c>
      <c r="V97" s="64" t="str">
        <f t="shared" si="25"/>
        <v/>
      </c>
    </row>
    <row r="98" spans="1:23">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ca="1" si="25"/>
        <v>-</v>
      </c>
      <c r="P98" s="64" t="str">
        <f t="shared" si="25"/>
        <v/>
      </c>
      <c r="Q98" s="64" t="str">
        <f t="shared" si="25"/>
        <v/>
      </c>
      <c r="R98" s="64" t="str">
        <f t="shared" si="25"/>
        <v/>
      </c>
      <c r="S98" s="64" t="str">
        <f t="shared" si="25"/>
        <v/>
      </c>
      <c r="T98" s="64" t="str">
        <f t="shared" si="25"/>
        <v/>
      </c>
      <c r="U98" s="64" t="str">
        <f t="shared" si="25"/>
        <v/>
      </c>
      <c r="V98" s="64" t="str">
        <f t="shared" si="25"/>
        <v/>
      </c>
    </row>
    <row r="99" spans="1:23">
      <c r="A99" s="1">
        <f t="shared" si="26"/>
        <v>67</v>
      </c>
      <c r="B99" s="65" t="s">
        <v>54</v>
      </c>
      <c r="C99" s="65"/>
      <c r="D99" s="65"/>
      <c r="E99" s="65"/>
      <c r="F99" s="65"/>
      <c r="G99" s="65"/>
      <c r="H99" s="65"/>
      <c r="I99" s="65"/>
      <c r="J99" s="65"/>
      <c r="K99" s="65"/>
      <c r="L99" s="65"/>
      <c r="M99" s="64" t="str">
        <f t="shared" ca="1" si="25"/>
        <v>-</v>
      </c>
      <c r="N99" s="64" t="str">
        <f t="shared" ca="1" si="25"/>
        <v>-</v>
      </c>
      <c r="O99" s="64" t="str">
        <f t="shared" ca="1" si="25"/>
        <v>-</v>
      </c>
      <c r="P99" s="64" t="str">
        <f t="shared" si="25"/>
        <v/>
      </c>
      <c r="Q99" s="64" t="str">
        <f t="shared" si="25"/>
        <v/>
      </c>
      <c r="R99" s="64" t="str">
        <f t="shared" si="25"/>
        <v/>
      </c>
      <c r="S99" s="64" t="str">
        <f t="shared" si="25"/>
        <v/>
      </c>
      <c r="T99" s="64" t="str">
        <f t="shared" si="25"/>
        <v/>
      </c>
      <c r="U99" s="64" t="str">
        <f t="shared" si="25"/>
        <v/>
      </c>
      <c r="V99" s="64" t="str">
        <f t="shared" si="25"/>
        <v/>
      </c>
    </row>
    <row r="100" spans="1:23">
      <c r="A100" s="1">
        <f t="shared" si="26"/>
        <v>68</v>
      </c>
      <c r="M100" s="64" t="str">
        <f t="shared" ca="1" si="25"/>
        <v>-</v>
      </c>
      <c r="N100" s="64" t="str">
        <f t="shared" ca="1" si="25"/>
        <v>-</v>
      </c>
      <c r="O100" s="64" t="str">
        <f t="shared" ca="1" si="25"/>
        <v>-</v>
      </c>
      <c r="P100" s="64" t="str">
        <f t="shared" si="25"/>
        <v/>
      </c>
      <c r="Q100" s="64" t="str">
        <f t="shared" si="25"/>
        <v/>
      </c>
      <c r="R100" s="64" t="str">
        <f t="shared" si="25"/>
        <v/>
      </c>
      <c r="S100" s="64" t="str">
        <f t="shared" si="25"/>
        <v/>
      </c>
      <c r="T100" s="64" t="str">
        <f t="shared" si="25"/>
        <v/>
      </c>
      <c r="U100" s="64" t="str">
        <f t="shared" si="25"/>
        <v/>
      </c>
      <c r="V100" s="64" t="str">
        <f t="shared" si="25"/>
        <v/>
      </c>
    </row>
    <row r="101" spans="1:23">
      <c r="A101" s="1">
        <f t="shared" si="26"/>
        <v>69</v>
      </c>
      <c r="B101" s="1" t="s">
        <v>53</v>
      </c>
      <c r="M101" s="64" t="str">
        <f t="shared" ca="1" si="25"/>
        <v>-</v>
      </c>
      <c r="N101" s="64" t="str">
        <f t="shared" ca="1" si="25"/>
        <v>-</v>
      </c>
      <c r="O101" s="64" t="str">
        <f t="shared" ca="1" si="25"/>
        <v>-</v>
      </c>
      <c r="P101" s="64" t="str">
        <f t="shared" si="25"/>
        <v/>
      </c>
      <c r="Q101" s="64" t="str">
        <f t="shared" si="25"/>
        <v/>
      </c>
      <c r="R101" s="64" t="str">
        <f t="shared" si="25"/>
        <v/>
      </c>
      <c r="S101" s="64" t="str">
        <f t="shared" si="25"/>
        <v/>
      </c>
      <c r="T101" s="64" t="str">
        <f t="shared" si="25"/>
        <v/>
      </c>
      <c r="U101" s="64" t="str">
        <f t="shared" si="25"/>
        <v/>
      </c>
      <c r="V101" s="64" t="str">
        <f t="shared" si="25"/>
        <v/>
      </c>
    </row>
    <row r="102" spans="1:23">
      <c r="A102" s="1">
        <f t="shared" si="26"/>
        <v>70</v>
      </c>
      <c r="B102" s="65" t="s">
        <v>52</v>
      </c>
      <c r="C102" s="282" t="e">
        <f>#REF!</f>
        <v>#REF!</v>
      </c>
      <c r="D102" s="65"/>
      <c r="E102" s="65"/>
      <c r="F102" s="282" t="e">
        <f>#REF!</f>
        <v>#REF!</v>
      </c>
      <c r="G102" s="65"/>
      <c r="H102" s="65"/>
      <c r="I102" s="65"/>
      <c r="J102" s="65"/>
      <c r="K102" s="65"/>
      <c r="L102" s="65"/>
      <c r="M102" s="64" t="str">
        <f t="shared" ca="1" si="25"/>
        <v>-</v>
      </c>
      <c r="N102" s="64" t="str">
        <f t="shared" ca="1" si="25"/>
        <v>-</v>
      </c>
      <c r="O102" s="64" t="str">
        <f t="shared" ca="1" si="25"/>
        <v>-</v>
      </c>
      <c r="P102" s="64" t="str">
        <f t="shared" si="25"/>
        <v/>
      </c>
      <c r="Q102" s="64" t="str">
        <f t="shared" si="25"/>
        <v/>
      </c>
      <c r="R102" s="64" t="str">
        <f t="shared" si="25"/>
        <v/>
      </c>
      <c r="S102" s="64" t="str">
        <f t="shared" si="25"/>
        <v/>
      </c>
      <c r="T102" s="64" t="str">
        <f t="shared" si="25"/>
        <v/>
      </c>
      <c r="U102" s="64" t="str">
        <f t="shared" si="25"/>
        <v/>
      </c>
      <c r="V102" s="64" t="str">
        <f t="shared" si="25"/>
        <v/>
      </c>
    </row>
    <row r="103" spans="1:23">
      <c r="A103" s="1">
        <f t="shared" si="26"/>
        <v>71</v>
      </c>
      <c r="B103" s="65" t="s">
        <v>51</v>
      </c>
      <c r="C103" s="282" t="e">
        <f>C102/C64</f>
        <v>#REF!</v>
      </c>
      <c r="D103" s="65"/>
      <c r="E103" s="65"/>
      <c r="F103" s="282" t="e">
        <f>F102/F64</f>
        <v>#REF!</v>
      </c>
      <c r="G103" s="65"/>
      <c r="H103" s="65"/>
      <c r="I103" s="65"/>
      <c r="J103" s="65"/>
      <c r="K103" s="65"/>
      <c r="L103" s="65"/>
      <c r="M103" s="64" t="str">
        <f t="shared" ca="1" si="25"/>
        <v>-</v>
      </c>
      <c r="N103" s="64" t="str">
        <f t="shared" ca="1" si="25"/>
        <v>-</v>
      </c>
      <c r="O103" s="64" t="str">
        <f t="shared" ca="1" si="25"/>
        <v>-</v>
      </c>
      <c r="P103" s="64" t="str">
        <f t="shared" si="25"/>
        <v/>
      </c>
      <c r="Q103" s="64" t="str">
        <f t="shared" si="25"/>
        <v/>
      </c>
      <c r="R103" s="64" t="str">
        <f t="shared" si="25"/>
        <v/>
      </c>
      <c r="S103" s="64" t="str">
        <f t="shared" si="25"/>
        <v/>
      </c>
      <c r="T103" s="64" t="str">
        <f t="shared" si="25"/>
        <v/>
      </c>
      <c r="U103" s="64" t="str">
        <f t="shared" si="25"/>
        <v/>
      </c>
      <c r="V103" s="64" t="str">
        <f t="shared" si="25"/>
        <v/>
      </c>
    </row>
    <row r="106" spans="1:23" s="63" customFormat="1" ht="15.75" thickBot="1">
      <c r="B106" s="63" t="s">
        <v>50</v>
      </c>
    </row>
    <row r="108" spans="1:23">
      <c r="B108" s="1" t="s">
        <v>1355</v>
      </c>
    </row>
    <row r="110" spans="1:23">
      <c r="B110" s="1" t="s">
        <v>1354</v>
      </c>
      <c r="F110" s="26"/>
      <c r="G110" s="26"/>
      <c r="H110" s="28"/>
      <c r="M110" s="21" t="s">
        <v>572</v>
      </c>
      <c r="N110" s="19"/>
      <c r="O110" s="26"/>
      <c r="P110" s="21" t="s">
        <v>571</v>
      </c>
      <c r="Q110" s="19"/>
      <c r="R110" s="27"/>
      <c r="S110" s="27"/>
      <c r="T110" s="27"/>
      <c r="U110" s="26"/>
      <c r="V110" s="26"/>
      <c r="W110" s="26"/>
    </row>
    <row r="111" spans="1:23">
      <c r="B111" s="1" t="s">
        <v>1353</v>
      </c>
      <c r="F111" s="26"/>
      <c r="G111" s="26"/>
      <c r="H111" s="26"/>
      <c r="M111" s="21" t="s">
        <v>570</v>
      </c>
      <c r="N111" s="21" t="s">
        <v>569</v>
      </c>
      <c r="O111" s="26"/>
      <c r="P111" s="21" t="s">
        <v>1352</v>
      </c>
      <c r="Q111" s="21" t="s">
        <v>569</v>
      </c>
      <c r="R111" s="27"/>
      <c r="S111" s="27"/>
      <c r="T111" s="27"/>
      <c r="U111" s="26"/>
      <c r="V111" s="26"/>
      <c r="W111" s="26"/>
    </row>
    <row r="112" spans="1:23">
      <c r="B112" s="1" t="s">
        <v>1351</v>
      </c>
      <c r="F112" s="26"/>
      <c r="G112" s="26"/>
      <c r="H112" s="26"/>
      <c r="M112" s="21"/>
      <c r="N112" s="21"/>
      <c r="O112" s="26"/>
      <c r="P112" s="21"/>
      <c r="Q112" s="21"/>
      <c r="R112" s="27"/>
      <c r="S112" s="27"/>
      <c r="T112" s="27"/>
      <c r="U112" s="26"/>
      <c r="V112" s="26"/>
      <c r="W112" s="26"/>
    </row>
    <row r="113" spans="1:23">
      <c r="F113" s="26"/>
      <c r="G113" s="26"/>
      <c r="H113" s="26"/>
      <c r="M113" s="19" t="s">
        <v>1350</v>
      </c>
      <c r="N113" s="156">
        <f t="shared" ref="N113:N118" si="27">$R$174</f>
        <v>16089.795918367345</v>
      </c>
      <c r="O113" s="26"/>
      <c r="P113" s="492" t="s">
        <v>188</v>
      </c>
      <c r="Q113" s="156">
        <f>N123</f>
        <v>16089.795918367345</v>
      </c>
      <c r="R113" s="27"/>
      <c r="S113" s="27"/>
      <c r="T113" s="27"/>
      <c r="U113" s="26"/>
      <c r="V113" s="26"/>
      <c r="W113" s="26"/>
    </row>
    <row r="114" spans="1:23">
      <c r="B114" s="2" t="s">
        <v>1349</v>
      </c>
      <c r="C114" s="2" t="s">
        <v>45</v>
      </c>
      <c r="D114" s="194" t="s">
        <v>44</v>
      </c>
      <c r="E114" s="2" t="s">
        <v>1348</v>
      </c>
      <c r="F114" s="26"/>
      <c r="G114" s="26"/>
      <c r="H114" s="26"/>
      <c r="M114" s="19" t="s">
        <v>1347</v>
      </c>
      <c r="N114" s="156">
        <f t="shared" si="27"/>
        <v>16089.795918367345</v>
      </c>
      <c r="O114" s="26"/>
      <c r="P114" s="492" t="s">
        <v>175</v>
      </c>
      <c r="Q114" s="156">
        <f>AVERAGE(N124,N125)</f>
        <v>16089.795918367345</v>
      </c>
      <c r="R114" s="27"/>
      <c r="S114" s="27"/>
      <c r="T114" s="27"/>
      <c r="U114" s="27"/>
      <c r="V114" s="26"/>
      <c r="W114" s="26"/>
    </row>
    <row r="115" spans="1:23">
      <c r="B115" s="26" t="s">
        <v>1314</v>
      </c>
      <c r="C115" s="26" t="s">
        <v>35</v>
      </c>
      <c r="D115" s="26" t="s">
        <v>1323</v>
      </c>
      <c r="E115" s="53" t="s">
        <v>1346</v>
      </c>
      <c r="F115" s="26"/>
      <c r="G115" s="26"/>
      <c r="H115" s="26"/>
      <c r="M115" s="19" t="s">
        <v>1345</v>
      </c>
      <c r="N115" s="156">
        <f t="shared" si="27"/>
        <v>16089.795918367345</v>
      </c>
      <c r="O115" s="26"/>
      <c r="P115" s="492" t="s">
        <v>186</v>
      </c>
      <c r="Q115" s="156" t="e">
        <f>#REF!</f>
        <v>#REF!</v>
      </c>
      <c r="R115" s="27"/>
      <c r="S115" s="27"/>
      <c r="T115" s="27"/>
      <c r="U115" s="27"/>
      <c r="V115" s="26"/>
      <c r="W115" s="26"/>
    </row>
    <row r="116" spans="1:23">
      <c r="A116" s="26"/>
      <c r="B116" s="26" t="s">
        <v>1309</v>
      </c>
      <c r="C116" s="26" t="s">
        <v>35</v>
      </c>
      <c r="D116" s="26" t="s">
        <v>1323</v>
      </c>
      <c r="E116" s="53" t="s">
        <v>1344</v>
      </c>
      <c r="F116" s="26"/>
      <c r="G116" s="26"/>
      <c r="H116" s="26"/>
      <c r="M116" s="19" t="s">
        <v>1343</v>
      </c>
      <c r="N116" s="156">
        <f t="shared" si="27"/>
        <v>16089.795918367345</v>
      </c>
      <c r="O116" s="26"/>
      <c r="P116" s="492" t="s">
        <v>173</v>
      </c>
      <c r="Q116" s="156">
        <f>N127</f>
        <v>16089.795918367345</v>
      </c>
      <c r="R116" s="27"/>
      <c r="S116" s="27"/>
      <c r="T116" s="27"/>
      <c r="U116" s="27"/>
      <c r="V116" s="26"/>
      <c r="W116" s="26"/>
    </row>
    <row r="117" spans="1:23">
      <c r="A117" s="2"/>
      <c r="B117" s="26" t="s">
        <v>408</v>
      </c>
      <c r="C117" s="26">
        <v>365.25</v>
      </c>
      <c r="D117" s="26" t="s">
        <v>1323</v>
      </c>
      <c r="E117" s="53" t="s">
        <v>1342</v>
      </c>
      <c r="F117" s="26"/>
      <c r="G117" s="26"/>
      <c r="H117" s="26"/>
      <c r="M117" s="19" t="s">
        <v>1341</v>
      </c>
      <c r="N117" s="156">
        <f t="shared" si="27"/>
        <v>16089.795918367345</v>
      </c>
      <c r="O117" s="26"/>
      <c r="P117" s="492" t="s">
        <v>1152</v>
      </c>
      <c r="Q117" s="156">
        <f>N131</f>
        <v>16089.795918367345</v>
      </c>
      <c r="R117" s="27"/>
      <c r="S117" s="27"/>
      <c r="T117" s="27"/>
      <c r="U117" s="27"/>
      <c r="V117" s="26"/>
      <c r="W117" s="26"/>
    </row>
    <row r="118" spans="1:23">
      <c r="A118" s="2"/>
      <c r="B118" s="26" t="s">
        <v>1340</v>
      </c>
      <c r="C118" s="26">
        <v>70</v>
      </c>
      <c r="D118" s="26" t="s">
        <v>1323</v>
      </c>
      <c r="E118" s="53" t="s">
        <v>1337</v>
      </c>
      <c r="F118" s="26"/>
      <c r="G118" s="26"/>
      <c r="H118" s="26"/>
      <c r="M118" s="19" t="s">
        <v>1339</v>
      </c>
      <c r="N118" s="156">
        <f t="shared" si="27"/>
        <v>16089.795918367345</v>
      </c>
      <c r="O118" s="26"/>
      <c r="P118" s="492" t="s">
        <v>1160</v>
      </c>
      <c r="Q118" s="156">
        <f>AVERAGE(N114:N116)</f>
        <v>16089.795918367345</v>
      </c>
      <c r="R118" s="27"/>
      <c r="S118" s="27"/>
      <c r="T118" s="27"/>
      <c r="U118" s="27"/>
      <c r="V118" s="26"/>
      <c r="W118" s="26"/>
    </row>
    <row r="119" spans="1:23">
      <c r="A119" s="2"/>
      <c r="B119" s="26" t="s">
        <v>1338</v>
      </c>
      <c r="C119" s="26">
        <v>40</v>
      </c>
      <c r="D119" s="26" t="s">
        <v>1323</v>
      </c>
      <c r="E119" s="53" t="s">
        <v>1337</v>
      </c>
      <c r="F119" s="26"/>
      <c r="G119" s="26"/>
      <c r="H119" s="26"/>
      <c r="M119" s="19"/>
      <c r="N119" s="156"/>
      <c r="O119" s="26"/>
      <c r="P119" s="492"/>
      <c r="Q119" s="156"/>
      <c r="R119" s="27"/>
      <c r="S119" s="27"/>
      <c r="T119" s="27"/>
      <c r="U119" s="27"/>
      <c r="V119" s="26"/>
      <c r="W119" s="26"/>
    </row>
    <row r="120" spans="1:23">
      <c r="A120" s="26"/>
      <c r="B120" s="26" t="s">
        <v>2128</v>
      </c>
      <c r="C120" s="287">
        <v>0.98</v>
      </c>
      <c r="D120" s="26" t="s">
        <v>1323</v>
      </c>
      <c r="E120" s="53" t="s">
        <v>1336</v>
      </c>
      <c r="F120" s="26"/>
      <c r="G120" s="26"/>
      <c r="H120" s="26"/>
      <c r="M120" s="19" t="s">
        <v>1333</v>
      </c>
      <c r="N120" s="156">
        <f>$R$174</f>
        <v>16089.795918367345</v>
      </c>
      <c r="O120" s="26"/>
      <c r="P120" s="492" t="s">
        <v>1335</v>
      </c>
      <c r="Q120" s="156">
        <f>AVERAGE(N117,N118)</f>
        <v>16089.795918367345</v>
      </c>
      <c r="R120" s="27"/>
      <c r="S120" s="27"/>
      <c r="T120" s="27"/>
      <c r="U120" s="27"/>
      <c r="V120" s="26"/>
      <c r="W120" s="26"/>
    </row>
    <row r="121" spans="1:23">
      <c r="A121" s="26"/>
      <c r="B121" s="26" t="s">
        <v>2129</v>
      </c>
      <c r="C121" s="287">
        <v>0.8</v>
      </c>
      <c r="D121" s="26" t="s">
        <v>1323</v>
      </c>
      <c r="E121" s="53"/>
      <c r="F121" s="26"/>
      <c r="G121" s="26"/>
      <c r="H121" s="26"/>
      <c r="M121" s="19"/>
      <c r="N121" s="156"/>
      <c r="O121" s="26"/>
      <c r="P121" s="492"/>
      <c r="Q121" s="156"/>
      <c r="R121" s="27"/>
      <c r="S121" s="27"/>
      <c r="T121" s="27"/>
      <c r="U121" s="27"/>
      <c r="V121" s="26"/>
      <c r="W121" s="26"/>
    </row>
    <row r="122" spans="1:23">
      <c r="A122" s="26"/>
      <c r="B122" s="26" t="s">
        <v>1307</v>
      </c>
      <c r="C122" s="26" t="s">
        <v>35</v>
      </c>
      <c r="D122" s="26" t="s">
        <v>1323</v>
      </c>
      <c r="E122" s="53" t="s">
        <v>1334</v>
      </c>
      <c r="F122" s="26"/>
      <c r="G122" s="26"/>
      <c r="H122" s="26"/>
      <c r="M122" s="19" t="s">
        <v>1158</v>
      </c>
      <c r="N122" s="156">
        <f t="shared" ref="N122:N127" si="28">$R$174</f>
        <v>16089.795918367345</v>
      </c>
      <c r="O122" s="26"/>
      <c r="P122" s="492" t="s">
        <v>1333</v>
      </c>
      <c r="Q122" s="156">
        <f>N120</f>
        <v>16089.795918367345</v>
      </c>
      <c r="R122" s="27"/>
      <c r="S122" s="27"/>
      <c r="T122" s="27"/>
      <c r="U122" s="27"/>
      <c r="V122" s="26"/>
      <c r="W122" s="26"/>
    </row>
    <row r="123" spans="1:23">
      <c r="B123" s="26" t="s">
        <v>1313</v>
      </c>
      <c r="C123" s="26" t="s">
        <v>35</v>
      </c>
      <c r="D123" s="26" t="s">
        <v>1323</v>
      </c>
      <c r="E123" s="53" t="s">
        <v>1332</v>
      </c>
      <c r="F123" s="26"/>
      <c r="G123" s="26"/>
      <c r="H123" s="26"/>
      <c r="M123" s="19" t="s">
        <v>1331</v>
      </c>
      <c r="N123" s="156">
        <f t="shared" si="28"/>
        <v>16089.795918367345</v>
      </c>
      <c r="O123" s="26"/>
      <c r="P123" s="492" t="s">
        <v>1330</v>
      </c>
      <c r="Q123" s="156">
        <f>N132</f>
        <v>16089.795918367345</v>
      </c>
      <c r="R123" s="27"/>
      <c r="S123" s="27"/>
      <c r="T123" s="27"/>
      <c r="U123" s="27"/>
      <c r="V123" s="26"/>
      <c r="W123" s="26"/>
    </row>
    <row r="124" spans="1:23">
      <c r="B124" s="26" t="s">
        <v>1308</v>
      </c>
      <c r="C124" s="26" t="s">
        <v>35</v>
      </c>
      <c r="D124" s="26" t="s">
        <v>1323</v>
      </c>
      <c r="E124" s="53" t="s">
        <v>1329</v>
      </c>
      <c r="F124" s="26"/>
      <c r="G124" s="26"/>
      <c r="H124" s="26"/>
      <c r="M124" s="19" t="s">
        <v>1328</v>
      </c>
      <c r="N124" s="156">
        <f t="shared" si="28"/>
        <v>16089.795918367345</v>
      </c>
      <c r="O124" s="26"/>
      <c r="P124" s="492" t="s">
        <v>1327</v>
      </c>
      <c r="Q124" s="156">
        <f>N126</f>
        <v>16089.795918367345</v>
      </c>
      <c r="R124" s="27"/>
      <c r="S124" s="27"/>
      <c r="T124" s="27"/>
      <c r="U124" s="27"/>
      <c r="V124" s="26"/>
      <c r="W124" s="26"/>
    </row>
    <row r="125" spans="1:23">
      <c r="B125" s="26" t="s">
        <v>1306</v>
      </c>
      <c r="C125" s="26" t="s">
        <v>35</v>
      </c>
      <c r="D125" s="26" t="s">
        <v>1323</v>
      </c>
      <c r="E125" s="53" t="s">
        <v>1326</v>
      </c>
      <c r="F125" s="26"/>
      <c r="G125" s="26"/>
      <c r="H125" s="26"/>
      <c r="M125" s="19" t="s">
        <v>1325</v>
      </c>
      <c r="N125" s="156">
        <f t="shared" si="28"/>
        <v>16089.795918367345</v>
      </c>
      <c r="O125" s="26"/>
      <c r="P125" s="492" t="s">
        <v>1324</v>
      </c>
      <c r="Q125" s="156">
        <f>N132</f>
        <v>16089.795918367345</v>
      </c>
      <c r="R125" s="27"/>
      <c r="S125" s="27"/>
      <c r="T125" s="27"/>
      <c r="U125" s="27"/>
      <c r="V125" s="26"/>
      <c r="W125" s="26"/>
    </row>
    <row r="126" spans="1:23">
      <c r="B126" s="26" t="s">
        <v>309</v>
      </c>
      <c r="C126" s="26">
        <v>18</v>
      </c>
      <c r="D126" s="26" t="s">
        <v>1323</v>
      </c>
      <c r="E126" t="s">
        <v>1322</v>
      </c>
      <c r="F126" s="26"/>
      <c r="G126" s="26"/>
      <c r="H126" s="26"/>
      <c r="M126" s="19" t="s">
        <v>1321</v>
      </c>
      <c r="N126" s="156">
        <f t="shared" si="28"/>
        <v>16089.795918367345</v>
      </c>
      <c r="O126" s="26"/>
      <c r="P126" s="19" t="s">
        <v>1320</v>
      </c>
      <c r="Q126" s="156">
        <f>N132</f>
        <v>16089.795918367345</v>
      </c>
      <c r="R126" s="27"/>
      <c r="S126" s="27"/>
      <c r="T126" s="27"/>
      <c r="U126" s="27"/>
      <c r="V126" s="26"/>
      <c r="W126" s="26"/>
    </row>
    <row r="127" spans="1:23">
      <c r="B127" s="26"/>
      <c r="C127" s="26"/>
      <c r="D127" s="26"/>
      <c r="E127" s="26"/>
      <c r="F127" s="26"/>
      <c r="G127" s="26"/>
      <c r="H127" s="26"/>
      <c r="M127" s="19" t="s">
        <v>1319</v>
      </c>
      <c r="N127" s="156">
        <f t="shared" si="28"/>
        <v>16089.795918367345</v>
      </c>
      <c r="O127" s="26"/>
      <c r="P127" s="19" t="s">
        <v>1318</v>
      </c>
      <c r="Q127" s="156">
        <f>N132</f>
        <v>16089.795918367345</v>
      </c>
      <c r="R127" s="27"/>
      <c r="S127" s="27"/>
      <c r="T127" s="27"/>
      <c r="U127" s="27"/>
      <c r="V127" s="26"/>
      <c r="W127" s="26"/>
    </row>
    <row r="128" spans="1:23">
      <c r="B128" s="487" t="s">
        <v>588</v>
      </c>
      <c r="C128" s="486" t="s">
        <v>34</v>
      </c>
      <c r="D128" s="26"/>
      <c r="E128" s="26"/>
      <c r="F128" s="26"/>
      <c r="G128" s="26"/>
      <c r="H128" s="26"/>
      <c r="M128" s="19"/>
      <c r="N128" s="156"/>
      <c r="O128" s="26"/>
      <c r="P128" s="19"/>
      <c r="Q128" s="156"/>
      <c r="R128" s="27"/>
      <c r="S128" s="27"/>
      <c r="T128" s="27"/>
      <c r="U128" s="27"/>
      <c r="V128" s="26"/>
      <c r="W128" s="26"/>
    </row>
    <row r="129" spans="2:23">
      <c r="B129" s="485" t="s">
        <v>884</v>
      </c>
      <c r="C129" s="484">
        <v>0.32</v>
      </c>
      <c r="D129" s="26"/>
      <c r="E129" s="26"/>
      <c r="F129" s="26"/>
      <c r="G129" s="26"/>
      <c r="H129" s="26"/>
      <c r="M129" s="19"/>
      <c r="N129" s="156"/>
      <c r="O129" s="26"/>
      <c r="P129" s="19"/>
      <c r="Q129" s="156"/>
      <c r="R129" s="27"/>
      <c r="S129" s="27"/>
      <c r="T129" s="27"/>
      <c r="U129" s="27"/>
      <c r="V129" s="26"/>
      <c r="W129" s="26"/>
    </row>
    <row r="130" spans="2:23">
      <c r="B130" s="485" t="s">
        <v>883</v>
      </c>
      <c r="C130" s="484">
        <v>0.41</v>
      </c>
      <c r="D130" s="26"/>
      <c r="E130" s="26"/>
      <c r="F130" s="26"/>
      <c r="G130" s="26"/>
      <c r="H130" s="26"/>
      <c r="M130" s="19"/>
      <c r="N130" s="156"/>
      <c r="O130" s="26"/>
      <c r="P130" s="19"/>
      <c r="Q130" s="156"/>
      <c r="R130" s="27"/>
      <c r="S130" s="27"/>
      <c r="T130" s="27"/>
      <c r="U130" s="27"/>
      <c r="V130" s="26"/>
      <c r="W130" s="26"/>
    </row>
    <row r="131" spans="2:23">
      <c r="B131" s="485" t="s">
        <v>882</v>
      </c>
      <c r="C131" s="484">
        <v>0.46</v>
      </c>
      <c r="D131" s="26"/>
      <c r="E131" s="26"/>
      <c r="F131" s="26"/>
      <c r="G131" s="26"/>
      <c r="H131" s="26"/>
      <c r="M131" s="19" t="s">
        <v>1152</v>
      </c>
      <c r="N131" s="156">
        <f>$R$174</f>
        <v>16089.795918367345</v>
      </c>
      <c r="O131" s="26"/>
      <c r="P131" s="19" t="s">
        <v>1317</v>
      </c>
      <c r="Q131" s="156">
        <f>N122</f>
        <v>16089.795918367345</v>
      </c>
      <c r="R131" s="27"/>
      <c r="S131" s="27"/>
      <c r="T131" s="27"/>
      <c r="U131" s="27"/>
      <c r="V131" s="26"/>
      <c r="W131" s="26"/>
    </row>
    <row r="132" spans="2:23">
      <c r="B132" s="485" t="s">
        <v>881</v>
      </c>
      <c r="C132" s="484">
        <v>0.51</v>
      </c>
      <c r="D132" s="26"/>
      <c r="E132" s="26"/>
      <c r="F132" s="26"/>
      <c r="G132" s="26"/>
      <c r="H132" s="26"/>
      <c r="M132" s="19" t="s">
        <v>1316</v>
      </c>
      <c r="N132" s="156">
        <f>$R$174</f>
        <v>16089.795918367345</v>
      </c>
      <c r="O132" s="26"/>
      <c r="R132" s="27"/>
      <c r="S132" s="27"/>
      <c r="T132" s="27"/>
      <c r="U132" s="27"/>
      <c r="V132" s="26"/>
      <c r="W132" s="26"/>
    </row>
    <row r="133" spans="2:23">
      <c r="B133" s="485" t="s">
        <v>880</v>
      </c>
      <c r="C133" s="484">
        <v>0.36</v>
      </c>
      <c r="D133" s="26"/>
      <c r="E133" s="26"/>
      <c r="F133" s="26"/>
      <c r="G133" s="26"/>
      <c r="H133" s="26"/>
      <c r="O133" s="26"/>
      <c r="P133" s="26"/>
      <c r="Q133" s="26"/>
      <c r="R133" s="27"/>
      <c r="S133" s="27"/>
      <c r="T133" s="27"/>
      <c r="U133" s="27"/>
      <c r="V133" s="26"/>
      <c r="W133" s="26"/>
    </row>
    <row r="134" spans="2:23">
      <c r="B134" s="485" t="s">
        <v>879</v>
      </c>
      <c r="C134" s="484">
        <v>0.39</v>
      </c>
      <c r="D134" s="28"/>
      <c r="E134" s="26"/>
      <c r="F134" s="26"/>
      <c r="G134" s="26"/>
      <c r="H134" s="26"/>
      <c r="O134" s="26"/>
      <c r="P134" s="27"/>
      <c r="Q134" s="27"/>
      <c r="R134" s="27"/>
      <c r="S134" s="27"/>
      <c r="T134" s="27"/>
      <c r="U134" s="27"/>
      <c r="V134" s="26"/>
      <c r="W134" s="26"/>
    </row>
    <row r="135" spans="2:23">
      <c r="B135" s="62"/>
      <c r="D135" s="28"/>
      <c r="E135" s="26"/>
      <c r="F135" s="26"/>
      <c r="G135" s="26"/>
      <c r="H135" s="26"/>
      <c r="O135" s="26"/>
      <c r="P135" s="27"/>
      <c r="Q135" s="27"/>
      <c r="R135" s="27"/>
      <c r="S135" s="27"/>
      <c r="T135" s="27"/>
      <c r="U135" s="27"/>
      <c r="V135" s="26"/>
      <c r="W135" s="26"/>
    </row>
    <row r="136" spans="2:23">
      <c r="B136" s="2" t="s">
        <v>30</v>
      </c>
      <c r="C136" s="26"/>
      <c r="D136" s="26"/>
      <c r="E136" s="26"/>
      <c r="F136" s="26"/>
      <c r="G136" s="26"/>
      <c r="H136" s="26"/>
      <c r="O136" s="27"/>
      <c r="P136" s="27"/>
      <c r="Q136" s="27"/>
      <c r="R136" s="27"/>
      <c r="S136" s="27"/>
      <c r="T136" s="27"/>
      <c r="U136" s="26"/>
      <c r="V136" s="26"/>
      <c r="W136" s="26"/>
    </row>
    <row r="137" spans="2:23">
      <c r="B137" s="2" t="s">
        <v>1315</v>
      </c>
      <c r="C137" s="26"/>
      <c r="D137" s="26"/>
      <c r="E137" s="26"/>
      <c r="F137" s="26"/>
      <c r="G137" s="26"/>
      <c r="H137" s="26"/>
      <c r="O137" s="27"/>
      <c r="P137" s="27"/>
      <c r="Q137" s="27"/>
      <c r="R137" s="27"/>
      <c r="S137" s="27"/>
      <c r="T137" s="27"/>
      <c r="U137" s="26"/>
      <c r="V137" s="26"/>
      <c r="W137" s="26"/>
    </row>
    <row r="138" spans="2:23" ht="25.5">
      <c r="B138" s="487" t="s">
        <v>330</v>
      </c>
      <c r="C138" s="486" t="s">
        <v>1300</v>
      </c>
      <c r="D138" s="486" t="s">
        <v>1310</v>
      </c>
      <c r="E138" s="487" t="s">
        <v>1309</v>
      </c>
      <c r="F138" s="486" t="s">
        <v>1308</v>
      </c>
      <c r="G138" s="487" t="s">
        <v>1314</v>
      </c>
      <c r="H138" s="486" t="s">
        <v>1313</v>
      </c>
      <c r="I138" s="479"/>
      <c r="J138" s="479"/>
      <c r="K138" s="479"/>
      <c r="L138" s="26"/>
      <c r="M138" s="26"/>
      <c r="N138" s="27"/>
      <c r="O138" s="26"/>
      <c r="P138" s="27"/>
      <c r="Q138" s="27"/>
      <c r="R138" s="27"/>
      <c r="S138" s="27"/>
      <c r="T138" s="27"/>
      <c r="U138" s="27"/>
      <c r="V138" s="26"/>
      <c r="W138" s="26"/>
    </row>
    <row r="139" spans="2:23">
      <c r="B139" s="485" t="s">
        <v>1272</v>
      </c>
      <c r="C139" s="484" t="s">
        <v>1273</v>
      </c>
      <c r="D139" s="484" t="str">
        <f t="shared" ref="D139:D147" si="29">B139&amp;"_"&amp;C139</f>
        <v>Under Counter_Low Temperature</v>
      </c>
      <c r="E139" s="481">
        <v>75</v>
      </c>
      <c r="F139" s="483">
        <v>2</v>
      </c>
      <c r="G139" s="482">
        <v>1.73</v>
      </c>
      <c r="H139" s="482">
        <v>0.5</v>
      </c>
      <c r="I139" s="491"/>
      <c r="J139" s="491"/>
      <c r="K139" s="491"/>
      <c r="L139" s="26"/>
      <c r="M139" s="26"/>
      <c r="N139" s="27"/>
      <c r="O139" s="26"/>
      <c r="P139" s="27"/>
      <c r="Q139" s="27"/>
      <c r="R139" s="27"/>
      <c r="S139" s="27"/>
      <c r="T139" s="27"/>
      <c r="U139" s="27"/>
      <c r="V139" s="26"/>
      <c r="W139" s="26"/>
    </row>
    <row r="140" spans="2:23">
      <c r="B140" s="485" t="s">
        <v>1271</v>
      </c>
      <c r="C140" s="484" t="s">
        <v>1273</v>
      </c>
      <c r="D140" s="484" t="str">
        <f t="shared" si="29"/>
        <v>Stationary Single Tank Door_Low Temperature</v>
      </c>
      <c r="E140" s="481">
        <v>280</v>
      </c>
      <c r="F140" s="483">
        <v>1.5</v>
      </c>
      <c r="G140" s="482">
        <v>2.1</v>
      </c>
      <c r="H140" s="482">
        <v>0.6</v>
      </c>
      <c r="I140" s="491"/>
      <c r="J140" s="491"/>
      <c r="K140" s="491"/>
      <c r="L140" s="26"/>
      <c r="M140" s="26"/>
      <c r="N140" s="27"/>
      <c r="O140" s="26"/>
      <c r="P140" s="27"/>
      <c r="Q140" s="27"/>
      <c r="R140" s="27"/>
      <c r="S140" s="27"/>
      <c r="T140" s="27"/>
      <c r="U140" s="27"/>
      <c r="V140" s="26"/>
      <c r="W140" s="26"/>
    </row>
    <row r="141" spans="2:23">
      <c r="B141" s="485" t="s">
        <v>1270</v>
      </c>
      <c r="C141" s="484" t="s">
        <v>1273</v>
      </c>
      <c r="D141" s="484" t="str">
        <f t="shared" si="29"/>
        <v>Single Tank Conveyor_Low Temperature</v>
      </c>
      <c r="E141" s="481">
        <v>400</v>
      </c>
      <c r="F141" s="483">
        <v>0.3</v>
      </c>
      <c r="G141" s="482">
        <v>1.31</v>
      </c>
      <c r="H141" s="482">
        <v>1.6</v>
      </c>
      <c r="I141" s="491"/>
      <c r="J141" s="491"/>
      <c r="K141" s="491"/>
      <c r="L141" s="26"/>
      <c r="M141" s="26"/>
      <c r="N141" s="27"/>
      <c r="O141" s="26"/>
      <c r="P141" s="27"/>
      <c r="Q141" s="27"/>
      <c r="R141" s="27"/>
      <c r="S141" s="27"/>
      <c r="T141" s="27"/>
      <c r="U141" s="27"/>
      <c r="V141" s="26"/>
      <c r="W141" s="26"/>
    </row>
    <row r="142" spans="2:23">
      <c r="B142" s="485" t="s">
        <v>1269</v>
      </c>
      <c r="C142" s="484" t="s">
        <v>1273</v>
      </c>
      <c r="D142" s="484" t="str">
        <f t="shared" si="29"/>
        <v>Multi Tank Conveyor_Low Temperature</v>
      </c>
      <c r="E142" s="481">
        <v>600</v>
      </c>
      <c r="F142" s="483">
        <v>0.3</v>
      </c>
      <c r="G142" s="482">
        <v>1.04</v>
      </c>
      <c r="H142" s="482">
        <v>2</v>
      </c>
      <c r="I142" s="491"/>
      <c r="J142" s="491"/>
      <c r="K142" s="491"/>
      <c r="L142" s="26"/>
      <c r="M142" s="26"/>
      <c r="N142" s="27"/>
      <c r="O142" s="26"/>
      <c r="P142" s="27"/>
      <c r="Q142" s="27"/>
      <c r="R142" s="27"/>
      <c r="S142" s="27"/>
      <c r="T142" s="27"/>
      <c r="U142" s="27"/>
      <c r="V142" s="26"/>
      <c r="W142" s="26"/>
    </row>
    <row r="143" spans="2:23">
      <c r="B143" s="485" t="s">
        <v>1272</v>
      </c>
      <c r="C143" s="484" t="s">
        <v>1267</v>
      </c>
      <c r="D143" s="484" t="str">
        <f t="shared" si="29"/>
        <v>Under Counter_High Temperature</v>
      </c>
      <c r="E143" s="481">
        <v>75</v>
      </c>
      <c r="F143" s="483">
        <v>2</v>
      </c>
      <c r="G143" s="482">
        <v>1.0900000000000001</v>
      </c>
      <c r="H143" s="482">
        <v>0.76</v>
      </c>
      <c r="I143" s="491"/>
      <c r="J143" s="491"/>
      <c r="K143" s="491"/>
      <c r="L143" s="26"/>
      <c r="M143" s="26"/>
      <c r="N143" s="27"/>
      <c r="O143" s="26"/>
      <c r="P143" s="27"/>
      <c r="Q143" s="27"/>
      <c r="R143" s="27"/>
      <c r="S143" s="27"/>
      <c r="T143" s="27"/>
      <c r="U143" s="27"/>
      <c r="V143" s="26"/>
      <c r="W143" s="26"/>
    </row>
    <row r="144" spans="2:23">
      <c r="B144" s="485" t="s">
        <v>1271</v>
      </c>
      <c r="C144" s="484" t="s">
        <v>1267</v>
      </c>
      <c r="D144" s="484" t="str">
        <f t="shared" si="29"/>
        <v>Stationary Single Tank Door_High Temperature</v>
      </c>
      <c r="E144" s="481">
        <v>280</v>
      </c>
      <c r="F144" s="483">
        <v>1</v>
      </c>
      <c r="G144" s="482">
        <v>1.29</v>
      </c>
      <c r="H144" s="482">
        <v>0.87</v>
      </c>
      <c r="I144" s="491"/>
      <c r="J144" s="491"/>
      <c r="K144" s="491"/>
      <c r="L144" s="26"/>
      <c r="M144" s="26"/>
      <c r="N144" s="27"/>
      <c r="O144" s="26"/>
      <c r="P144" s="27"/>
      <c r="Q144" s="27"/>
      <c r="R144" s="27"/>
      <c r="S144" s="27"/>
      <c r="T144" s="27"/>
      <c r="U144" s="27"/>
      <c r="V144" s="26"/>
      <c r="W144" s="26"/>
    </row>
    <row r="145" spans="2:23">
      <c r="B145" s="485" t="s">
        <v>1270</v>
      </c>
      <c r="C145" s="484" t="s">
        <v>1267</v>
      </c>
      <c r="D145" s="484" t="str">
        <f t="shared" si="29"/>
        <v>Single Tank Conveyor_High Temperature</v>
      </c>
      <c r="E145" s="481">
        <v>400</v>
      </c>
      <c r="F145" s="483">
        <v>0.3</v>
      </c>
      <c r="G145" s="482">
        <v>0.87</v>
      </c>
      <c r="H145" s="482">
        <v>1.93</v>
      </c>
      <c r="I145" s="491"/>
      <c r="J145" s="491"/>
      <c r="K145" s="491"/>
      <c r="L145" s="26"/>
      <c r="M145" s="26"/>
      <c r="N145" s="27"/>
      <c r="O145" s="26"/>
      <c r="P145" s="27"/>
      <c r="Q145" s="27"/>
      <c r="R145" s="27"/>
      <c r="S145" s="27"/>
      <c r="T145" s="27"/>
      <c r="U145" s="27"/>
      <c r="V145" s="26"/>
      <c r="W145" s="26"/>
    </row>
    <row r="146" spans="2:23">
      <c r="B146" s="485" t="s">
        <v>1269</v>
      </c>
      <c r="C146" s="484" t="s">
        <v>1267</v>
      </c>
      <c r="D146" s="484" t="str">
        <f t="shared" si="29"/>
        <v>Multi Tank Conveyor_High Temperature</v>
      </c>
      <c r="E146" s="481">
        <v>600</v>
      </c>
      <c r="F146" s="483">
        <v>0.2</v>
      </c>
      <c r="G146" s="482">
        <v>0.97</v>
      </c>
      <c r="H146" s="482">
        <v>2.59</v>
      </c>
      <c r="I146" s="491"/>
      <c r="J146" s="491"/>
      <c r="K146" s="491"/>
      <c r="L146" s="26"/>
      <c r="M146" s="26"/>
      <c r="N146" s="27"/>
      <c r="O146" s="26"/>
      <c r="P146" s="27"/>
      <c r="Q146" s="27"/>
      <c r="R146" s="27"/>
      <c r="S146" s="27"/>
      <c r="T146" s="27"/>
      <c r="U146" s="27"/>
      <c r="V146" s="26"/>
      <c r="W146" s="26"/>
    </row>
    <row r="147" spans="2:23">
      <c r="B147" s="485" t="s">
        <v>1268</v>
      </c>
      <c r="C147" s="484" t="s">
        <v>1267</v>
      </c>
      <c r="D147" s="484" t="str">
        <f t="shared" si="29"/>
        <v>Pot, Pan, and Utensil_High Temperature</v>
      </c>
      <c r="E147" s="481">
        <v>280</v>
      </c>
      <c r="F147" s="483">
        <v>3</v>
      </c>
      <c r="G147" s="482">
        <v>0.7</v>
      </c>
      <c r="H147" s="482">
        <v>1.2</v>
      </c>
      <c r="I147" s="491"/>
      <c r="J147" s="491"/>
      <c r="K147" s="491"/>
      <c r="L147" s="26"/>
      <c r="M147" s="26"/>
      <c r="N147" s="27"/>
      <c r="O147" s="26"/>
      <c r="P147" s="27"/>
      <c r="Q147" s="27"/>
      <c r="R147" s="27"/>
      <c r="S147" s="27"/>
      <c r="T147" s="27"/>
      <c r="U147" s="27"/>
      <c r="V147" s="26"/>
      <c r="W147" s="26"/>
    </row>
    <row r="148" spans="2:23">
      <c r="B148" s="28" t="s">
        <v>1312</v>
      </c>
      <c r="C148" s="488"/>
      <c r="D148" s="488"/>
      <c r="E148" s="488"/>
      <c r="F148" s="488"/>
      <c r="G148" s="488"/>
      <c r="H148" s="491"/>
      <c r="I148" s="491"/>
      <c r="J148" s="491"/>
      <c r="K148" s="26"/>
      <c r="L148" s="26"/>
      <c r="M148" s="27"/>
      <c r="N148" s="26"/>
      <c r="O148" s="27"/>
      <c r="P148" s="27"/>
      <c r="Q148" s="27"/>
      <c r="R148" s="27"/>
      <c r="S148" s="27"/>
      <c r="T148" s="27"/>
      <c r="U148" s="26"/>
      <c r="V148" s="26"/>
      <c r="W148" s="26"/>
    </row>
    <row r="149" spans="2:23">
      <c r="B149" s="490"/>
      <c r="C149" s="488"/>
      <c r="D149" s="488"/>
      <c r="E149" s="488"/>
      <c r="F149" s="488"/>
      <c r="G149" s="488"/>
      <c r="H149" s="26"/>
      <c r="I149" s="26"/>
      <c r="J149" s="26"/>
      <c r="K149" s="252"/>
      <c r="L149" s="26"/>
      <c r="M149" s="26"/>
      <c r="N149" s="26"/>
      <c r="O149" s="27"/>
      <c r="P149" s="27"/>
      <c r="Q149" s="27"/>
      <c r="R149" s="27"/>
      <c r="S149" s="27"/>
      <c r="T149" s="27"/>
      <c r="U149" s="26"/>
      <c r="V149" s="26"/>
      <c r="W149" s="26"/>
    </row>
    <row r="150" spans="2:23">
      <c r="B150" s="489" t="s">
        <v>1311</v>
      </c>
      <c r="C150" s="488"/>
      <c r="D150" s="488"/>
      <c r="E150" s="488"/>
      <c r="F150" s="488"/>
      <c r="G150" s="488"/>
      <c r="H150" s="26"/>
      <c r="I150" s="26"/>
      <c r="J150" s="26"/>
      <c r="K150" s="252"/>
      <c r="L150" s="26"/>
      <c r="M150" s="26"/>
      <c r="N150" s="26"/>
      <c r="O150" s="27"/>
      <c r="P150" s="27"/>
      <c r="Q150" s="27"/>
      <c r="R150" s="27"/>
      <c r="S150" s="27"/>
      <c r="T150" s="27"/>
      <c r="U150" s="26"/>
      <c r="V150" s="26"/>
      <c r="W150" s="26"/>
    </row>
    <row r="151" spans="2:23" ht="25.5">
      <c r="B151" s="487" t="s">
        <v>330</v>
      </c>
      <c r="C151" s="486" t="s">
        <v>1300</v>
      </c>
      <c r="D151" s="486" t="s">
        <v>1310</v>
      </c>
      <c r="E151" s="487" t="s">
        <v>1309</v>
      </c>
      <c r="F151" s="486" t="s">
        <v>1308</v>
      </c>
      <c r="G151" s="487" t="s">
        <v>1307</v>
      </c>
      <c r="H151" s="486" t="s">
        <v>1306</v>
      </c>
      <c r="I151" s="486" t="s">
        <v>1305</v>
      </c>
      <c r="J151" s="486" t="s">
        <v>451</v>
      </c>
      <c r="K151" s="26"/>
      <c r="L151" s="252"/>
      <c r="M151" s="26"/>
      <c r="N151" s="26"/>
      <c r="O151" s="26"/>
      <c r="P151" s="27"/>
      <c r="Q151" s="27"/>
      <c r="R151" s="27"/>
      <c r="S151" s="27"/>
      <c r="T151" s="27"/>
      <c r="U151" s="27"/>
      <c r="V151" s="26"/>
      <c r="W151" s="26"/>
    </row>
    <row r="152" spans="2:23">
      <c r="B152" s="485" t="s">
        <v>1272</v>
      </c>
      <c r="C152" s="484" t="s">
        <v>1273</v>
      </c>
      <c r="D152" s="484" t="str">
        <f t="shared" ref="D152:D160" si="30">B152&amp;"_"&amp;C152</f>
        <v>Under Counter_Low Temperature</v>
      </c>
      <c r="E152" s="481">
        <v>75</v>
      </c>
      <c r="F152" s="483">
        <v>2</v>
      </c>
      <c r="G152" s="482">
        <v>1.19</v>
      </c>
      <c r="H152" s="482">
        <v>0.5</v>
      </c>
      <c r="I152" s="481">
        <v>234</v>
      </c>
      <c r="J152" s="481">
        <v>10</v>
      </c>
      <c r="K152" s="26"/>
      <c r="L152" s="252"/>
      <c r="M152" s="26"/>
      <c r="N152" s="26"/>
      <c r="O152" s="26"/>
      <c r="P152" s="27"/>
      <c r="Q152" s="27"/>
      <c r="R152" s="27"/>
      <c r="S152" s="27"/>
      <c r="T152" s="27"/>
      <c r="U152" s="27"/>
      <c r="V152" s="26"/>
      <c r="W152" s="26"/>
    </row>
    <row r="153" spans="2:23">
      <c r="B153" s="485" t="s">
        <v>1271</v>
      </c>
      <c r="C153" s="484" t="s">
        <v>1273</v>
      </c>
      <c r="D153" s="484" t="str">
        <f t="shared" si="30"/>
        <v>Stationary Single Tank Door_Low Temperature</v>
      </c>
      <c r="E153" s="481">
        <v>280</v>
      </c>
      <c r="F153" s="483">
        <v>1.5</v>
      </c>
      <c r="G153" s="482">
        <v>1.18</v>
      </c>
      <c r="H153" s="482">
        <v>0.6</v>
      </c>
      <c r="I153" s="481">
        <v>662</v>
      </c>
      <c r="J153" s="481">
        <v>15</v>
      </c>
      <c r="K153" s="26"/>
      <c r="L153" s="252"/>
      <c r="M153" s="26"/>
      <c r="N153" s="26"/>
      <c r="O153" s="26"/>
      <c r="P153" s="27"/>
      <c r="Q153" s="27"/>
      <c r="R153" s="27"/>
      <c r="S153" s="27"/>
      <c r="T153" s="27"/>
      <c r="U153" s="27"/>
      <c r="V153" s="26"/>
      <c r="W153" s="26"/>
    </row>
    <row r="154" spans="2:23">
      <c r="B154" s="485" t="s">
        <v>1270</v>
      </c>
      <c r="C154" s="484" t="s">
        <v>1273</v>
      </c>
      <c r="D154" s="484" t="str">
        <f t="shared" si="30"/>
        <v>Single Tank Conveyor_Low Temperature</v>
      </c>
      <c r="E154" s="481">
        <v>400</v>
      </c>
      <c r="F154" s="483">
        <v>0.3</v>
      </c>
      <c r="G154" s="482">
        <v>0.79</v>
      </c>
      <c r="H154" s="482">
        <v>1.5</v>
      </c>
      <c r="I154" s="481">
        <v>0</v>
      </c>
      <c r="J154" s="481">
        <v>20</v>
      </c>
      <c r="K154" s="26"/>
      <c r="L154" s="252"/>
      <c r="M154" s="26"/>
      <c r="N154" s="26"/>
      <c r="O154" s="26"/>
      <c r="P154" s="27"/>
      <c r="Q154" s="27"/>
      <c r="R154" s="27"/>
      <c r="S154" s="27"/>
      <c r="T154" s="27"/>
      <c r="U154" s="27"/>
      <c r="V154" s="26"/>
      <c r="W154" s="26"/>
    </row>
    <row r="155" spans="2:23">
      <c r="B155" s="485" t="s">
        <v>1269</v>
      </c>
      <c r="C155" s="484" t="s">
        <v>1273</v>
      </c>
      <c r="D155" s="484" t="str">
        <f t="shared" si="30"/>
        <v>Multi Tank Conveyor_Low Temperature</v>
      </c>
      <c r="E155" s="481">
        <v>600</v>
      </c>
      <c r="F155" s="483">
        <v>0.3</v>
      </c>
      <c r="G155" s="482">
        <v>0.54</v>
      </c>
      <c r="H155" s="482">
        <v>2</v>
      </c>
      <c r="I155" s="481">
        <v>970</v>
      </c>
      <c r="J155" s="481">
        <v>20</v>
      </c>
      <c r="K155" s="26"/>
      <c r="L155" s="252"/>
      <c r="M155" s="26"/>
      <c r="N155" s="26"/>
      <c r="O155" s="26"/>
      <c r="P155" s="27"/>
      <c r="Q155" s="27"/>
      <c r="R155" s="27"/>
      <c r="S155" s="27"/>
      <c r="T155" s="27"/>
      <c r="U155" s="27"/>
      <c r="V155" s="26"/>
      <c r="W155" s="26"/>
    </row>
    <row r="156" spans="2:23">
      <c r="B156" s="485" t="s">
        <v>1272</v>
      </c>
      <c r="C156" s="484" t="s">
        <v>1267</v>
      </c>
      <c r="D156" s="484" t="str">
        <f t="shared" si="30"/>
        <v>Under Counter_High Temperature</v>
      </c>
      <c r="E156" s="481">
        <v>75</v>
      </c>
      <c r="F156" s="483">
        <v>2</v>
      </c>
      <c r="G156" s="482">
        <v>0.86</v>
      </c>
      <c r="H156" s="482">
        <v>0.5</v>
      </c>
      <c r="I156" s="481">
        <v>2025</v>
      </c>
      <c r="J156" s="481">
        <v>10</v>
      </c>
      <c r="K156" s="26"/>
      <c r="L156" s="252"/>
      <c r="M156" s="26"/>
      <c r="N156" s="26"/>
      <c r="O156" s="26"/>
      <c r="P156" s="27"/>
      <c r="Q156" s="27"/>
      <c r="R156" s="27"/>
      <c r="S156" s="27"/>
      <c r="T156" s="27"/>
      <c r="U156" s="27"/>
      <c r="V156" s="26"/>
      <c r="W156" s="26"/>
    </row>
    <row r="157" spans="2:23">
      <c r="B157" s="485" t="s">
        <v>1271</v>
      </c>
      <c r="C157" s="484" t="s">
        <v>1267</v>
      </c>
      <c r="D157" s="484" t="str">
        <f t="shared" si="30"/>
        <v>Stationary Single Tank Door_High Temperature</v>
      </c>
      <c r="E157" s="481">
        <v>280</v>
      </c>
      <c r="F157" s="483">
        <v>1</v>
      </c>
      <c r="G157" s="482">
        <v>0.89</v>
      </c>
      <c r="H157" s="482">
        <v>0.7</v>
      </c>
      <c r="I157" s="481">
        <v>995</v>
      </c>
      <c r="J157" s="481">
        <v>15</v>
      </c>
      <c r="K157" s="26"/>
      <c r="L157" s="252"/>
      <c r="M157" s="26"/>
      <c r="N157" s="26"/>
      <c r="O157" s="296"/>
      <c r="P157" s="27"/>
      <c r="Q157" s="27"/>
      <c r="R157" s="27"/>
      <c r="S157" s="27"/>
      <c r="T157" s="27"/>
      <c r="U157" s="27"/>
      <c r="V157" s="26"/>
      <c r="W157" s="26"/>
    </row>
    <row r="158" spans="2:23">
      <c r="B158" s="485" t="s">
        <v>1270</v>
      </c>
      <c r="C158" s="484" t="s">
        <v>1267</v>
      </c>
      <c r="D158" s="484" t="str">
        <f t="shared" si="30"/>
        <v>Single Tank Conveyor_High Temperature</v>
      </c>
      <c r="E158" s="481">
        <v>400</v>
      </c>
      <c r="F158" s="483">
        <v>0.3</v>
      </c>
      <c r="G158" s="482">
        <v>0.7</v>
      </c>
      <c r="H158" s="482">
        <v>1.5</v>
      </c>
      <c r="I158" s="481">
        <v>2050</v>
      </c>
      <c r="J158" s="481">
        <v>20</v>
      </c>
      <c r="K158" s="26"/>
      <c r="L158" s="252"/>
      <c r="M158" s="26"/>
      <c r="N158" s="26"/>
      <c r="O158" s="26"/>
      <c r="P158" s="27"/>
      <c r="Q158" s="27"/>
      <c r="R158" s="27"/>
      <c r="S158" s="27"/>
      <c r="T158" s="27"/>
      <c r="U158" s="27"/>
      <c r="V158" s="26"/>
      <c r="W158" s="26"/>
    </row>
    <row r="159" spans="2:23">
      <c r="B159" s="485" t="s">
        <v>1269</v>
      </c>
      <c r="C159" s="484" t="s">
        <v>1267</v>
      </c>
      <c r="D159" s="484" t="str">
        <f t="shared" si="30"/>
        <v>Multi Tank Conveyor_High Temperature</v>
      </c>
      <c r="E159" s="481">
        <v>600</v>
      </c>
      <c r="F159" s="483">
        <v>0.2</v>
      </c>
      <c r="G159" s="482">
        <v>0.54</v>
      </c>
      <c r="H159" s="482">
        <v>2.25</v>
      </c>
      <c r="I159" s="481">
        <v>970</v>
      </c>
      <c r="J159" s="481">
        <v>20</v>
      </c>
      <c r="K159" s="26"/>
      <c r="L159" s="252"/>
      <c r="M159" s="26"/>
      <c r="N159" s="223"/>
      <c r="O159" s="26"/>
      <c r="P159" s="27"/>
      <c r="Q159" s="27"/>
      <c r="R159" s="27"/>
      <c r="S159" s="27"/>
      <c r="T159" s="27"/>
      <c r="U159" s="27"/>
      <c r="V159" s="26"/>
      <c r="W159" s="26"/>
    </row>
    <row r="160" spans="2:23">
      <c r="B160" s="485" t="s">
        <v>1268</v>
      </c>
      <c r="C160" s="484" t="s">
        <v>1267</v>
      </c>
      <c r="D160" s="484" t="str">
        <f t="shared" si="30"/>
        <v>Pot, Pan, and Utensil_High Temperature</v>
      </c>
      <c r="E160" s="481">
        <v>280</v>
      </c>
      <c r="F160" s="483">
        <v>3</v>
      </c>
      <c r="G160" s="482">
        <v>0.57999999999999996</v>
      </c>
      <c r="H160" s="482">
        <v>1.2</v>
      </c>
      <c r="I160" s="481">
        <v>1710</v>
      </c>
      <c r="J160" s="481">
        <v>10</v>
      </c>
      <c r="K160" s="26"/>
      <c r="L160" s="252"/>
      <c r="M160" s="26"/>
      <c r="N160" s="26"/>
      <c r="O160" s="26"/>
      <c r="P160" s="27"/>
      <c r="Q160" s="27"/>
      <c r="R160" s="27"/>
      <c r="S160" s="27"/>
      <c r="T160" s="27"/>
      <c r="U160" s="27"/>
      <c r="V160" s="26"/>
      <c r="W160" s="26"/>
    </row>
    <row r="161" spans="2:40">
      <c r="B161" s="28"/>
      <c r="C161" s="479"/>
      <c r="D161" s="478"/>
      <c r="E161" s="26"/>
      <c r="F161" s="26"/>
      <c r="G161" s="26"/>
      <c r="H161" s="26"/>
      <c r="I161" s="26"/>
      <c r="J161" s="26"/>
      <c r="K161" s="252"/>
      <c r="L161" s="26"/>
      <c r="M161" s="26"/>
      <c r="N161" s="26"/>
      <c r="O161" s="27"/>
      <c r="P161" s="27"/>
      <c r="Q161" s="27"/>
      <c r="R161" s="27"/>
      <c r="S161" s="27"/>
      <c r="T161" s="27"/>
      <c r="U161" s="27"/>
      <c r="V161" s="26"/>
      <c r="W161" s="26"/>
    </row>
    <row r="162" spans="2:40">
      <c r="B162" s="480"/>
      <c r="C162" s="479"/>
      <c r="D162" s="478"/>
      <c r="E162" s="26"/>
      <c r="F162" s="26"/>
      <c r="G162" s="26"/>
      <c r="H162" s="26"/>
      <c r="I162" s="26"/>
      <c r="J162" s="26"/>
      <c r="K162" s="26"/>
      <c r="L162" s="26"/>
      <c r="M162" s="252"/>
      <c r="N162" s="26"/>
      <c r="O162" s="26"/>
      <c r="P162" s="26"/>
      <c r="Q162" s="27"/>
      <c r="R162" s="27"/>
      <c r="S162" s="27"/>
      <c r="T162" s="27"/>
      <c r="U162" s="27"/>
      <c r="V162" s="27"/>
      <c r="W162" s="27"/>
    </row>
    <row r="163" spans="2:40">
      <c r="B163" s="21" t="s">
        <v>251</v>
      </c>
      <c r="C163" s="19"/>
      <c r="D163" s="19"/>
      <c r="E163" s="477" t="s">
        <v>1304</v>
      </c>
      <c r="F163" s="476"/>
      <c r="G163" s="476"/>
      <c r="H163" s="476"/>
      <c r="I163" s="476"/>
      <c r="J163" s="476"/>
      <c r="K163" s="476"/>
      <c r="L163" s="476"/>
      <c r="M163" s="475" t="s">
        <v>1303</v>
      </c>
      <c r="N163" s="473"/>
      <c r="O163" s="473"/>
      <c r="P163" s="473"/>
      <c r="Q163" s="473"/>
      <c r="R163" s="474"/>
      <c r="S163" s="473"/>
      <c r="T163" s="473"/>
      <c r="U163" s="472"/>
      <c r="V163" s="471" t="s">
        <v>1302</v>
      </c>
      <c r="W163" s="469"/>
      <c r="X163" s="469"/>
      <c r="Y163" s="469"/>
      <c r="Z163" s="469"/>
      <c r="AA163" s="470"/>
      <c r="AB163" s="469"/>
      <c r="AC163" s="469"/>
      <c r="AD163" s="468"/>
      <c r="AE163" s="467" t="s">
        <v>1301</v>
      </c>
      <c r="AF163" s="465"/>
      <c r="AG163" s="465"/>
      <c r="AH163" s="465"/>
      <c r="AI163" s="465"/>
      <c r="AJ163" s="466"/>
      <c r="AK163" s="465"/>
      <c r="AL163" s="465"/>
      <c r="AM163" s="464"/>
      <c r="AN163" s="26"/>
    </row>
    <row r="164" spans="2:40" ht="39">
      <c r="B164" s="463" t="s">
        <v>250</v>
      </c>
      <c r="C164" s="463" t="s">
        <v>1300</v>
      </c>
      <c r="D164" s="463" t="s">
        <v>1299</v>
      </c>
      <c r="E164" s="462" t="s">
        <v>1298</v>
      </c>
      <c r="F164" s="462" t="s">
        <v>1297</v>
      </c>
      <c r="G164" s="462" t="s">
        <v>1296</v>
      </c>
      <c r="H164" s="462" t="s">
        <v>1295</v>
      </c>
      <c r="I164" s="462" t="s">
        <v>1294</v>
      </c>
      <c r="J164" s="462" t="s">
        <v>1293</v>
      </c>
      <c r="K164" s="461" t="s">
        <v>451</v>
      </c>
      <c r="L164" s="462" t="s">
        <v>7</v>
      </c>
      <c r="M164" s="462" t="s">
        <v>1292</v>
      </c>
      <c r="N164" s="462" t="s">
        <v>1291</v>
      </c>
      <c r="O164" s="462" t="s">
        <v>1290</v>
      </c>
      <c r="P164" s="462" t="s">
        <v>1289</v>
      </c>
      <c r="Q164" s="461" t="s">
        <v>569</v>
      </c>
      <c r="R164" s="461" t="s">
        <v>1276</v>
      </c>
      <c r="S164" s="461" t="s">
        <v>1288</v>
      </c>
      <c r="T164" s="461" t="s">
        <v>9</v>
      </c>
      <c r="U164" s="461" t="s">
        <v>1287</v>
      </c>
      <c r="V164" s="461" t="s">
        <v>1286</v>
      </c>
      <c r="W164" s="461" t="s">
        <v>1285</v>
      </c>
      <c r="X164" s="461" t="s">
        <v>1284</v>
      </c>
      <c r="Y164" s="461" t="s">
        <v>1283</v>
      </c>
      <c r="Z164" s="461" t="s">
        <v>569</v>
      </c>
      <c r="AA164" s="461" t="s">
        <v>1276</v>
      </c>
      <c r="AB164" s="461" t="s">
        <v>1282</v>
      </c>
      <c r="AC164" s="461" t="s">
        <v>9</v>
      </c>
      <c r="AD164" s="461" t="s">
        <v>1281</v>
      </c>
      <c r="AE164" s="461" t="s">
        <v>1280</v>
      </c>
      <c r="AF164" s="461" t="s">
        <v>1279</v>
      </c>
      <c r="AG164" s="461" t="s">
        <v>1278</v>
      </c>
      <c r="AH164" s="461" t="s">
        <v>1277</v>
      </c>
      <c r="AI164" s="461" t="s">
        <v>569</v>
      </c>
      <c r="AJ164" s="461" t="s">
        <v>1276</v>
      </c>
      <c r="AK164" s="461" t="s">
        <v>1275</v>
      </c>
      <c r="AL164" s="461" t="s">
        <v>9</v>
      </c>
      <c r="AM164" s="461" t="s">
        <v>1274</v>
      </c>
      <c r="AN164" s="460"/>
    </row>
    <row r="165" spans="2:40">
      <c r="B165" s="19" t="s">
        <v>1272</v>
      </c>
      <c r="C165" s="19" t="s">
        <v>1273</v>
      </c>
      <c r="D165" s="19" t="s">
        <v>205</v>
      </c>
      <c r="E165" s="156">
        <f t="shared" ref="E165:E173" si="31">((G152*E152*$C$117)*($C$118*1*8.2/($C$120*3412)))</f>
        <v>5595.9682737397425</v>
      </c>
      <c r="F165" s="156">
        <f t="shared" ref="F165:F173" si="32">((G152*E152*$C$117)*($C$119*1*8.2/($C$120*3412)))</f>
        <v>3197.6961564227104</v>
      </c>
      <c r="G165" s="158">
        <f t="shared" ref="G165:G173" si="33">((H152*($C$126*$C$117)-($C$117*E152*F152/60)))</f>
        <v>2374.125</v>
      </c>
      <c r="H165" s="156">
        <f>(G139*E139*$C$117)*($C$118*1*8.2/($C$120*3412))</f>
        <v>8135.3152214871889</v>
      </c>
      <c r="I165" s="156">
        <f>(G139*E139*$C$117)*($C$119*1*8.2/($C$120*3412))</f>
        <v>4648.7515551355364</v>
      </c>
      <c r="J165" s="156">
        <f t="shared" ref="J165:J173" si="34">(H139*(($C$126*$C$117)-($C$117*E139*F139/60)))</f>
        <v>2830.6875</v>
      </c>
      <c r="K165" s="263">
        <f t="shared" ref="K165:K173" si="35">VLOOKUP($B165&amp;"_"&amp;$C165,$D$152:$J$160,7,FALSE)</f>
        <v>10</v>
      </c>
      <c r="L165" s="459">
        <f>1/COUNT($K$165:$K$173)</f>
        <v>0.1111111111111111</v>
      </c>
      <c r="M165" s="156">
        <f t="shared" ref="M165:M173" si="36">J165</f>
        <v>2830.6875</v>
      </c>
      <c r="N165" s="156">
        <f>G165</f>
        <v>2374.125</v>
      </c>
      <c r="O165" s="264">
        <f>M165-N165</f>
        <v>456.5625</v>
      </c>
      <c r="P165" s="456">
        <f>$O165*AVERAGE($C$129:$C$134)/$C$126/365</f>
        <v>2.837590372907154E-2</v>
      </c>
      <c r="Q165" s="269">
        <f t="shared" ref="Q165:Q173" si="37">IFERROR(O165/P165,99999999)</f>
        <v>16089.795918367345</v>
      </c>
      <c r="R165" s="269">
        <f t="shared" ref="R165:R173" si="38">$L165*$Q165</f>
        <v>1787.7551020408159</v>
      </c>
      <c r="S165" s="455">
        <f t="shared" ref="S165:S173" si="39">$O165/$M165</f>
        <v>0.16129032258064516</v>
      </c>
      <c r="T165" s="457">
        <f t="shared" ref="T165:T173" si="40">AL165-AC165</f>
        <v>24.024391621858626</v>
      </c>
      <c r="U165" s="457">
        <f t="shared" ref="U165:U173" si="41">AM165-AD165</f>
        <v>5.4024244515856121E-3</v>
      </c>
      <c r="V165" s="458">
        <f>I165+H165</f>
        <v>12784.066776622725</v>
      </c>
      <c r="W165" s="156">
        <f>(E165+F165)</f>
        <v>8793.6644301624528</v>
      </c>
      <c r="X165" s="264">
        <f t="shared" ref="X165:X173" si="42">V165-W165</f>
        <v>3990.4023464602724</v>
      </c>
      <c r="Y165" s="456">
        <f>$X165*AVERAGE($C$129:$C$134)/$C$126/365</f>
        <v>0.24800826354205147</v>
      </c>
      <c r="Z165" s="269">
        <f>IFERROR(X165/Y165,99999999)</f>
        <v>16089.795918367345</v>
      </c>
      <c r="AA165" s="269">
        <f t="shared" ref="AA165:AA173" si="43">$L165*Z165</f>
        <v>1787.7551020408159</v>
      </c>
      <c r="AB165" s="455">
        <f>X165/V165</f>
        <v>0.31213872832369938</v>
      </c>
      <c r="AC165" s="272">
        <f>X165/AG165*AL165</f>
        <v>209.97560837814137</v>
      </c>
      <c r="AD165" s="457">
        <f t="shared" ref="AD165:AD173" si="44">X165/AG165*AM165</f>
        <v>4.721773515823479E-2</v>
      </c>
      <c r="AE165" s="156">
        <f>V165+M165</f>
        <v>15614.754276622725</v>
      </c>
      <c r="AF165" s="156">
        <f>N165+W165</f>
        <v>11167.789430162453</v>
      </c>
      <c r="AG165" s="264">
        <f>AE165-AF165</f>
        <v>4446.9648464602724</v>
      </c>
      <c r="AH165" s="456">
        <f>$AG165*AVERAGE($C$129:$C$134)/$C$126/365</f>
        <v>0.27638416727112303</v>
      </c>
      <c r="AI165" s="269">
        <f>IFERROR(AG165/AH165,99999999)</f>
        <v>16089.795918367343</v>
      </c>
      <c r="AJ165" s="269"/>
      <c r="AK165" s="455">
        <f t="shared" ref="AK165:AK173" si="45">AG165/AE165</f>
        <v>0.2847924961020965</v>
      </c>
      <c r="AL165" s="272">
        <f t="shared" ref="AL165:AL173" si="46">IFERROR(VLOOKUP($B165&amp;"_"&amp;$C165,$D$152:$J$160,6,FALSE),0)</f>
        <v>234</v>
      </c>
      <c r="AM165" s="272">
        <f t="shared" ref="AM165:AM174" si="47">AL165/AG165</f>
        <v>5.2620159609820402E-2</v>
      </c>
      <c r="AN165" s="26"/>
    </row>
    <row r="166" spans="2:40">
      <c r="B166" s="19" t="s">
        <v>1271</v>
      </c>
      <c r="C166" s="19" t="s">
        <v>1273</v>
      </c>
      <c r="D166" s="19" t="s">
        <v>205</v>
      </c>
      <c r="E166" s="156">
        <f t="shared" si="31"/>
        <v>20716.0550996483</v>
      </c>
      <c r="F166" s="156">
        <f t="shared" si="32"/>
        <v>11837.745771227601</v>
      </c>
      <c r="G166" s="158">
        <f t="shared" si="33"/>
        <v>1387.9499999999998</v>
      </c>
      <c r="H166" s="156">
        <f>(G140*E140*$C$117)*($C$118*1*8.2/($C$120*3412))</f>
        <v>36867.555685814776</v>
      </c>
      <c r="I166" s="156">
        <f t="shared" ref="I166:I173" si="48">(G140*E140*$C$117)*($C$119*1*8.2/($C$120*3412))</f>
        <v>21067.174677608444</v>
      </c>
      <c r="J166" s="156">
        <f t="shared" si="34"/>
        <v>2410.65</v>
      </c>
      <c r="K166" s="263">
        <f t="shared" si="35"/>
        <v>15</v>
      </c>
      <c r="L166" s="459">
        <f t="shared" ref="L166:L173" si="49">1/COUNT($K$165:$K$173)</f>
        <v>0.1111111111111111</v>
      </c>
      <c r="M166" s="156">
        <f t="shared" si="36"/>
        <v>2410.65</v>
      </c>
      <c r="N166" s="156">
        <f t="shared" ref="N166:N173" si="50">G166</f>
        <v>1387.9499999999998</v>
      </c>
      <c r="O166" s="264">
        <f t="shared" ref="O166:O173" si="51">M166-N166</f>
        <v>1022.7000000000003</v>
      </c>
      <c r="P166" s="456">
        <f t="shared" ref="P166:P173" si="52">$O166*AVERAGE($C$129:$C$134)/$C$126/365</f>
        <v>6.3562024353120264E-2</v>
      </c>
      <c r="Q166" s="269">
        <f t="shared" si="37"/>
        <v>16089.795918367347</v>
      </c>
      <c r="R166" s="269">
        <f t="shared" si="38"/>
        <v>1787.7551020408162</v>
      </c>
      <c r="S166" s="455">
        <f t="shared" si="39"/>
        <v>0.42424242424242437</v>
      </c>
      <c r="T166" s="457">
        <f>AL166-AC166</f>
        <v>25.641452065940371</v>
      </c>
      <c r="U166" s="457">
        <f t="shared" si="41"/>
        <v>9.7113361150511293E-4</v>
      </c>
      <c r="V166" s="458">
        <f>I166+H166</f>
        <v>57934.730363423223</v>
      </c>
      <c r="W166" s="156">
        <f t="shared" ref="W166:W173" si="53">(E166+F166)</f>
        <v>32553.800870875901</v>
      </c>
      <c r="X166" s="264">
        <f t="shared" si="42"/>
        <v>25380.929492547322</v>
      </c>
      <c r="Y166" s="456">
        <f t="shared" ref="Y166:Y173" si="54">$X166*AVERAGE($C$129:$C$134)/$C$126/365</f>
        <v>1.5774550293440122</v>
      </c>
      <c r="Z166" s="269">
        <f t="shared" ref="Z166:Z173" si="55">IFERROR(X166/Y166,99999999)</f>
        <v>16089.795918367341</v>
      </c>
      <c r="AA166" s="269">
        <f t="shared" si="43"/>
        <v>1787.7551020408155</v>
      </c>
      <c r="AB166" s="455">
        <f t="shared" ref="AB166:AB173" si="56">X166/V166</f>
        <v>0.4380952380952382</v>
      </c>
      <c r="AC166" s="272">
        <f>X166/AG166*AL166</f>
        <v>636.35854793405963</v>
      </c>
      <c r="AD166" s="457">
        <f t="shared" si="44"/>
        <v>2.4101177003475138E-2</v>
      </c>
      <c r="AE166" s="156">
        <f>V166+M166</f>
        <v>60345.380363423224</v>
      </c>
      <c r="AF166" s="156">
        <f t="shared" ref="AF166:AF173" si="57">N166+W166</f>
        <v>33941.750870875898</v>
      </c>
      <c r="AG166" s="264">
        <f t="shared" ref="AG166:AG173" si="58">AE166-AF166</f>
        <v>26403.629492547327</v>
      </c>
      <c r="AH166" s="456">
        <f t="shared" ref="AH166:AH173" si="59">$AG166*AVERAGE($C$129:$C$134)/$C$126/365</f>
        <v>1.6410170536971322</v>
      </c>
      <c r="AI166" s="269">
        <f t="shared" ref="AI166:AI173" si="60">IFERROR(AG166/AH166,99999999)</f>
        <v>16089.795918367347</v>
      </c>
      <c r="AJ166" s="269"/>
      <c r="AK166" s="455">
        <f t="shared" si="45"/>
        <v>0.43754185214401592</v>
      </c>
      <c r="AL166" s="272">
        <f t="shared" si="46"/>
        <v>662</v>
      </c>
      <c r="AM166" s="272">
        <f t="shared" si="47"/>
        <v>2.5072310614980251E-2</v>
      </c>
      <c r="AN166" s="26"/>
    </row>
    <row r="167" spans="2:40">
      <c r="B167" s="19" t="s">
        <v>1270</v>
      </c>
      <c r="C167" s="19" t="s">
        <v>1273</v>
      </c>
      <c r="D167" s="19" t="s">
        <v>205</v>
      </c>
      <c r="E167" s="156">
        <f t="shared" si="31"/>
        <v>19813.176184893655</v>
      </c>
      <c r="F167" s="156">
        <f t="shared" si="32"/>
        <v>11321.814962796374</v>
      </c>
      <c r="G167" s="158">
        <f t="shared" si="33"/>
        <v>9131.25</v>
      </c>
      <c r="H167" s="156">
        <f t="shared" ref="H167:H173" si="61">(G141*E141*$C$117)*($C$118*1*8.2/($C$120*3412))</f>
        <v>32854.760509127453</v>
      </c>
      <c r="I167" s="156">
        <f t="shared" si="48"/>
        <v>18774.148862358546</v>
      </c>
      <c r="J167" s="156">
        <f t="shared" si="34"/>
        <v>9350.4</v>
      </c>
      <c r="K167" s="263">
        <f t="shared" si="35"/>
        <v>20</v>
      </c>
      <c r="L167" s="459">
        <f t="shared" si="49"/>
        <v>0.1111111111111111</v>
      </c>
      <c r="M167" s="156">
        <f t="shared" si="36"/>
        <v>9350.4</v>
      </c>
      <c r="N167" s="156">
        <f t="shared" si="50"/>
        <v>9131.25</v>
      </c>
      <c r="O167" s="264">
        <f t="shared" si="51"/>
        <v>219.14999999999964</v>
      </c>
      <c r="P167" s="456">
        <f t="shared" si="52"/>
        <v>1.3620433789954317E-2</v>
      </c>
      <c r="Q167" s="269">
        <f t="shared" si="37"/>
        <v>16089.795918367345</v>
      </c>
      <c r="R167" s="269">
        <f t="shared" si="38"/>
        <v>1787.7551020408159</v>
      </c>
      <c r="S167" s="455">
        <f t="shared" si="39"/>
        <v>2.3437499999999962E-2</v>
      </c>
      <c r="T167" s="457">
        <f t="shared" si="40"/>
        <v>0</v>
      </c>
      <c r="U167" s="457">
        <f t="shared" si="41"/>
        <v>0</v>
      </c>
      <c r="V167" s="458">
        <f t="shared" ref="V167:V173" si="62">I167+H167</f>
        <v>51628.909371485999</v>
      </c>
      <c r="W167" s="156">
        <f t="shared" si="53"/>
        <v>31134.991147690031</v>
      </c>
      <c r="X167" s="264">
        <f t="shared" si="42"/>
        <v>20493.918223795969</v>
      </c>
      <c r="Y167" s="456">
        <f t="shared" si="54"/>
        <v>1.2737214522653508</v>
      </c>
      <c r="Z167" s="269">
        <f t="shared" si="55"/>
        <v>16089.795918367345</v>
      </c>
      <c r="AA167" s="269">
        <f t="shared" si="43"/>
        <v>1787.7551020408159</v>
      </c>
      <c r="AB167" s="455">
        <f t="shared" si="56"/>
        <v>0.39694656488549618</v>
      </c>
      <c r="AC167" s="272">
        <f t="shared" ref="AC167:AC173" si="63">X167/AG167*AL167</f>
        <v>0</v>
      </c>
      <c r="AD167" s="457">
        <f t="shared" si="44"/>
        <v>0</v>
      </c>
      <c r="AE167" s="156">
        <f t="shared" ref="AE167:AE173" si="64">V167+M167</f>
        <v>60979.309371486001</v>
      </c>
      <c r="AF167" s="156">
        <f t="shared" si="57"/>
        <v>40266.241147690031</v>
      </c>
      <c r="AG167" s="264">
        <f t="shared" si="58"/>
        <v>20713.06822379597</v>
      </c>
      <c r="AH167" s="456">
        <f t="shared" si="59"/>
        <v>1.2873418860553054</v>
      </c>
      <c r="AI167" s="269">
        <f t="shared" si="60"/>
        <v>16089.795918367343</v>
      </c>
      <c r="AJ167" s="269"/>
      <c r="AK167" s="455">
        <f t="shared" si="45"/>
        <v>0.33967370961209059</v>
      </c>
      <c r="AL167" s="272">
        <f t="shared" si="46"/>
        <v>0</v>
      </c>
      <c r="AM167" s="272">
        <f t="shared" si="47"/>
        <v>0</v>
      </c>
      <c r="AN167" s="26"/>
    </row>
    <row r="168" spans="2:40">
      <c r="B168" s="19" t="s">
        <v>1269</v>
      </c>
      <c r="C168" s="19" t="s">
        <v>1273</v>
      </c>
      <c r="D168" s="19" t="s">
        <v>205</v>
      </c>
      <c r="E168" s="156">
        <f t="shared" si="31"/>
        <v>20314.775581979568</v>
      </c>
      <c r="F168" s="156">
        <f t="shared" si="32"/>
        <v>11608.443189702612</v>
      </c>
      <c r="G168" s="158">
        <f t="shared" si="33"/>
        <v>12053.25</v>
      </c>
      <c r="H168" s="156">
        <f t="shared" si="61"/>
        <v>39124.75297270139</v>
      </c>
      <c r="I168" s="156">
        <f t="shared" si="48"/>
        <v>22357.001698686512</v>
      </c>
      <c r="J168" s="156">
        <f t="shared" si="34"/>
        <v>10957.5</v>
      </c>
      <c r="K168" s="263">
        <f t="shared" si="35"/>
        <v>20</v>
      </c>
      <c r="L168" s="459">
        <f t="shared" si="49"/>
        <v>0.1111111111111111</v>
      </c>
      <c r="M168" s="156">
        <f t="shared" si="36"/>
        <v>10957.5</v>
      </c>
      <c r="N168" s="156">
        <f t="shared" si="50"/>
        <v>12053.25</v>
      </c>
      <c r="O168" s="264">
        <f t="shared" si="51"/>
        <v>-1095.75</v>
      </c>
      <c r="P168" s="456">
        <f t="shared" si="52"/>
        <v>-6.8102168949771696E-2</v>
      </c>
      <c r="Q168" s="269">
        <f t="shared" si="37"/>
        <v>16089.795918367345</v>
      </c>
      <c r="R168" s="269">
        <f t="shared" si="38"/>
        <v>1787.7551020408159</v>
      </c>
      <c r="S168" s="455">
        <f t="shared" si="39"/>
        <v>-0.1</v>
      </c>
      <c r="T168" s="457">
        <f t="shared" si="40"/>
        <v>-37.342707904463737</v>
      </c>
      <c r="U168" s="457">
        <f t="shared" si="41"/>
        <v>-1.3119835857265741E-3</v>
      </c>
      <c r="V168" s="458">
        <f t="shared" si="62"/>
        <v>61481.754671387898</v>
      </c>
      <c r="W168" s="156">
        <f t="shared" si="53"/>
        <v>31923.218771682179</v>
      </c>
      <c r="X168" s="264">
        <f t="shared" si="42"/>
        <v>29558.535899705719</v>
      </c>
      <c r="Y168" s="456">
        <f t="shared" si="54"/>
        <v>1.8370982484596403</v>
      </c>
      <c r="Z168" s="269">
        <f t="shared" si="55"/>
        <v>16089.795918367345</v>
      </c>
      <c r="AA168" s="269">
        <f t="shared" si="43"/>
        <v>1787.7551020408159</v>
      </c>
      <c r="AB168" s="455">
        <f t="shared" si="56"/>
        <v>0.48076923076923073</v>
      </c>
      <c r="AC168" s="272">
        <f t="shared" si="63"/>
        <v>1007.3427079044637</v>
      </c>
      <c r="AD168" s="457">
        <f t="shared" si="44"/>
        <v>3.5391570995686641E-2</v>
      </c>
      <c r="AE168" s="156">
        <f t="shared" si="64"/>
        <v>72439.254671387898</v>
      </c>
      <c r="AF168" s="156">
        <f t="shared" si="57"/>
        <v>43976.468771682179</v>
      </c>
      <c r="AG168" s="264">
        <f t="shared" si="58"/>
        <v>28462.785899705719</v>
      </c>
      <c r="AH168" s="456">
        <f t="shared" si="59"/>
        <v>1.7689960795098685</v>
      </c>
      <c r="AI168" s="269">
        <f t="shared" si="60"/>
        <v>16089.795918367347</v>
      </c>
      <c r="AJ168" s="269"/>
      <c r="AK168" s="455">
        <f t="shared" si="45"/>
        <v>0.39291936435326091</v>
      </c>
      <c r="AL168" s="272">
        <f t="shared" si="46"/>
        <v>970</v>
      </c>
      <c r="AM168" s="272">
        <f t="shared" si="47"/>
        <v>3.4079587409960067E-2</v>
      </c>
      <c r="AN168" s="26"/>
    </row>
    <row r="169" spans="2:40">
      <c r="B169" s="19" t="s">
        <v>1272</v>
      </c>
      <c r="C169" s="19" t="s">
        <v>1267</v>
      </c>
      <c r="D169" s="19" t="s">
        <v>205</v>
      </c>
      <c r="E169" s="156">
        <f t="shared" si="31"/>
        <v>4044.145139005192</v>
      </c>
      <c r="F169" s="156">
        <f t="shared" si="32"/>
        <v>2310.9400794315384</v>
      </c>
      <c r="G169" s="158">
        <f t="shared" si="33"/>
        <v>2374.125</v>
      </c>
      <c r="H169" s="156">
        <f t="shared" si="61"/>
        <v>5125.7188389716966</v>
      </c>
      <c r="I169" s="156">
        <f t="shared" si="48"/>
        <v>2928.9821936981125</v>
      </c>
      <c r="J169" s="156">
        <f t="shared" si="34"/>
        <v>4302.6450000000004</v>
      </c>
      <c r="K169" s="263">
        <f t="shared" si="35"/>
        <v>10</v>
      </c>
      <c r="L169" s="459">
        <f t="shared" si="49"/>
        <v>0.1111111111111111</v>
      </c>
      <c r="M169" s="156">
        <f t="shared" si="36"/>
        <v>4302.6450000000004</v>
      </c>
      <c r="N169" s="156">
        <f t="shared" si="50"/>
        <v>2374.125</v>
      </c>
      <c r="O169" s="264">
        <f t="shared" si="51"/>
        <v>1928.5200000000004</v>
      </c>
      <c r="P169" s="456">
        <f t="shared" si="52"/>
        <v>0.11985981735159822</v>
      </c>
      <c r="Q169" s="269">
        <f t="shared" si="37"/>
        <v>16089.795918367345</v>
      </c>
      <c r="R169" s="269">
        <f t="shared" si="38"/>
        <v>1787.7551020408159</v>
      </c>
      <c r="S169" s="455">
        <f t="shared" si="39"/>
        <v>0.44821731748726662</v>
      </c>
      <c r="T169" s="457">
        <f t="shared" si="40"/>
        <v>1076.3800474832829</v>
      </c>
      <c r="U169" s="457">
        <f t="shared" si="41"/>
        <v>0.29667578684917834</v>
      </c>
      <c r="V169" s="458">
        <f t="shared" si="62"/>
        <v>8054.7010326698091</v>
      </c>
      <c r="W169" s="156">
        <f t="shared" si="53"/>
        <v>6355.0852184367304</v>
      </c>
      <c r="X169" s="264">
        <f t="shared" si="42"/>
        <v>1699.6158142330787</v>
      </c>
      <c r="Y169" s="456">
        <f t="shared" si="54"/>
        <v>0.10563314928642931</v>
      </c>
      <c r="Z169" s="269">
        <f t="shared" si="55"/>
        <v>16089.795918367345</v>
      </c>
      <c r="AA169" s="269">
        <f t="shared" si="43"/>
        <v>1787.7551020408159</v>
      </c>
      <c r="AB169" s="455">
        <f t="shared" si="56"/>
        <v>0.21100917431192656</v>
      </c>
      <c r="AC169" s="272">
        <f t="shared" si="63"/>
        <v>948.61995251671703</v>
      </c>
      <c r="AD169" s="457">
        <f t="shared" si="44"/>
        <v>0.26146208441131297</v>
      </c>
      <c r="AE169" s="156">
        <f t="shared" si="64"/>
        <v>12357.34603266981</v>
      </c>
      <c r="AF169" s="156">
        <f t="shared" si="57"/>
        <v>8729.2102184367304</v>
      </c>
      <c r="AG169" s="264">
        <f t="shared" si="58"/>
        <v>3628.1358142330791</v>
      </c>
      <c r="AH169" s="456">
        <f t="shared" si="59"/>
        <v>0.22549296663802754</v>
      </c>
      <c r="AI169" s="269">
        <f t="shared" si="60"/>
        <v>16089.795918367345</v>
      </c>
      <c r="AJ169" s="269"/>
      <c r="AK169" s="455">
        <f t="shared" si="45"/>
        <v>0.29360153908785697</v>
      </c>
      <c r="AL169" s="272">
        <f t="shared" si="46"/>
        <v>2025</v>
      </c>
      <c r="AM169" s="272">
        <f t="shared" si="47"/>
        <v>0.5581378712604913</v>
      </c>
      <c r="AN169" s="26"/>
    </row>
    <row r="170" spans="2:40">
      <c r="B170" s="19" t="s">
        <v>1271</v>
      </c>
      <c r="C170" s="19" t="s">
        <v>1267</v>
      </c>
      <c r="D170" s="19" t="s">
        <v>205</v>
      </c>
      <c r="E170" s="156">
        <f t="shared" si="31"/>
        <v>15624.821219226262</v>
      </c>
      <c r="F170" s="156">
        <f t="shared" si="32"/>
        <v>8928.4692681292927</v>
      </c>
      <c r="G170" s="158">
        <f t="shared" si="33"/>
        <v>2897.6499999999996</v>
      </c>
      <c r="H170" s="156">
        <f t="shared" si="61"/>
        <v>22647.212778429071</v>
      </c>
      <c r="I170" s="156">
        <f t="shared" si="48"/>
        <v>12941.264444816614</v>
      </c>
      <c r="J170" s="156">
        <f t="shared" si="34"/>
        <v>4236.8999999999996</v>
      </c>
      <c r="K170" s="263">
        <f t="shared" si="35"/>
        <v>15</v>
      </c>
      <c r="L170" s="459">
        <f t="shared" si="49"/>
        <v>0.1111111111111111</v>
      </c>
      <c r="M170" s="156">
        <f t="shared" si="36"/>
        <v>4236.8999999999996</v>
      </c>
      <c r="N170" s="156">
        <f t="shared" si="50"/>
        <v>2897.6499999999996</v>
      </c>
      <c r="O170" s="264">
        <f t="shared" si="51"/>
        <v>1339.25</v>
      </c>
      <c r="P170" s="456">
        <f t="shared" si="52"/>
        <v>8.3235984271943189E-2</v>
      </c>
      <c r="Q170" s="269">
        <f t="shared" si="37"/>
        <v>16089.795918367345</v>
      </c>
      <c r="R170" s="269">
        <f t="shared" si="38"/>
        <v>1787.7551020408159</v>
      </c>
      <c r="S170" s="455">
        <f t="shared" si="39"/>
        <v>0.31609195402298851</v>
      </c>
      <c r="T170" s="457">
        <f t="shared" si="40"/>
        <v>107.68601257907233</v>
      </c>
      <c r="U170" s="457">
        <f t="shared" si="41"/>
        <v>8.702296102637605E-3</v>
      </c>
      <c r="V170" s="458">
        <f t="shared" si="62"/>
        <v>35588.477223245689</v>
      </c>
      <c r="W170" s="156">
        <f t="shared" si="53"/>
        <v>24553.290487355553</v>
      </c>
      <c r="X170" s="264">
        <f t="shared" si="42"/>
        <v>11035.186735890136</v>
      </c>
      <c r="Y170" s="456">
        <f t="shared" si="54"/>
        <v>0.68585001275826574</v>
      </c>
      <c r="Z170" s="269">
        <f t="shared" si="55"/>
        <v>16089.795918367347</v>
      </c>
      <c r="AA170" s="269">
        <f t="shared" si="43"/>
        <v>1787.7551020408162</v>
      </c>
      <c r="AB170" s="455">
        <f t="shared" si="56"/>
        <v>0.31007751937984496</v>
      </c>
      <c r="AC170" s="272">
        <f t="shared" si="63"/>
        <v>887.31398742092767</v>
      </c>
      <c r="AD170" s="457">
        <f t="shared" si="44"/>
        <v>7.1705404161743452E-2</v>
      </c>
      <c r="AE170" s="156">
        <f t="shared" si="64"/>
        <v>39825.37722324569</v>
      </c>
      <c r="AF170" s="156">
        <f t="shared" si="57"/>
        <v>27450.940487355554</v>
      </c>
      <c r="AG170" s="264">
        <f t="shared" si="58"/>
        <v>12374.436735890136</v>
      </c>
      <c r="AH170" s="456">
        <f t="shared" si="59"/>
        <v>0.76908599703020897</v>
      </c>
      <c r="AI170" s="269">
        <f t="shared" si="60"/>
        <v>16089.795918367345</v>
      </c>
      <c r="AJ170" s="269"/>
      <c r="AK170" s="455">
        <f t="shared" si="45"/>
        <v>0.31071737667477251</v>
      </c>
      <c r="AL170" s="272">
        <f t="shared" si="46"/>
        <v>995</v>
      </c>
      <c r="AM170" s="272">
        <f t="shared" si="47"/>
        <v>8.0407700264381057E-2</v>
      </c>
      <c r="AN170" s="26"/>
    </row>
    <row r="171" spans="2:40">
      <c r="B171" s="19" t="s">
        <v>1270</v>
      </c>
      <c r="C171" s="19" t="s">
        <v>1267</v>
      </c>
      <c r="D171" s="19" t="s">
        <v>205</v>
      </c>
      <c r="E171" s="156">
        <f t="shared" si="31"/>
        <v>17555.978898007033</v>
      </c>
      <c r="F171" s="156">
        <f t="shared" si="32"/>
        <v>10031.987941718307</v>
      </c>
      <c r="G171" s="158">
        <f t="shared" si="33"/>
        <v>9131.25</v>
      </c>
      <c r="H171" s="156">
        <f t="shared" si="61"/>
        <v>21819.573773237316</v>
      </c>
      <c r="I171" s="156">
        <f t="shared" si="48"/>
        <v>12468.327870421324</v>
      </c>
      <c r="J171" s="156">
        <f t="shared" si="34"/>
        <v>11278.92</v>
      </c>
      <c r="K171" s="263">
        <f t="shared" si="35"/>
        <v>20</v>
      </c>
      <c r="L171" s="459">
        <f t="shared" si="49"/>
        <v>0.1111111111111111</v>
      </c>
      <c r="M171" s="156">
        <f t="shared" si="36"/>
        <v>11278.92</v>
      </c>
      <c r="N171" s="156">
        <f t="shared" si="50"/>
        <v>9131.25</v>
      </c>
      <c r="O171" s="264">
        <f t="shared" si="51"/>
        <v>2147.67</v>
      </c>
      <c r="P171" s="456">
        <f t="shared" si="52"/>
        <v>0.13348025114155251</v>
      </c>
      <c r="Q171" s="269">
        <f t="shared" si="37"/>
        <v>16089.795918367347</v>
      </c>
      <c r="R171" s="269">
        <f t="shared" si="38"/>
        <v>1787.7551020408162</v>
      </c>
      <c r="S171" s="455">
        <f t="shared" si="39"/>
        <v>0.19041450777202074</v>
      </c>
      <c r="T171" s="457">
        <f t="shared" si="40"/>
        <v>497.61755837497617</v>
      </c>
      <c r="U171" s="457">
        <f t="shared" si="41"/>
        <v>5.6243194559702198E-2</v>
      </c>
      <c r="V171" s="458">
        <f t="shared" si="62"/>
        <v>34287.901643658639</v>
      </c>
      <c r="W171" s="156">
        <f t="shared" si="53"/>
        <v>27587.966839725341</v>
      </c>
      <c r="X171" s="264">
        <f t="shared" si="42"/>
        <v>6699.9348039332981</v>
      </c>
      <c r="Y171" s="456">
        <f t="shared" si="54"/>
        <v>0.41640893631751863</v>
      </c>
      <c r="Z171" s="269">
        <f t="shared" si="55"/>
        <v>16089.795918367343</v>
      </c>
      <c r="AA171" s="269">
        <f t="shared" si="43"/>
        <v>1787.7551020408157</v>
      </c>
      <c r="AB171" s="455">
        <f t="shared" si="56"/>
        <v>0.19540229885057472</v>
      </c>
      <c r="AC171" s="272">
        <f t="shared" si="63"/>
        <v>1552.3824416250238</v>
      </c>
      <c r="AD171" s="457">
        <f t="shared" si="44"/>
        <v>0.17545793195180867</v>
      </c>
      <c r="AE171" s="156">
        <f t="shared" si="64"/>
        <v>45566.821643658637</v>
      </c>
      <c r="AF171" s="156">
        <f t="shared" si="57"/>
        <v>36719.216839725341</v>
      </c>
      <c r="AG171" s="264">
        <f t="shared" si="58"/>
        <v>8847.6048039332964</v>
      </c>
      <c r="AH171" s="456">
        <f t="shared" si="59"/>
        <v>0.549889187459071</v>
      </c>
      <c r="AI171" s="269">
        <f t="shared" si="60"/>
        <v>16089.795918367345</v>
      </c>
      <c r="AJ171" s="269"/>
      <c r="AK171" s="455">
        <f t="shared" si="45"/>
        <v>0.1941676966878067</v>
      </c>
      <c r="AL171" s="272">
        <f t="shared" si="46"/>
        <v>2050</v>
      </c>
      <c r="AM171" s="272">
        <f t="shared" si="47"/>
        <v>0.23170112651151087</v>
      </c>
      <c r="AN171" s="26"/>
    </row>
    <row r="172" spans="2:40">
      <c r="B172" s="19" t="s">
        <v>1269</v>
      </c>
      <c r="C172" s="19" t="s">
        <v>1267</v>
      </c>
      <c r="D172" s="19" t="s">
        <v>205</v>
      </c>
      <c r="E172" s="156">
        <f t="shared" si="31"/>
        <v>20314.775581979568</v>
      </c>
      <c r="F172" s="156">
        <f t="shared" si="32"/>
        <v>11608.443189702612</v>
      </c>
      <c r="G172" s="158">
        <f t="shared" si="33"/>
        <v>14062.125</v>
      </c>
      <c r="H172" s="156">
        <f t="shared" si="61"/>
        <v>36491.356138000338</v>
      </c>
      <c r="I172" s="156">
        <f t="shared" si="48"/>
        <v>20852.203507428767</v>
      </c>
      <c r="J172" s="156">
        <f t="shared" si="34"/>
        <v>15135.96</v>
      </c>
      <c r="K172" s="263">
        <f t="shared" si="35"/>
        <v>20</v>
      </c>
      <c r="L172" s="459">
        <f t="shared" si="49"/>
        <v>0.1111111111111111</v>
      </c>
      <c r="M172" s="156">
        <f t="shared" si="36"/>
        <v>15135.96</v>
      </c>
      <c r="N172" s="156">
        <f t="shared" si="50"/>
        <v>14062.125</v>
      </c>
      <c r="O172" s="264">
        <f t="shared" si="51"/>
        <v>1073.8349999999991</v>
      </c>
      <c r="P172" s="456">
        <f t="shared" si="52"/>
        <v>6.6740125570776215E-2</v>
      </c>
      <c r="Q172" s="269">
        <f t="shared" si="37"/>
        <v>16089.795918367343</v>
      </c>
      <c r="R172" s="269">
        <f t="shared" si="38"/>
        <v>1787.7551020408157</v>
      </c>
      <c r="S172" s="455">
        <f t="shared" si="39"/>
        <v>7.0945945945945887E-2</v>
      </c>
      <c r="T172" s="457">
        <f t="shared" si="40"/>
        <v>39.315053805169896</v>
      </c>
      <c r="U172" s="457">
        <f t="shared" si="41"/>
        <v>1.4839130680085466E-3</v>
      </c>
      <c r="V172" s="458">
        <f t="shared" si="62"/>
        <v>57343.559645429108</v>
      </c>
      <c r="W172" s="156">
        <f t="shared" si="53"/>
        <v>31923.218771682179</v>
      </c>
      <c r="X172" s="264">
        <f t="shared" si="42"/>
        <v>25420.340873746929</v>
      </c>
      <c r="Y172" s="456">
        <f t="shared" si="54"/>
        <v>1.5799044936752913</v>
      </c>
      <c r="Z172" s="269">
        <f t="shared" si="55"/>
        <v>16089.795918367345</v>
      </c>
      <c r="AA172" s="269">
        <f t="shared" si="43"/>
        <v>1787.7551020408159</v>
      </c>
      <c r="AB172" s="455">
        <f t="shared" si="56"/>
        <v>0.44329896907216504</v>
      </c>
      <c r="AC172" s="272">
        <f t="shared" si="63"/>
        <v>930.6849461948301</v>
      </c>
      <c r="AD172" s="457">
        <f t="shared" si="44"/>
        <v>3.512790700227237E-2</v>
      </c>
      <c r="AE172" s="156">
        <f t="shared" si="64"/>
        <v>72479.5196454291</v>
      </c>
      <c r="AF172" s="156">
        <f t="shared" si="57"/>
        <v>45985.343771682179</v>
      </c>
      <c r="AG172" s="264">
        <f t="shared" si="58"/>
        <v>26494.175873746921</v>
      </c>
      <c r="AH172" s="456">
        <f t="shared" si="59"/>
        <v>1.6466446192460671</v>
      </c>
      <c r="AI172" s="269">
        <f t="shared" si="60"/>
        <v>16089.795918367345</v>
      </c>
      <c r="AJ172" s="269"/>
      <c r="AK172" s="455">
        <f t="shared" si="45"/>
        <v>0.36554016918650711</v>
      </c>
      <c r="AL172" s="272">
        <f t="shared" si="46"/>
        <v>970</v>
      </c>
      <c r="AM172" s="272">
        <f t="shared" si="47"/>
        <v>3.6611820070280916E-2</v>
      </c>
      <c r="AN172" s="26"/>
    </row>
    <row r="173" spans="2:40">
      <c r="B173" s="19" t="s">
        <v>1268</v>
      </c>
      <c r="C173" s="19" t="s">
        <v>1267</v>
      </c>
      <c r="D173" s="19" t="s">
        <v>205</v>
      </c>
      <c r="E173" s="156">
        <f t="shared" si="31"/>
        <v>10182.467760844078</v>
      </c>
      <c r="F173" s="156">
        <f t="shared" si="32"/>
        <v>5818.5530061966165</v>
      </c>
      <c r="G173" s="158">
        <f t="shared" si="33"/>
        <v>2775.8999999999996</v>
      </c>
      <c r="H173" s="156">
        <f t="shared" si="61"/>
        <v>12289.185228604925</v>
      </c>
      <c r="I173" s="156">
        <f t="shared" si="48"/>
        <v>7022.3915592028143</v>
      </c>
      <c r="J173" s="156">
        <f t="shared" si="34"/>
        <v>1753.2</v>
      </c>
      <c r="K173" s="263">
        <f t="shared" si="35"/>
        <v>10</v>
      </c>
      <c r="L173" s="459">
        <f t="shared" si="49"/>
        <v>0.1111111111111111</v>
      </c>
      <c r="M173" s="156">
        <f t="shared" si="36"/>
        <v>1753.2</v>
      </c>
      <c r="N173" s="156">
        <f t="shared" si="50"/>
        <v>2775.8999999999996</v>
      </c>
      <c r="O173" s="264">
        <f t="shared" si="51"/>
        <v>-1022.6999999999996</v>
      </c>
      <c r="P173" s="456">
        <f t="shared" si="52"/>
        <v>-6.3562024353120222E-2</v>
      </c>
      <c r="Q173" s="269">
        <f t="shared" si="37"/>
        <v>16089.795918367347</v>
      </c>
      <c r="R173" s="269">
        <f t="shared" si="38"/>
        <v>1787.7551020408162</v>
      </c>
      <c r="S173" s="455">
        <f t="shared" si="39"/>
        <v>-0.58333333333333304</v>
      </c>
      <c r="T173" s="457">
        <f t="shared" si="40"/>
        <v>-764.39119600440381</v>
      </c>
      <c r="U173" s="457">
        <f t="shared" si="41"/>
        <v>-0.33410808593983465</v>
      </c>
      <c r="V173" s="458">
        <f t="shared" si="62"/>
        <v>19311.576787807739</v>
      </c>
      <c r="W173" s="156">
        <f t="shared" si="53"/>
        <v>16001.020767040694</v>
      </c>
      <c r="X173" s="264">
        <f t="shared" si="42"/>
        <v>3310.5560207670442</v>
      </c>
      <c r="Y173" s="456">
        <f t="shared" si="54"/>
        <v>0.20575500382747994</v>
      </c>
      <c r="Z173" s="269">
        <f t="shared" si="55"/>
        <v>16089.795918367345</v>
      </c>
      <c r="AA173" s="269">
        <f t="shared" si="43"/>
        <v>1787.7551020408159</v>
      </c>
      <c r="AB173" s="455">
        <f t="shared" si="56"/>
        <v>0.1714285714285716</v>
      </c>
      <c r="AC173" s="272">
        <f t="shared" si="63"/>
        <v>2474.3911960044038</v>
      </c>
      <c r="AD173" s="457">
        <f t="shared" si="44"/>
        <v>1.0815327422460874</v>
      </c>
      <c r="AE173" s="156">
        <f t="shared" si="64"/>
        <v>21064.776787807739</v>
      </c>
      <c r="AF173" s="156">
        <f t="shared" si="57"/>
        <v>18776.920767040694</v>
      </c>
      <c r="AG173" s="264">
        <f t="shared" si="58"/>
        <v>2287.8560207670453</v>
      </c>
      <c r="AH173" s="456">
        <f t="shared" si="59"/>
        <v>0.14219297947435977</v>
      </c>
      <c r="AI173" s="269">
        <f t="shared" si="60"/>
        <v>16089.795918367343</v>
      </c>
      <c r="AJ173" s="269"/>
      <c r="AK173" s="455">
        <f t="shared" si="45"/>
        <v>0.10861050386687472</v>
      </c>
      <c r="AL173" s="272">
        <f t="shared" si="46"/>
        <v>1710</v>
      </c>
      <c r="AM173" s="272">
        <f t="shared" si="47"/>
        <v>0.74742465630625277</v>
      </c>
      <c r="AN173" s="26"/>
    </row>
    <row r="174" spans="2:40">
      <c r="B174" s="26"/>
      <c r="C174" s="7" t="s">
        <v>0</v>
      </c>
      <c r="D174" s="7"/>
      <c r="E174" s="103">
        <f t="shared" ref="E174:J174" si="65">SUMPRODUCT(E165:E173,$L$165:$L$173)</f>
        <v>14906.907082147043</v>
      </c>
      <c r="F174" s="103">
        <f t="shared" si="65"/>
        <v>8518.2326183697405</v>
      </c>
      <c r="G174" s="103">
        <f t="shared" si="65"/>
        <v>6243.0694444444434</v>
      </c>
      <c r="H174" s="103">
        <f t="shared" si="65"/>
        <v>23928.381238486014</v>
      </c>
      <c r="I174" s="103">
        <f t="shared" si="65"/>
        <v>13673.360707706297</v>
      </c>
      <c r="J174" s="103">
        <f t="shared" si="65"/>
        <v>6917.4291666666659</v>
      </c>
      <c r="K174" s="103">
        <f>SUMPRODUCT(K165:K173,$L$165:$L$173)</f>
        <v>15.555555555555554</v>
      </c>
      <c r="L174" s="454">
        <f>SUM(L165:L173)</f>
        <v>1.0000000000000002</v>
      </c>
      <c r="M174" s="103">
        <f>SUMPRODUCT(M165:M173,$L$165:$L$173)</f>
        <v>6917.4291666666659</v>
      </c>
      <c r="N174" s="103">
        <f>SUMPRODUCT(N165:N173,$L$165:$L$173)</f>
        <v>6243.0694444444434</v>
      </c>
      <c r="O174" s="103">
        <f>SUMPRODUCT(O165:O173,$L$165:$L$173)</f>
        <v>674.35972222222222</v>
      </c>
      <c r="P174" s="452">
        <f>SUMPRODUCT(P165:P173,$L$165:$L$173)</f>
        <v>4.1912260767236038E-2</v>
      </c>
      <c r="Q174" s="451">
        <f>O174/P174</f>
        <v>16089.795918367345</v>
      </c>
      <c r="R174" s="450">
        <f>Q174</f>
        <v>16089.795918367345</v>
      </c>
      <c r="S174" s="106">
        <f t="shared" ref="S174:Y174" si="66">SUMPRODUCT(S165:S173,$L$165:$L$173)</f>
        <v>0.10570073763532871</v>
      </c>
      <c r="T174" s="449">
        <f t="shared" si="66"/>
        <v>107.65895689127031</v>
      </c>
      <c r="U174" s="107">
        <f t="shared" si="66"/>
        <v>3.7842976796729141E-3</v>
      </c>
      <c r="V174" s="453">
        <f t="shared" si="66"/>
        <v>37601.741946192305</v>
      </c>
      <c r="W174" s="103">
        <f t="shared" si="66"/>
        <v>23425.139700516786</v>
      </c>
      <c r="X174" s="103">
        <f t="shared" si="66"/>
        <v>14176.602245675527</v>
      </c>
      <c r="Y174" s="452">
        <f t="shared" si="66"/>
        <v>0.88109273216400441</v>
      </c>
      <c r="Z174" s="451">
        <f>X174/Y174</f>
        <v>16089.795918367341</v>
      </c>
      <c r="AA174" s="450">
        <f>SUM(AA165:AA173)</f>
        <v>16089.795918367341</v>
      </c>
      <c r="AB174" s="106">
        <f t="shared" ref="AB174:AH174" si="67">SUMPRODUCT(AB165:AB173,$L$165:$L$173)</f>
        <v>0.32879625501297194</v>
      </c>
      <c r="AC174" s="449">
        <f t="shared" si="67"/>
        <v>960.78548755317411</v>
      </c>
      <c r="AD174" s="107">
        <f t="shared" si="67"/>
        <v>0.1924440614367357</v>
      </c>
      <c r="AE174" s="103">
        <f t="shared" si="67"/>
        <v>44519.171112858981</v>
      </c>
      <c r="AF174" s="103">
        <f t="shared" si="67"/>
        <v>29668.209144961227</v>
      </c>
      <c r="AG174" s="103">
        <f>SUMPRODUCT(AG165:AG173,$L$165:$L$173)</f>
        <v>14850.961967897752</v>
      </c>
      <c r="AH174" s="452">
        <f t="shared" si="67"/>
        <v>0.92300499293124016</v>
      </c>
      <c r="AI174" s="451">
        <f>AG174/AH174</f>
        <v>16089.79591836735</v>
      </c>
      <c r="AJ174" s="450">
        <f>SUM(AJ165:AJ173)</f>
        <v>0</v>
      </c>
      <c r="AK174" s="106">
        <f>SUMPRODUCT(AK165:AK173,$L$165:$L$173)</f>
        <v>0.30306274530169797</v>
      </c>
      <c r="AL174" s="449">
        <f>SUMPRODUCT(AL165:AL173,$L$165:$L$173)</f>
        <v>1068.4444444444446</v>
      </c>
      <c r="AM174" s="449">
        <f t="shared" si="47"/>
        <v>7.1944460349034858E-2</v>
      </c>
      <c r="AN174" s="26"/>
    </row>
    <row r="175" spans="2:40">
      <c r="B175" s="26"/>
      <c r="C175" s="26"/>
      <c r="D175" s="26"/>
      <c r="E175" s="26"/>
      <c r="F175" s="26"/>
      <c r="G175" s="26"/>
      <c r="H175" s="26"/>
      <c r="I175" s="26"/>
      <c r="J175" s="26"/>
      <c r="K175" s="26"/>
      <c r="L175" s="26"/>
      <c r="M175" s="26"/>
      <c r="N175" s="26"/>
      <c r="O175" s="26"/>
      <c r="P175" s="26"/>
      <c r="Q175" s="26"/>
      <c r="R175" s="26"/>
      <c r="S175" s="26"/>
      <c r="T175" s="26"/>
      <c r="U175" s="26"/>
      <c r="V175" s="26"/>
      <c r="W175" s="26"/>
    </row>
    <row r="176" spans="2:40">
      <c r="B176" s="21" t="s">
        <v>251</v>
      </c>
      <c r="C176" s="19"/>
      <c r="D176" s="19"/>
      <c r="E176" s="477" t="s">
        <v>1304</v>
      </c>
      <c r="F176" s="476"/>
      <c r="G176" s="476"/>
      <c r="H176" s="476"/>
      <c r="I176" s="476"/>
      <c r="J176" s="476"/>
      <c r="K176" s="476"/>
      <c r="L176" s="476"/>
      <c r="M176" s="476"/>
      <c r="N176" s="475" t="s">
        <v>1303</v>
      </c>
      <c r="O176" s="473"/>
      <c r="P176" s="473"/>
      <c r="Q176" s="473"/>
      <c r="R176" s="473"/>
      <c r="S176" s="474"/>
      <c r="T176" s="473"/>
      <c r="U176" s="473"/>
      <c r="V176" s="472"/>
      <c r="W176" s="471" t="s">
        <v>1302</v>
      </c>
      <c r="X176" s="469"/>
      <c r="Y176" s="469"/>
      <c r="Z176" s="469"/>
      <c r="AA176" s="469"/>
      <c r="AB176" s="470"/>
      <c r="AC176" s="469"/>
      <c r="AD176" s="469"/>
      <c r="AE176" s="468"/>
      <c r="AF176" s="467" t="s">
        <v>1301</v>
      </c>
      <c r="AG176" s="465"/>
      <c r="AH176" s="465"/>
      <c r="AI176" s="465"/>
      <c r="AJ176" s="465"/>
      <c r="AK176" s="466"/>
      <c r="AL176" s="465"/>
      <c r="AM176" s="465"/>
      <c r="AN176" s="464"/>
    </row>
    <row r="177" spans="2:40" ht="39">
      <c r="B177" s="463" t="s">
        <v>250</v>
      </c>
      <c r="C177" s="463" t="s">
        <v>1300</v>
      </c>
      <c r="D177" s="463" t="s">
        <v>1299</v>
      </c>
      <c r="E177" s="462" t="s">
        <v>2133</v>
      </c>
      <c r="F177" s="462" t="s">
        <v>2134</v>
      </c>
      <c r="G177" s="461" t="s">
        <v>2135</v>
      </c>
      <c r="H177" s="462" t="s">
        <v>2127</v>
      </c>
      <c r="I177" s="462" t="s">
        <v>2130</v>
      </c>
      <c r="J177" s="462" t="s">
        <v>2131</v>
      </c>
      <c r="K177" s="461" t="s">
        <v>2132</v>
      </c>
      <c r="L177" s="461" t="s">
        <v>451</v>
      </c>
      <c r="M177" s="462" t="s">
        <v>7</v>
      </c>
      <c r="N177" s="462" t="s">
        <v>1292</v>
      </c>
      <c r="O177" s="462" t="s">
        <v>1291</v>
      </c>
      <c r="P177" s="462" t="s">
        <v>1290</v>
      </c>
      <c r="Q177" s="462" t="s">
        <v>1289</v>
      </c>
      <c r="R177" s="461" t="s">
        <v>569</v>
      </c>
      <c r="S177" s="461" t="s">
        <v>1276</v>
      </c>
      <c r="T177" s="461" t="s">
        <v>1288</v>
      </c>
      <c r="U177" s="461" t="s">
        <v>9</v>
      </c>
      <c r="V177" s="461" t="s">
        <v>1287</v>
      </c>
      <c r="W177" s="461" t="s">
        <v>1286</v>
      </c>
      <c r="X177" s="461" t="s">
        <v>1285</v>
      </c>
      <c r="Y177" s="461" t="s">
        <v>1284</v>
      </c>
      <c r="Z177" s="461" t="s">
        <v>1283</v>
      </c>
      <c r="AA177" s="461" t="s">
        <v>569</v>
      </c>
      <c r="AB177" s="461" t="s">
        <v>1276</v>
      </c>
      <c r="AC177" s="461" t="s">
        <v>1282</v>
      </c>
      <c r="AD177" s="461" t="s">
        <v>9</v>
      </c>
      <c r="AE177" s="461" t="s">
        <v>1281</v>
      </c>
      <c r="AF177" s="461" t="s">
        <v>2137</v>
      </c>
      <c r="AG177" s="461" t="s">
        <v>2138</v>
      </c>
      <c r="AH177" s="461" t="s">
        <v>2139</v>
      </c>
      <c r="AI177" s="461"/>
      <c r="AJ177" s="461"/>
      <c r="AK177" s="461"/>
      <c r="AL177" s="461" t="s">
        <v>1275</v>
      </c>
      <c r="AM177" s="461" t="s">
        <v>9</v>
      </c>
      <c r="AN177" s="461" t="s">
        <v>2140</v>
      </c>
    </row>
    <row r="178" spans="2:40">
      <c r="B178" s="19" t="s">
        <v>1272</v>
      </c>
      <c r="C178" s="19" t="s">
        <v>1273</v>
      </c>
      <c r="D178" s="19" t="s">
        <v>203</v>
      </c>
      <c r="E178" s="156">
        <f t="shared" ref="E178:E186" si="68">((G152*E152*$C$117)*($C$119*1*8.2/($C$120*3412)))</f>
        <v>3197.6961564227104</v>
      </c>
      <c r="F178" s="158">
        <f t="shared" ref="F178:F186" si="69">((H152*($C$126*$C$117)-($C$117*E152*F152/60)))</f>
        <v>2374.125</v>
      </c>
      <c r="G178" s="158">
        <f>(G152*E152*$C$117*5010/1000000)</f>
        <v>163.318798125</v>
      </c>
      <c r="H178" s="156">
        <f>(G139*E139*$C$117)*($C$118*1*8.2/($C$121*100000))</f>
        <v>340.03177031249999</v>
      </c>
      <c r="I178" s="156">
        <f>(G139*E139*$C$117)*($C$119*1*8.2/($C$120*3412))</f>
        <v>4648.7515551355364</v>
      </c>
      <c r="J178" s="156">
        <f t="shared" ref="J178:J186" si="70">(H139*(($C$126*$C$117)-($C$117*E139*F139/60)))</f>
        <v>2830.6875</v>
      </c>
      <c r="K178" s="264">
        <f>G139*E139*$C$117*5010/1000000</f>
        <v>237.429849375</v>
      </c>
      <c r="L178" s="263">
        <f t="shared" ref="L178:L186" si="71">VLOOKUP($B178&amp;"_"&amp;$C178,$D$152:$J$160,7,FALSE)</f>
        <v>10</v>
      </c>
      <c r="M178" s="459">
        <f>1/COUNT($K$165:$K$173)</f>
        <v>0.1111111111111111</v>
      </c>
      <c r="N178" s="156">
        <f>J178</f>
        <v>2830.6875</v>
      </c>
      <c r="O178" s="156">
        <f>F178</f>
        <v>2374.125</v>
      </c>
      <c r="P178" s="264">
        <f>N178-O178</f>
        <v>456.5625</v>
      </c>
      <c r="Q178" s="456">
        <f>$P178*AVERAGE($C$129:$C$134)/$C$126/365</f>
        <v>2.837590372907154E-2</v>
      </c>
      <c r="R178" s="269">
        <f t="shared" ref="R178:R186" si="72">IFERROR(P178/Q178,99999999)</f>
        <v>16089.795918367345</v>
      </c>
      <c r="S178" s="269">
        <f t="shared" ref="S178:S186" si="73">$M178*$R178</f>
        <v>1787.7551020408159</v>
      </c>
      <c r="T178" s="455">
        <f t="shared" ref="T178:T186" si="74">$P178/$N178</f>
        <v>0.16129032258064516</v>
      </c>
      <c r="U178" s="457"/>
      <c r="V178" s="457"/>
      <c r="W178" s="458">
        <f>I178+K178</f>
        <v>4886.1814045105366</v>
      </c>
      <c r="X178" s="156">
        <f>E178+G178</f>
        <v>3361.0149545477102</v>
      </c>
      <c r="Y178" s="264">
        <f>W178-X178</f>
        <v>1525.1664499628264</v>
      </c>
      <c r="Z178" s="456">
        <f>$Y178*AVERAGE($C$129:$C$134)/$C$126/365</f>
        <v>9.4790913303118354E-2</v>
      </c>
      <c r="AA178" s="269">
        <f>IFERROR(Y178/Z178,99999999)</f>
        <v>16089.795918367343</v>
      </c>
      <c r="AB178" s="269"/>
      <c r="AC178" s="455"/>
      <c r="AD178" s="272"/>
      <c r="AE178" s="457"/>
      <c r="AF178" s="158">
        <f>((W178+N178)*3412/1000000)+(H178/10)</f>
        <v>60.333133733439951</v>
      </c>
      <c r="AG178" s="158">
        <f>(O178+X178)*3412/1000000</f>
        <v>19.56829752491679</v>
      </c>
      <c r="AH178" s="457">
        <f>AF178-AG178</f>
        <v>40.764836208523164</v>
      </c>
      <c r="AI178" s="456"/>
      <c r="AJ178" s="269"/>
      <c r="AK178" s="269"/>
      <c r="AL178" s="455">
        <f>AH178/AF178</f>
        <v>0.67566250393403726</v>
      </c>
      <c r="AM178" s="272">
        <f t="shared" ref="AM178:AM186" si="75">IFERROR(VLOOKUP($B178&amp;"_"&amp;$C178,$D$152:$J$160,6,FALSE),0)</f>
        <v>234</v>
      </c>
      <c r="AN178" s="272">
        <f t="shared" ref="AN178:AN187" si="76">AM178/AH178</f>
        <v>5.7402413885101051</v>
      </c>
    </row>
    <row r="179" spans="2:40">
      <c r="B179" s="19" t="s">
        <v>1271</v>
      </c>
      <c r="C179" s="19" t="s">
        <v>1273</v>
      </c>
      <c r="D179" s="19" t="s">
        <v>203</v>
      </c>
      <c r="E179" s="156">
        <f t="shared" si="68"/>
        <v>11837.745771227601</v>
      </c>
      <c r="F179" s="158">
        <f t="shared" si="69"/>
        <v>1387.9499999999998</v>
      </c>
      <c r="G179" s="158">
        <f t="shared" ref="G179:G186" si="77">(G153*E153*$C$117*5010/1000000)</f>
        <v>604.59978599999999</v>
      </c>
      <c r="H179" s="156">
        <f t="shared" ref="H179:H186" si="78">(G140*E140*$C$117)*($C$118*1*8.2/($C$121*100000))</f>
        <v>1540.953225</v>
      </c>
      <c r="I179" s="156">
        <f t="shared" ref="I179:I186" si="79">(G140*E140*$C$117)*($C$119*1*8.2/($C$120*3412))</f>
        <v>21067.174677608444</v>
      </c>
      <c r="J179" s="156">
        <f t="shared" si="70"/>
        <v>2410.65</v>
      </c>
      <c r="K179" s="264">
        <f t="shared" ref="K179:K186" si="80">G140*E140*$C$117*5010/1000000</f>
        <v>1075.9826700000001</v>
      </c>
      <c r="L179" s="263">
        <f t="shared" si="71"/>
        <v>15</v>
      </c>
      <c r="M179" s="459">
        <f t="shared" ref="M179:M186" si="81">1/COUNT($K$165:$K$173)</f>
        <v>0.1111111111111111</v>
      </c>
      <c r="N179" s="156">
        <f t="shared" ref="N179:N186" si="82">J179</f>
        <v>2410.65</v>
      </c>
      <c r="O179" s="156">
        <f t="shared" ref="O179:O186" si="83">F179</f>
        <v>1387.9499999999998</v>
      </c>
      <c r="P179" s="264">
        <f t="shared" ref="P179:P186" si="84">N179-O179</f>
        <v>1022.7000000000003</v>
      </c>
      <c r="Q179" s="456">
        <f t="shared" ref="Q179:Q186" si="85">$P179*AVERAGE($C$129:$C$134)/$C$126/365</f>
        <v>6.3562024353120264E-2</v>
      </c>
      <c r="R179" s="269">
        <f t="shared" si="72"/>
        <v>16089.795918367347</v>
      </c>
      <c r="S179" s="269">
        <f t="shared" si="73"/>
        <v>1787.7551020408162</v>
      </c>
      <c r="T179" s="455">
        <f t="shared" si="74"/>
        <v>0.42424242424242437</v>
      </c>
      <c r="U179" s="457"/>
      <c r="V179" s="457"/>
      <c r="W179" s="458">
        <f t="shared" ref="W179:W186" si="86">I179+K179</f>
        <v>22143.157347608445</v>
      </c>
      <c r="X179" s="156">
        <f t="shared" ref="X179:X186" si="87">E179+G179</f>
        <v>12442.345557227602</v>
      </c>
      <c r="Y179" s="264">
        <f t="shared" ref="Y179:Y186" si="88">W179-X179</f>
        <v>9700.8117903808434</v>
      </c>
      <c r="Z179" s="456">
        <f t="shared" ref="Z179:Z186" si="89">$Y179*AVERAGE($C$129:$C$134)/$C$126/365</f>
        <v>0.60291701893538985</v>
      </c>
      <c r="AA179" s="269">
        <f t="shared" ref="AA179:AA186" si="90">IFERROR(Y179/Z179,99999999)</f>
        <v>16089.795918367347</v>
      </c>
      <c r="AB179" s="269"/>
      <c r="AC179" s="455"/>
      <c r="AD179" s="272"/>
      <c r="AE179" s="457"/>
      <c r="AF179" s="158">
        <f t="shared" ref="AF179:AF186" si="91">((W179+N179)*3412/1000000)+(H179/10)</f>
        <v>237.87291317004002</v>
      </c>
      <c r="AG179" s="158">
        <f t="shared" ref="AG179:AG186" si="92">(O179+X179)*3412/1000000</f>
        <v>47.188968441260577</v>
      </c>
      <c r="AH179" s="457">
        <f t="shared" ref="AH179:AH186" si="93">AF179-AG179</f>
        <v>190.68394472877944</v>
      </c>
      <c r="AI179" s="456"/>
      <c r="AJ179" s="269"/>
      <c r="AK179" s="269"/>
      <c r="AL179" s="455">
        <f t="shared" ref="AL179:AL186" si="94">AH179/AF179</f>
        <v>0.80162109332924247</v>
      </c>
      <c r="AM179" s="272">
        <f t="shared" si="75"/>
        <v>662</v>
      </c>
      <c r="AN179" s="272">
        <f t="shared" si="76"/>
        <v>3.4717133681160206</v>
      </c>
    </row>
    <row r="180" spans="2:40">
      <c r="B180" s="19" t="s">
        <v>1270</v>
      </c>
      <c r="C180" s="19" t="s">
        <v>1273</v>
      </c>
      <c r="D180" s="19" t="s">
        <v>203</v>
      </c>
      <c r="E180" s="156">
        <f t="shared" si="68"/>
        <v>11321.814962796374</v>
      </c>
      <c r="F180" s="158">
        <f t="shared" si="69"/>
        <v>9131.25</v>
      </c>
      <c r="G180" s="158">
        <f t="shared" si="77"/>
        <v>578.24919</v>
      </c>
      <c r="H180" s="156">
        <f t="shared" si="78"/>
        <v>1373.230425</v>
      </c>
      <c r="I180" s="156">
        <f t="shared" si="79"/>
        <v>18774.148862358546</v>
      </c>
      <c r="J180" s="156">
        <f t="shared" si="70"/>
        <v>9350.4</v>
      </c>
      <c r="K180" s="264">
        <f t="shared" si="80"/>
        <v>958.86891000000003</v>
      </c>
      <c r="L180" s="263">
        <f t="shared" si="71"/>
        <v>20</v>
      </c>
      <c r="M180" s="459">
        <f t="shared" si="81"/>
        <v>0.1111111111111111</v>
      </c>
      <c r="N180" s="156">
        <f t="shared" si="82"/>
        <v>9350.4</v>
      </c>
      <c r="O180" s="156">
        <f t="shared" si="83"/>
        <v>9131.25</v>
      </c>
      <c r="P180" s="264">
        <f t="shared" si="84"/>
        <v>219.14999999999964</v>
      </c>
      <c r="Q180" s="456">
        <f t="shared" si="85"/>
        <v>1.3620433789954317E-2</v>
      </c>
      <c r="R180" s="269">
        <f t="shared" si="72"/>
        <v>16089.795918367345</v>
      </c>
      <c r="S180" s="269">
        <f t="shared" si="73"/>
        <v>1787.7551020408159</v>
      </c>
      <c r="T180" s="455">
        <f t="shared" si="74"/>
        <v>2.3437499999999962E-2</v>
      </c>
      <c r="U180" s="457"/>
      <c r="V180" s="457"/>
      <c r="W180" s="458">
        <f t="shared" si="86"/>
        <v>19733.017772358548</v>
      </c>
      <c r="X180" s="156">
        <f t="shared" si="87"/>
        <v>11900.064152796374</v>
      </c>
      <c r="Y180" s="264">
        <f t="shared" si="88"/>
        <v>7832.9536195621731</v>
      </c>
      <c r="Z180" s="456">
        <f t="shared" si="89"/>
        <v>0.48682740659379314</v>
      </c>
      <c r="AA180" s="269">
        <f t="shared" si="90"/>
        <v>16089.795918367345</v>
      </c>
      <c r="AB180" s="269"/>
      <c r="AC180" s="455"/>
      <c r="AD180" s="272"/>
      <c r="AE180" s="457"/>
      <c r="AF180" s="158">
        <f t="shared" si="91"/>
        <v>236.55566393928734</v>
      </c>
      <c r="AG180" s="158">
        <f t="shared" si="92"/>
        <v>71.758843889341236</v>
      </c>
      <c r="AH180" s="457">
        <f t="shared" si="93"/>
        <v>164.79682004994612</v>
      </c>
      <c r="AI180" s="456"/>
      <c r="AJ180" s="269"/>
      <c r="AK180" s="269"/>
      <c r="AL180" s="455">
        <f t="shared" si="94"/>
        <v>0.6966513390786605</v>
      </c>
      <c r="AM180" s="272">
        <f t="shared" si="75"/>
        <v>0</v>
      </c>
      <c r="AN180" s="272">
        <f t="shared" si="76"/>
        <v>0</v>
      </c>
    </row>
    <row r="181" spans="2:40">
      <c r="B181" s="19" t="s">
        <v>1269</v>
      </c>
      <c r="C181" s="19" t="s">
        <v>1273</v>
      </c>
      <c r="D181" s="19" t="s">
        <v>203</v>
      </c>
      <c r="E181" s="156">
        <f t="shared" si="68"/>
        <v>11608.443189702612</v>
      </c>
      <c r="F181" s="158">
        <f t="shared" si="69"/>
        <v>12053.25</v>
      </c>
      <c r="G181" s="158">
        <f t="shared" si="77"/>
        <v>592.88841000000002</v>
      </c>
      <c r="H181" s="156">
        <f t="shared" si="78"/>
        <v>1635.2973</v>
      </c>
      <c r="I181" s="156">
        <f t="shared" si="79"/>
        <v>22357.001698686512</v>
      </c>
      <c r="J181" s="156">
        <f t="shared" si="70"/>
        <v>10957.5</v>
      </c>
      <c r="K181" s="264">
        <f t="shared" si="80"/>
        <v>1141.85916</v>
      </c>
      <c r="L181" s="263">
        <f t="shared" si="71"/>
        <v>20</v>
      </c>
      <c r="M181" s="459">
        <f t="shared" si="81"/>
        <v>0.1111111111111111</v>
      </c>
      <c r="N181" s="156">
        <f t="shared" si="82"/>
        <v>10957.5</v>
      </c>
      <c r="O181" s="156">
        <f t="shared" si="83"/>
        <v>12053.25</v>
      </c>
      <c r="P181" s="264">
        <f t="shared" si="84"/>
        <v>-1095.75</v>
      </c>
      <c r="Q181" s="456">
        <f t="shared" si="85"/>
        <v>-6.8102168949771696E-2</v>
      </c>
      <c r="R181" s="269">
        <f t="shared" si="72"/>
        <v>16089.795918367345</v>
      </c>
      <c r="S181" s="269">
        <f t="shared" si="73"/>
        <v>1787.7551020408159</v>
      </c>
      <c r="T181" s="455">
        <f t="shared" si="74"/>
        <v>-0.1</v>
      </c>
      <c r="U181" s="457"/>
      <c r="V181" s="457"/>
      <c r="W181" s="458">
        <f t="shared" si="86"/>
        <v>23498.860858686512</v>
      </c>
      <c r="X181" s="156">
        <f t="shared" si="87"/>
        <v>12201.331599702611</v>
      </c>
      <c r="Y181" s="264">
        <f t="shared" si="88"/>
        <v>11297.529258983901</v>
      </c>
      <c r="Z181" s="456">
        <f t="shared" si="89"/>
        <v>0.70215491335643232</v>
      </c>
      <c r="AA181" s="269">
        <f t="shared" si="90"/>
        <v>16089.795918367345</v>
      </c>
      <c r="AB181" s="269"/>
      <c r="AC181" s="455"/>
      <c r="AD181" s="272"/>
      <c r="AE181" s="457"/>
      <c r="AF181" s="158">
        <f t="shared" si="91"/>
        <v>281.09483324983842</v>
      </c>
      <c r="AG181" s="158">
        <f t="shared" si="92"/>
        <v>82.756632418185305</v>
      </c>
      <c r="AH181" s="457">
        <f t="shared" si="93"/>
        <v>198.33820083165313</v>
      </c>
      <c r="AI181" s="456"/>
      <c r="AJ181" s="269"/>
      <c r="AK181" s="269"/>
      <c r="AL181" s="455">
        <f t="shared" si="94"/>
        <v>0.70559176964796499</v>
      </c>
      <c r="AM181" s="272">
        <f t="shared" si="75"/>
        <v>970</v>
      </c>
      <c r="AN181" s="272">
        <f t="shared" si="76"/>
        <v>4.8906362764847469</v>
      </c>
    </row>
    <row r="182" spans="2:40">
      <c r="B182" s="19" t="s">
        <v>1272</v>
      </c>
      <c r="C182" s="19" t="s">
        <v>1267</v>
      </c>
      <c r="D182" s="19" t="s">
        <v>203</v>
      </c>
      <c r="E182" s="156">
        <f t="shared" si="68"/>
        <v>2310.9400794315384</v>
      </c>
      <c r="F182" s="158">
        <f t="shared" si="69"/>
        <v>2374.125</v>
      </c>
      <c r="G182" s="158">
        <f t="shared" si="77"/>
        <v>118.02871125</v>
      </c>
      <c r="H182" s="156">
        <f t="shared" si="78"/>
        <v>214.23967031250001</v>
      </c>
      <c r="I182" s="156">
        <f t="shared" si="79"/>
        <v>2928.9821936981125</v>
      </c>
      <c r="J182" s="156">
        <f t="shared" si="70"/>
        <v>4302.6450000000004</v>
      </c>
      <c r="K182" s="264">
        <f t="shared" si="80"/>
        <v>149.59452937500001</v>
      </c>
      <c r="L182" s="263">
        <f t="shared" si="71"/>
        <v>10</v>
      </c>
      <c r="M182" s="459">
        <f t="shared" si="81"/>
        <v>0.1111111111111111</v>
      </c>
      <c r="N182" s="156">
        <f t="shared" si="82"/>
        <v>4302.6450000000004</v>
      </c>
      <c r="O182" s="156">
        <f t="shared" si="83"/>
        <v>2374.125</v>
      </c>
      <c r="P182" s="264">
        <f t="shared" si="84"/>
        <v>1928.5200000000004</v>
      </c>
      <c r="Q182" s="456">
        <f t="shared" si="85"/>
        <v>0.11985981735159822</v>
      </c>
      <c r="R182" s="269">
        <f t="shared" si="72"/>
        <v>16089.795918367345</v>
      </c>
      <c r="S182" s="269">
        <f t="shared" si="73"/>
        <v>1787.7551020408159</v>
      </c>
      <c r="T182" s="455">
        <f t="shared" si="74"/>
        <v>0.44821731748726662</v>
      </c>
      <c r="U182" s="457"/>
      <c r="V182" s="457"/>
      <c r="W182" s="458">
        <f t="shared" si="86"/>
        <v>3078.5767230731126</v>
      </c>
      <c r="X182" s="156">
        <f t="shared" si="87"/>
        <v>2428.9687906815384</v>
      </c>
      <c r="Y182" s="264">
        <f t="shared" si="88"/>
        <v>649.6079323915742</v>
      </c>
      <c r="Z182" s="456">
        <f t="shared" si="89"/>
        <v>4.0373907517994856E-2</v>
      </c>
      <c r="AA182" s="269">
        <f t="shared" si="90"/>
        <v>16089.795918367343</v>
      </c>
      <c r="AB182" s="269"/>
      <c r="AC182" s="455"/>
      <c r="AD182" s="272"/>
      <c r="AE182" s="457"/>
      <c r="AF182" s="158">
        <f t="shared" si="91"/>
        <v>46.608695550375458</v>
      </c>
      <c r="AG182" s="158">
        <f t="shared" si="92"/>
        <v>16.388156013805407</v>
      </c>
      <c r="AH182" s="457">
        <f t="shared" si="93"/>
        <v>30.220539536570051</v>
      </c>
      <c r="AI182" s="456"/>
      <c r="AJ182" s="269"/>
      <c r="AK182" s="269"/>
      <c r="AL182" s="455">
        <f t="shared" si="94"/>
        <v>0.64838844296569476</v>
      </c>
      <c r="AM182" s="272">
        <f t="shared" si="75"/>
        <v>2025</v>
      </c>
      <c r="AN182" s="272">
        <f t="shared" si="76"/>
        <v>67.00740724862095</v>
      </c>
    </row>
    <row r="183" spans="2:40">
      <c r="B183" s="19" t="s">
        <v>1271</v>
      </c>
      <c r="C183" s="19" t="s">
        <v>1267</v>
      </c>
      <c r="D183" s="19" t="s">
        <v>203</v>
      </c>
      <c r="E183" s="156">
        <f t="shared" si="68"/>
        <v>8928.4692681292927</v>
      </c>
      <c r="F183" s="158">
        <f t="shared" si="69"/>
        <v>2897.6499999999996</v>
      </c>
      <c r="G183" s="158">
        <f t="shared" si="77"/>
        <v>456.01170300000001</v>
      </c>
      <c r="H183" s="156">
        <f t="shared" si="78"/>
        <v>946.58555249999995</v>
      </c>
      <c r="I183" s="156">
        <f t="shared" si="79"/>
        <v>12941.264444816614</v>
      </c>
      <c r="J183" s="156">
        <f t="shared" si="70"/>
        <v>4236.8999999999996</v>
      </c>
      <c r="K183" s="264">
        <f t="shared" si="80"/>
        <v>660.96078299999999</v>
      </c>
      <c r="L183" s="263">
        <f t="shared" si="71"/>
        <v>15</v>
      </c>
      <c r="M183" s="459">
        <f t="shared" si="81"/>
        <v>0.1111111111111111</v>
      </c>
      <c r="N183" s="156">
        <f t="shared" si="82"/>
        <v>4236.8999999999996</v>
      </c>
      <c r="O183" s="156">
        <f t="shared" si="83"/>
        <v>2897.6499999999996</v>
      </c>
      <c r="P183" s="264">
        <f t="shared" si="84"/>
        <v>1339.25</v>
      </c>
      <c r="Q183" s="456">
        <f t="shared" si="85"/>
        <v>8.3235984271943189E-2</v>
      </c>
      <c r="R183" s="269">
        <f t="shared" si="72"/>
        <v>16089.795918367345</v>
      </c>
      <c r="S183" s="269">
        <f t="shared" si="73"/>
        <v>1787.7551020408159</v>
      </c>
      <c r="T183" s="455">
        <f t="shared" si="74"/>
        <v>0.31609195402298851</v>
      </c>
      <c r="U183" s="457"/>
      <c r="V183" s="457"/>
      <c r="W183" s="458">
        <f t="shared" si="86"/>
        <v>13602.225227816614</v>
      </c>
      <c r="X183" s="156">
        <f t="shared" si="87"/>
        <v>9384.4809711292928</v>
      </c>
      <c r="Y183" s="264">
        <f t="shared" si="88"/>
        <v>4217.7442566873215</v>
      </c>
      <c r="Z183" s="456">
        <f t="shared" si="89"/>
        <v>0.26213783431973464</v>
      </c>
      <c r="AA183" s="269">
        <f t="shared" si="90"/>
        <v>16089.795918367345</v>
      </c>
      <c r="AB183" s="269"/>
      <c r="AC183" s="455"/>
      <c r="AD183" s="272"/>
      <c r="AE183" s="457"/>
      <c r="AF183" s="158">
        <f t="shared" si="91"/>
        <v>155.52565052731029</v>
      </c>
      <c r="AG183" s="158">
        <f t="shared" si="92"/>
        <v>41.906630873493143</v>
      </c>
      <c r="AH183" s="457">
        <f t="shared" si="93"/>
        <v>113.61901965381715</v>
      </c>
      <c r="AI183" s="456"/>
      <c r="AJ183" s="269"/>
      <c r="AK183" s="269"/>
      <c r="AL183" s="455">
        <f t="shared" si="94"/>
        <v>0.73054842894783878</v>
      </c>
      <c r="AM183" s="272">
        <f t="shared" si="75"/>
        <v>995</v>
      </c>
      <c r="AN183" s="272">
        <f t="shared" si="76"/>
        <v>8.7573366064206475</v>
      </c>
    </row>
    <row r="184" spans="2:40">
      <c r="B184" s="19" t="s">
        <v>1270</v>
      </c>
      <c r="C184" s="19" t="s">
        <v>1267</v>
      </c>
      <c r="D184" s="19" t="s">
        <v>203</v>
      </c>
      <c r="E184" s="156">
        <f t="shared" si="68"/>
        <v>10031.987941718307</v>
      </c>
      <c r="F184" s="158">
        <f t="shared" si="69"/>
        <v>9131.25</v>
      </c>
      <c r="G184" s="158">
        <f t="shared" si="77"/>
        <v>512.37270000000001</v>
      </c>
      <c r="H184" s="156">
        <f t="shared" si="78"/>
        <v>911.99272499999995</v>
      </c>
      <c r="I184" s="156">
        <f t="shared" si="79"/>
        <v>12468.327870421324</v>
      </c>
      <c r="J184" s="156">
        <f t="shared" si="70"/>
        <v>11278.92</v>
      </c>
      <c r="K184" s="264">
        <f t="shared" si="80"/>
        <v>636.80606999999998</v>
      </c>
      <c r="L184" s="263">
        <f t="shared" si="71"/>
        <v>20</v>
      </c>
      <c r="M184" s="459">
        <f t="shared" si="81"/>
        <v>0.1111111111111111</v>
      </c>
      <c r="N184" s="156">
        <f t="shared" si="82"/>
        <v>11278.92</v>
      </c>
      <c r="O184" s="156">
        <f t="shared" si="83"/>
        <v>9131.25</v>
      </c>
      <c r="P184" s="264">
        <f t="shared" si="84"/>
        <v>2147.67</v>
      </c>
      <c r="Q184" s="456">
        <f t="shared" si="85"/>
        <v>0.13348025114155251</v>
      </c>
      <c r="R184" s="269">
        <f t="shared" si="72"/>
        <v>16089.795918367347</v>
      </c>
      <c r="S184" s="269">
        <f t="shared" si="73"/>
        <v>1787.7551020408162</v>
      </c>
      <c r="T184" s="455">
        <f t="shared" si="74"/>
        <v>0.19041450777202074</v>
      </c>
      <c r="U184" s="457"/>
      <c r="V184" s="457"/>
      <c r="W184" s="458">
        <f t="shared" si="86"/>
        <v>13105.133940421325</v>
      </c>
      <c r="X184" s="156">
        <f t="shared" si="87"/>
        <v>10544.360641718307</v>
      </c>
      <c r="Y184" s="264">
        <f t="shared" si="88"/>
        <v>2560.7732987030176</v>
      </c>
      <c r="Z184" s="456">
        <f t="shared" si="89"/>
        <v>0.15915511369412463</v>
      </c>
      <c r="AA184" s="269">
        <f t="shared" si="90"/>
        <v>16089.795918367347</v>
      </c>
      <c r="AB184" s="269"/>
      <c r="AC184" s="455"/>
      <c r="AD184" s="272"/>
      <c r="AE184" s="457"/>
      <c r="AF184" s="158">
        <f t="shared" si="91"/>
        <v>174.39766454471754</v>
      </c>
      <c r="AG184" s="158">
        <f t="shared" si="92"/>
        <v>67.133183509542874</v>
      </c>
      <c r="AH184" s="457">
        <f t="shared" si="93"/>
        <v>107.26448103517467</v>
      </c>
      <c r="AI184" s="456"/>
      <c r="AJ184" s="269"/>
      <c r="AK184" s="269"/>
      <c r="AL184" s="455">
        <f t="shared" si="94"/>
        <v>0.61505686624416256</v>
      </c>
      <c r="AM184" s="272">
        <f t="shared" si="75"/>
        <v>2050</v>
      </c>
      <c r="AN184" s="272">
        <f t="shared" si="76"/>
        <v>19.111638635791792</v>
      </c>
    </row>
    <row r="185" spans="2:40">
      <c r="B185" s="19" t="s">
        <v>1269</v>
      </c>
      <c r="C185" s="19" t="s">
        <v>1267</v>
      </c>
      <c r="D185" s="19" t="s">
        <v>203</v>
      </c>
      <c r="E185" s="156">
        <f t="shared" si="68"/>
        <v>11608.443189702612</v>
      </c>
      <c r="F185" s="158">
        <f t="shared" si="69"/>
        <v>14062.125</v>
      </c>
      <c r="G185" s="158">
        <f t="shared" si="77"/>
        <v>592.88841000000002</v>
      </c>
      <c r="H185" s="156">
        <f t="shared" si="78"/>
        <v>1525.2292124999999</v>
      </c>
      <c r="I185" s="156">
        <f t="shared" si="79"/>
        <v>20852.203507428767</v>
      </c>
      <c r="J185" s="156">
        <f t="shared" si="70"/>
        <v>15135.96</v>
      </c>
      <c r="K185" s="264">
        <f t="shared" si="80"/>
        <v>1065.0032550000001</v>
      </c>
      <c r="L185" s="263">
        <f t="shared" si="71"/>
        <v>20</v>
      </c>
      <c r="M185" s="459">
        <f t="shared" si="81"/>
        <v>0.1111111111111111</v>
      </c>
      <c r="N185" s="156">
        <f t="shared" si="82"/>
        <v>15135.96</v>
      </c>
      <c r="O185" s="156">
        <f t="shared" si="83"/>
        <v>14062.125</v>
      </c>
      <c r="P185" s="264">
        <f t="shared" si="84"/>
        <v>1073.8349999999991</v>
      </c>
      <c r="Q185" s="456">
        <f t="shared" si="85"/>
        <v>6.6740125570776215E-2</v>
      </c>
      <c r="R185" s="269">
        <f t="shared" si="72"/>
        <v>16089.795918367343</v>
      </c>
      <c r="S185" s="269">
        <f t="shared" si="73"/>
        <v>1787.7551020408157</v>
      </c>
      <c r="T185" s="455">
        <f t="shared" si="74"/>
        <v>7.0945945945945887E-2</v>
      </c>
      <c r="U185" s="457"/>
      <c r="V185" s="457"/>
      <c r="W185" s="458">
        <f t="shared" si="86"/>
        <v>21917.206762428767</v>
      </c>
      <c r="X185" s="156">
        <f t="shared" si="87"/>
        <v>12201.331599702611</v>
      </c>
      <c r="Y185" s="264">
        <f t="shared" si="88"/>
        <v>9715.8751627261554</v>
      </c>
      <c r="Z185" s="456">
        <f t="shared" si="89"/>
        <v>0.60385322548653186</v>
      </c>
      <c r="AA185" s="269">
        <f t="shared" si="90"/>
        <v>16089.795918367343</v>
      </c>
      <c r="AB185" s="269"/>
      <c r="AC185" s="455"/>
      <c r="AD185" s="272"/>
      <c r="AE185" s="457"/>
      <c r="AF185" s="158">
        <f t="shared" si="91"/>
        <v>278.94832624340694</v>
      </c>
      <c r="AG185" s="158">
        <f t="shared" si="92"/>
        <v>89.610913918185304</v>
      </c>
      <c r="AH185" s="457">
        <f t="shared" si="93"/>
        <v>189.33741232522164</v>
      </c>
      <c r="AI185" s="456"/>
      <c r="AJ185" s="269"/>
      <c r="AK185" s="269"/>
      <c r="AL185" s="455">
        <f t="shared" si="94"/>
        <v>0.67875443052491413</v>
      </c>
      <c r="AM185" s="272">
        <f t="shared" si="75"/>
        <v>970</v>
      </c>
      <c r="AN185" s="272">
        <f t="shared" si="76"/>
        <v>5.1231290640744982</v>
      </c>
    </row>
    <row r="186" spans="2:40">
      <c r="B186" s="19" t="s">
        <v>1268</v>
      </c>
      <c r="C186" s="19" t="s">
        <v>1267</v>
      </c>
      <c r="D186" s="19" t="s">
        <v>203</v>
      </c>
      <c r="E186" s="156">
        <f t="shared" si="68"/>
        <v>5818.5530061966165</v>
      </c>
      <c r="F186" s="158">
        <f t="shared" si="69"/>
        <v>2775.8999999999996</v>
      </c>
      <c r="G186" s="158">
        <f t="shared" si="77"/>
        <v>297.17616599999997</v>
      </c>
      <c r="H186" s="156">
        <f t="shared" si="78"/>
        <v>513.65107499999999</v>
      </c>
      <c r="I186" s="156">
        <f t="shared" si="79"/>
        <v>7022.3915592028143</v>
      </c>
      <c r="J186" s="156">
        <f t="shared" si="70"/>
        <v>1753.2</v>
      </c>
      <c r="K186" s="264">
        <f t="shared" si="80"/>
        <v>358.66088999999999</v>
      </c>
      <c r="L186" s="263">
        <f t="shared" si="71"/>
        <v>10</v>
      </c>
      <c r="M186" s="459">
        <f t="shared" si="81"/>
        <v>0.1111111111111111</v>
      </c>
      <c r="N186" s="156">
        <f t="shared" si="82"/>
        <v>1753.2</v>
      </c>
      <c r="O186" s="156">
        <f t="shared" si="83"/>
        <v>2775.8999999999996</v>
      </c>
      <c r="P186" s="264">
        <f t="shared" si="84"/>
        <v>-1022.6999999999996</v>
      </c>
      <c r="Q186" s="456">
        <f t="shared" si="85"/>
        <v>-6.3562024353120222E-2</v>
      </c>
      <c r="R186" s="269">
        <f t="shared" si="72"/>
        <v>16089.795918367347</v>
      </c>
      <c r="S186" s="269">
        <f t="shared" si="73"/>
        <v>1787.7551020408162</v>
      </c>
      <c r="T186" s="455">
        <f t="shared" si="74"/>
        <v>-0.58333333333333304</v>
      </c>
      <c r="U186" s="457"/>
      <c r="V186" s="457"/>
      <c r="W186" s="458">
        <f t="shared" si="86"/>
        <v>7381.0524492028144</v>
      </c>
      <c r="X186" s="156">
        <f t="shared" si="87"/>
        <v>6115.7291721966167</v>
      </c>
      <c r="Y186" s="264">
        <f t="shared" si="88"/>
        <v>1265.3232770061977</v>
      </c>
      <c r="Z186" s="456">
        <f t="shared" si="89"/>
        <v>7.8641350295920467E-2</v>
      </c>
      <c r="AA186" s="269">
        <f t="shared" si="90"/>
        <v>16089.795918367345</v>
      </c>
      <c r="AB186" s="269"/>
      <c r="AC186" s="455"/>
      <c r="AD186" s="272"/>
      <c r="AE186" s="457"/>
      <c r="AF186" s="158">
        <f t="shared" si="91"/>
        <v>82.531176856680005</v>
      </c>
      <c r="AG186" s="158">
        <f t="shared" si="92"/>
        <v>30.338238735534851</v>
      </c>
      <c r="AH186" s="457">
        <f t="shared" si="93"/>
        <v>52.192938121145154</v>
      </c>
      <c r="AI186" s="456"/>
      <c r="AJ186" s="269"/>
      <c r="AK186" s="269"/>
      <c r="AL186" s="455">
        <f t="shared" si="94"/>
        <v>0.63240268840199754</v>
      </c>
      <c r="AM186" s="272">
        <f t="shared" si="75"/>
        <v>1710</v>
      </c>
      <c r="AN186" s="272">
        <f t="shared" si="76"/>
        <v>32.763053040449932</v>
      </c>
    </row>
    <row r="187" spans="2:40">
      <c r="B187" s="26"/>
      <c r="C187" s="7" t="s">
        <v>0</v>
      </c>
      <c r="D187" s="7"/>
      <c r="E187" s="103">
        <f t="shared" ref="E187:L187" si="95">SUMPRODUCT(E178:E186,$L$165:$L$173)</f>
        <v>8518.2326183697405</v>
      </c>
      <c r="F187" s="103">
        <f t="shared" si="95"/>
        <v>6243.0694444444434</v>
      </c>
      <c r="G187" s="103">
        <f t="shared" si="95"/>
        <v>435.05931937499997</v>
      </c>
      <c r="H187" s="103">
        <f t="shared" si="95"/>
        <v>1000.134550625</v>
      </c>
      <c r="I187" s="103">
        <f t="shared" si="95"/>
        <v>13673.360707706297</v>
      </c>
      <c r="J187" s="103">
        <f t="shared" si="95"/>
        <v>6917.4291666666659</v>
      </c>
      <c r="K187" s="103">
        <f t="shared" si="95"/>
        <v>698.35179075000008</v>
      </c>
      <c r="L187" s="103">
        <f t="shared" si="95"/>
        <v>15.555555555555554</v>
      </c>
      <c r="M187" s="454">
        <f>SUM(M178:M186)</f>
        <v>1.0000000000000002</v>
      </c>
      <c r="N187" s="103">
        <f>SUMPRODUCT(N178:N186,$L$165:$L$173)</f>
        <v>6917.4291666666659</v>
      </c>
      <c r="O187" s="103">
        <f>SUMPRODUCT(O178:O186,$L$165:$L$173)</f>
        <v>6243.0694444444434</v>
      </c>
      <c r="P187" s="103">
        <f>SUMPRODUCT(P178:P186,$L$165:$L$173)</f>
        <v>674.35972222222222</v>
      </c>
      <c r="Q187" s="452">
        <f>SUMPRODUCT(Q178:Q186,$L$165:$L$173)</f>
        <v>4.1912260767236038E-2</v>
      </c>
      <c r="R187" s="451">
        <f>P187/Q187</f>
        <v>16089.795918367345</v>
      </c>
      <c r="S187" s="450">
        <f>R187</f>
        <v>16089.795918367345</v>
      </c>
      <c r="T187" s="106">
        <f t="shared" ref="T187:Z187" si="96">SUMPRODUCT(T178:T186,$L$165:$L$173)</f>
        <v>0.10570073763532871</v>
      </c>
      <c r="U187" s="449">
        <f t="shared" si="96"/>
        <v>0</v>
      </c>
      <c r="V187" s="107">
        <f t="shared" si="96"/>
        <v>0</v>
      </c>
      <c r="W187" s="453">
        <f t="shared" si="96"/>
        <v>14371.712498456296</v>
      </c>
      <c r="X187" s="103">
        <f t="shared" si="96"/>
        <v>8953.2919377447397</v>
      </c>
      <c r="Y187" s="103">
        <f t="shared" si="96"/>
        <v>5418.4205607115564</v>
      </c>
      <c r="Z187" s="452">
        <f t="shared" si="96"/>
        <v>0.33676129816700451</v>
      </c>
      <c r="AA187" s="451">
        <f>Y187/Z187</f>
        <v>16089.795918367341</v>
      </c>
      <c r="AB187" s="450">
        <f>SUM(AB178:AB186)</f>
        <v>0</v>
      </c>
      <c r="AC187" s="106">
        <f t="shared" ref="AC187:AH187" si="97">SUMPRODUCT(AC178:AC186,$L$165:$L$173)</f>
        <v>0</v>
      </c>
      <c r="AD187" s="449">
        <f t="shared" si="97"/>
        <v>0</v>
      </c>
      <c r="AE187" s="107">
        <f t="shared" si="97"/>
        <v>0</v>
      </c>
      <c r="AF187" s="107">
        <f t="shared" si="97"/>
        <v>172.65200642389954</v>
      </c>
      <c r="AG187" s="107">
        <f t="shared" si="97"/>
        <v>51.849985036029494</v>
      </c>
      <c r="AH187" s="107">
        <f t="shared" si="97"/>
        <v>120.80202138787006</v>
      </c>
      <c r="AI187" s="452"/>
      <c r="AJ187" s="451"/>
      <c r="AK187" s="450"/>
      <c r="AL187" s="106">
        <f>SUMPRODUCT(AL178:AL186,$L$165:$L$173)</f>
        <v>0.68718639589716801</v>
      </c>
      <c r="AM187" s="449">
        <f>SUMPRODUCT(AM178:AM186,$L$165:$L$173)</f>
        <v>1068.4444444444446</v>
      </c>
      <c r="AN187" s="449">
        <f t="shared" si="76"/>
        <v>8.8445907789398053</v>
      </c>
    </row>
    <row r="188" spans="2:40">
      <c r="B188" s="26"/>
    </row>
    <row r="189" spans="2:40">
      <c r="B189" s="26"/>
    </row>
    <row r="190" spans="2:40">
      <c r="B190" s="26"/>
    </row>
    <row r="191" spans="2:40">
      <c r="B191" s="26"/>
    </row>
  </sheetData>
  <dataValidations disablePrompts="1" count="5">
    <dataValidation type="list" allowBlank="1" showInputMessage="1" showErrorMessage="1" sqref="C59:L59" xr:uid="{00000000-0002-0000-8F00-000004000000}">
      <formula1>$N$19:$AQ$19</formula1>
    </dataValidation>
    <dataValidation type="list" allowBlank="1" showInputMessage="1" showErrorMessage="1" sqref="E11:E20" xr:uid="{00000000-0002-0000-8F00-000003000000}">
      <formula1>$N$16:$O$16</formula1>
    </dataValidation>
    <dataValidation type="list" allowBlank="1" showInputMessage="1" showErrorMessage="1" sqref="D11:D20" xr:uid="{00000000-0002-0000-8F00-000002000000}">
      <formula1>$N$22:$AE$22</formula1>
    </dataValidation>
    <dataValidation type="list" allowBlank="1" showInputMessage="1" showErrorMessage="1" sqref="B11:C20" xr:uid="{00000000-0002-0000-8F00-000001000000}">
      <formula1>$N$7:$Q$7</formula1>
    </dataValidation>
    <dataValidation type="list" allowBlank="1" showInputMessage="1" showErrorMessage="1" sqref="D7" xr:uid="{00000000-0002-0000-8F00-000000000000}">
      <formula1>$N$11:$O$11</formula1>
    </dataValidation>
  </dataValidations>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8D7A-93B3-4C0E-918E-B5542B64667C}">
  <sheetPr codeName="Sheet13">
    <tabColor rgb="FF00FFFF"/>
  </sheetPr>
  <dimension ref="A1:AQ144"/>
  <sheetViews>
    <sheetView topLeftCell="A21" zoomScale="80" zoomScaleNormal="80" workbookViewId="0">
      <selection activeCell="D7" sqref="D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Dehumidifier</v>
      </c>
      <c r="C7" s="98" t="s">
        <v>320</v>
      </c>
      <c r="D7" s="97" t="s">
        <v>211</v>
      </c>
      <c r="E7" s="97">
        <f>C118</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Dehumidifier_CI, E - Appl (MD)</v>
      </c>
      <c r="J11" s="83" t="str">
        <f t="shared" ref="J11:J20" si="3">IF(B11="","",CONCATENATE($C$7,IF(C11="","",CONCATENATE(" with ",C11," Secondary Fuel"))))</f>
        <v>ENERGY STAR Dehumidifier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Dehumidifier_CI,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Dehumidifier_CI,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ES Dehumidifier_CI,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318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317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(J136+J144)/2</f>
        <v>177.60380358556864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(F127+G127)/2</f>
        <v>42.5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(L136+L144)/2</f>
        <v>0.23839219382327723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Dehumidifier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t="s">
        <v>316</v>
      </c>
    </row>
    <row r="109" spans="1:22">
      <c r="B109" s="62" t="s">
        <v>315</v>
      </c>
    </row>
    <row r="110" spans="1:22">
      <c r="B110" s="1" t="s">
        <v>314</v>
      </c>
    </row>
    <row r="111" spans="1:22">
      <c r="B111" s="58" t="s">
        <v>46</v>
      </c>
      <c r="C111" s="58" t="s">
        <v>45</v>
      </c>
      <c r="D111" s="58" t="s">
        <v>44</v>
      </c>
      <c r="E111" s="58" t="s">
        <v>43</v>
      </c>
    </row>
    <row r="112" spans="1:22">
      <c r="B112" s="57" t="s">
        <v>313</v>
      </c>
      <c r="C112" s="57" t="s">
        <v>35</v>
      </c>
      <c r="D112" s="57" t="s">
        <v>303</v>
      </c>
      <c r="E112" s="57" t="s">
        <v>312</v>
      </c>
    </row>
    <row r="113" spans="2:9">
      <c r="B113" s="57" t="s">
        <v>311</v>
      </c>
      <c r="C113" s="57">
        <v>0.47299999999999998</v>
      </c>
      <c r="D113" s="57" t="s">
        <v>303</v>
      </c>
      <c r="E113" s="57" t="s">
        <v>310</v>
      </c>
    </row>
    <row r="114" spans="2:9">
      <c r="B114" s="57" t="s">
        <v>309</v>
      </c>
      <c r="C114" s="181">
        <v>2200</v>
      </c>
      <c r="D114" s="57" t="s">
        <v>303</v>
      </c>
      <c r="E114" s="57" t="s">
        <v>308</v>
      </c>
    </row>
    <row r="115" spans="2:9">
      <c r="B115" s="57" t="s">
        <v>291</v>
      </c>
      <c r="C115" s="57" t="s">
        <v>35</v>
      </c>
      <c r="D115" s="57" t="s">
        <v>303</v>
      </c>
      <c r="E115" s="57" t="s">
        <v>307</v>
      </c>
    </row>
    <row r="116" spans="2:9">
      <c r="B116" s="57" t="s">
        <v>290</v>
      </c>
      <c r="C116" s="57" t="s">
        <v>35</v>
      </c>
      <c r="D116" s="57" t="s">
        <v>303</v>
      </c>
      <c r="E116" s="57" t="s">
        <v>306</v>
      </c>
    </row>
    <row r="117" spans="2:9">
      <c r="B117" s="57" t="s">
        <v>34</v>
      </c>
      <c r="C117" s="181">
        <v>0.5</v>
      </c>
      <c r="D117" s="57" t="s">
        <v>303</v>
      </c>
      <c r="E117" s="57" t="s">
        <v>33</v>
      </c>
    </row>
    <row r="118" spans="2:9">
      <c r="B118" s="57" t="s">
        <v>305</v>
      </c>
      <c r="C118" s="57">
        <v>12</v>
      </c>
      <c r="D118" s="57" t="s">
        <v>303</v>
      </c>
      <c r="E118" s="57" t="s">
        <v>304</v>
      </c>
    </row>
    <row r="119" spans="2:9">
      <c r="B119" s="57" t="s">
        <v>9</v>
      </c>
      <c r="C119" s="180" t="s">
        <v>35</v>
      </c>
      <c r="D119" s="57" t="s">
        <v>303</v>
      </c>
      <c r="E119" s="57"/>
    </row>
    <row r="120" spans="2:9">
      <c r="B120" s="58"/>
      <c r="C120" s="58"/>
      <c r="D120" s="58"/>
      <c r="E120" s="58"/>
    </row>
    <row r="121" spans="2:9">
      <c r="B121" s="179" t="s">
        <v>30</v>
      </c>
      <c r="C121" s="178"/>
      <c r="D121" s="178"/>
      <c r="E121" s="178"/>
      <c r="F121" s="178"/>
      <c r="G121" s="177"/>
      <c r="H121" s="26"/>
      <c r="I121" s="26"/>
    </row>
    <row r="122" spans="2:9">
      <c r="B122" s="176" t="s">
        <v>302</v>
      </c>
      <c r="C122" s="175"/>
      <c r="D122" s="175"/>
      <c r="E122" s="174" t="s">
        <v>291</v>
      </c>
      <c r="F122" s="174" t="s">
        <v>290</v>
      </c>
      <c r="G122" s="173" t="s">
        <v>290</v>
      </c>
      <c r="H122" s="26"/>
      <c r="I122" s="26"/>
    </row>
    <row r="123" spans="2:9">
      <c r="B123" s="167" t="s">
        <v>301</v>
      </c>
      <c r="C123" s="172" t="s">
        <v>300</v>
      </c>
      <c r="D123" s="172" t="s">
        <v>299</v>
      </c>
      <c r="E123" s="172" t="s">
        <v>298</v>
      </c>
      <c r="F123" s="172" t="s">
        <v>297</v>
      </c>
      <c r="G123" s="171" t="s">
        <v>296</v>
      </c>
      <c r="H123" s="170"/>
      <c r="I123" s="26"/>
    </row>
    <row r="124" spans="2:9">
      <c r="B124" s="169">
        <v>1</v>
      </c>
      <c r="C124" s="166">
        <v>0</v>
      </c>
      <c r="D124" s="166">
        <v>25</v>
      </c>
      <c r="E124" s="166">
        <v>1.3</v>
      </c>
      <c r="F124" s="166">
        <v>1.57</v>
      </c>
      <c r="G124" s="168">
        <v>1.7</v>
      </c>
      <c r="H124" s="163"/>
      <c r="I124" s="26"/>
    </row>
    <row r="125" spans="2:9">
      <c r="B125" s="169">
        <v>2</v>
      </c>
      <c r="C125" s="166">
        <v>25.01</v>
      </c>
      <c r="D125" s="166">
        <v>50</v>
      </c>
      <c r="E125" s="166">
        <v>1.6</v>
      </c>
      <c r="F125" s="166">
        <v>1.8</v>
      </c>
      <c r="G125" s="168">
        <v>1.9</v>
      </c>
      <c r="H125" s="163"/>
      <c r="I125" s="26"/>
    </row>
    <row r="126" spans="2:9">
      <c r="B126" s="169">
        <v>3</v>
      </c>
      <c r="C126" s="166">
        <v>50.01</v>
      </c>
      <c r="D126" s="166">
        <v>155</v>
      </c>
      <c r="E126" s="166">
        <v>2.8</v>
      </c>
      <c r="F126" s="166">
        <v>3.3</v>
      </c>
      <c r="G126" s="168">
        <v>3.4</v>
      </c>
      <c r="H126" s="163"/>
      <c r="I126" s="26"/>
    </row>
    <row r="127" spans="2:9">
      <c r="B127" s="167" t="s">
        <v>295</v>
      </c>
      <c r="C127" s="166"/>
      <c r="D127" s="166"/>
      <c r="E127" s="166"/>
      <c r="F127" s="165">
        <v>10</v>
      </c>
      <c r="G127" s="164">
        <v>75</v>
      </c>
      <c r="H127" s="163"/>
      <c r="I127" s="26"/>
    </row>
    <row r="128" spans="2:9">
      <c r="B128" s="162"/>
      <c r="C128" s="161"/>
      <c r="D128" s="161"/>
      <c r="E128" s="160"/>
      <c r="F128" s="160"/>
      <c r="G128" s="159"/>
      <c r="H128" s="26"/>
      <c r="I128" s="26"/>
    </row>
    <row r="129" spans="2:17">
      <c r="B129" s="26"/>
      <c r="C129" s="2"/>
      <c r="D129" s="26"/>
      <c r="E129" s="26"/>
      <c r="F129" s="26"/>
      <c r="G129" s="26"/>
      <c r="H129" s="26"/>
      <c r="I129" s="26"/>
    </row>
    <row r="130" spans="2:17">
      <c r="B130" s="21" t="s">
        <v>294</v>
      </c>
      <c r="C130" s="21"/>
      <c r="D130" s="21"/>
      <c r="E130" s="21"/>
      <c r="F130" s="21"/>
      <c r="G130" s="21"/>
      <c r="H130" s="21"/>
      <c r="I130" s="21"/>
      <c r="J130" s="21"/>
      <c r="K130" s="21"/>
      <c r="L130" s="21"/>
      <c r="M130" s="697" t="s">
        <v>7</v>
      </c>
      <c r="Q130" s="27"/>
    </row>
    <row r="131" spans="2:17" ht="26.25">
      <c r="B131" s="21" t="s">
        <v>292</v>
      </c>
      <c r="C131" s="21" t="s">
        <v>291</v>
      </c>
      <c r="D131" s="21" t="s">
        <v>290</v>
      </c>
      <c r="E131" s="21" t="s">
        <v>289</v>
      </c>
      <c r="F131" s="114" t="s">
        <v>246</v>
      </c>
      <c r="G131" s="21" t="s">
        <v>245</v>
      </c>
      <c r="H131" s="21" t="s">
        <v>288</v>
      </c>
      <c r="I131" s="21" t="s">
        <v>287</v>
      </c>
      <c r="J131" s="21" t="s">
        <v>286</v>
      </c>
      <c r="K131" s="21" t="s">
        <v>244</v>
      </c>
      <c r="L131" s="114" t="s">
        <v>242</v>
      </c>
      <c r="M131" s="697"/>
      <c r="Q131" s="27"/>
    </row>
    <row r="132" spans="2:17">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c r="B136" s="153">
        <f t="shared" ref="B136:L136" si="26">SUMPRODUCT($M$132:$M$134,B132:B134)</f>
        <v>53.333333333333329</v>
      </c>
      <c r="C136" s="153">
        <f t="shared" si="26"/>
        <v>1.9</v>
      </c>
      <c r="D136" s="153">
        <f t="shared" si="26"/>
        <v>2.333333333333333</v>
      </c>
      <c r="E136" s="153">
        <f t="shared" si="26"/>
        <v>199.16869275966118</v>
      </c>
      <c r="F136" s="153">
        <f t="shared" si="26"/>
        <v>4.526561199083208E-2</v>
      </c>
      <c r="G136" s="153">
        <f t="shared" si="26"/>
        <v>9.0531223981664161E-2</v>
      </c>
      <c r="H136" s="153">
        <f t="shared" si="26"/>
        <v>1090.1623073107448</v>
      </c>
      <c r="I136" s="153">
        <f t="shared" si="26"/>
        <v>890.99361455108351</v>
      </c>
      <c r="J136" s="153">
        <f t="shared" si="26"/>
        <v>199.16869275966121</v>
      </c>
      <c r="K136" s="153">
        <f t="shared" si="26"/>
        <v>0.18988648090815272</v>
      </c>
      <c r="L136" s="153">
        <f t="shared" si="26"/>
        <v>0.4043449760847791</v>
      </c>
      <c r="M136" s="105"/>
      <c r="N136" s="26"/>
      <c r="O136" s="27"/>
      <c r="P136" s="27"/>
      <c r="Q136" s="27"/>
    </row>
    <row r="137" spans="2:17">
      <c r="B137" s="26"/>
      <c r="C137" s="26"/>
      <c r="D137" s="26"/>
      <c r="E137" s="26"/>
      <c r="F137" s="26"/>
      <c r="G137" s="26"/>
      <c r="H137" s="26"/>
      <c r="I137" s="26"/>
      <c r="J137" s="26"/>
      <c r="K137" s="26"/>
      <c r="L137" s="26"/>
      <c r="M137" s="26"/>
      <c r="N137" s="26"/>
      <c r="O137" s="27"/>
      <c r="P137" s="27"/>
      <c r="Q137" s="27"/>
    </row>
    <row r="138" spans="2:17">
      <c r="B138" s="21" t="s">
        <v>293</v>
      </c>
      <c r="C138" s="21"/>
      <c r="D138" s="21"/>
      <c r="E138" s="21"/>
      <c r="F138" s="21"/>
      <c r="G138" s="21"/>
      <c r="H138" s="21"/>
      <c r="I138" s="21"/>
      <c r="J138" s="21"/>
      <c r="K138" s="21"/>
      <c r="L138" s="21"/>
      <c r="M138" s="697" t="s">
        <v>7</v>
      </c>
      <c r="N138" s="26"/>
      <c r="O138" s="27"/>
      <c r="P138" s="27"/>
      <c r="Q138" s="27"/>
    </row>
    <row r="139" spans="2:17" ht="26.25">
      <c r="B139" s="21" t="s">
        <v>292</v>
      </c>
      <c r="C139" s="21" t="s">
        <v>291</v>
      </c>
      <c r="D139" s="21" t="s">
        <v>290</v>
      </c>
      <c r="E139" s="21" t="s">
        <v>289</v>
      </c>
      <c r="F139" s="114" t="s">
        <v>246</v>
      </c>
      <c r="G139" s="21" t="s">
        <v>245</v>
      </c>
      <c r="H139" s="21" t="s">
        <v>288</v>
      </c>
      <c r="I139" s="21" t="s">
        <v>287</v>
      </c>
      <c r="J139" s="21" t="s">
        <v>286</v>
      </c>
      <c r="K139" s="21" t="s">
        <v>244</v>
      </c>
      <c r="L139" s="114" t="s">
        <v>242</v>
      </c>
      <c r="M139" s="697"/>
      <c r="N139" s="26"/>
      <c r="O139" s="27"/>
      <c r="P139" s="27"/>
      <c r="Q139" s="27"/>
    </row>
    <row r="140" spans="2:17">
      <c r="B140" s="19">
        <v>20</v>
      </c>
      <c r="C140" s="19">
        <f t="shared" ref="C140:D142" si="27">E124</f>
        <v>1.3</v>
      </c>
      <c r="D140" s="158">
        <f t="shared" si="27"/>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c r="B141" s="19">
        <v>37.5</v>
      </c>
      <c r="C141" s="19">
        <f t="shared" si="27"/>
        <v>1.6</v>
      </c>
      <c r="D141" s="158">
        <f t="shared" si="27"/>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c r="B142" s="19">
        <v>102.5</v>
      </c>
      <c r="C142" s="19">
        <f t="shared" si="27"/>
        <v>2.8</v>
      </c>
      <c r="D142" s="158">
        <f t="shared" si="27"/>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c r="B144" s="153">
        <f t="shared" ref="B144:L144" si="28">SUMPRODUCT($M$140:$M$142,B140:B142)</f>
        <v>53.333333333333329</v>
      </c>
      <c r="C144" s="153">
        <f t="shared" si="28"/>
        <v>1.9</v>
      </c>
      <c r="D144" s="153">
        <f t="shared" si="28"/>
        <v>2.2233333333333332</v>
      </c>
      <c r="E144" s="153">
        <f t="shared" si="28"/>
        <v>156.03891441147607</v>
      </c>
      <c r="F144" s="153">
        <f t="shared" si="28"/>
        <v>3.5463389638971832E-2</v>
      </c>
      <c r="G144" s="153">
        <f t="shared" si="28"/>
        <v>7.0926779277943663E-2</v>
      </c>
      <c r="H144" s="153">
        <f t="shared" si="28"/>
        <v>1090.1623073107448</v>
      </c>
      <c r="I144" s="153">
        <f t="shared" si="28"/>
        <v>934.12339289926854</v>
      </c>
      <c r="J144" s="153">
        <f t="shared" si="28"/>
        <v>156.0389144114761</v>
      </c>
      <c r="K144" s="153">
        <f t="shared" si="28"/>
        <v>0.14486692830641873</v>
      </c>
      <c r="L144" s="153">
        <f t="shared" si="28"/>
        <v>7.2439411561775344E-2</v>
      </c>
      <c r="M144" s="105"/>
    </row>
  </sheetData>
  <mergeCells count="2">
    <mergeCell ref="M130:M131"/>
    <mergeCell ref="M138:M139"/>
  </mergeCells>
  <dataValidations count="5">
    <dataValidation type="list" allowBlank="1" showInputMessage="1" showErrorMessage="1" sqref="D7" xr:uid="{8D425DAE-B326-4D85-A2EB-69EAFB8C8C0A}">
      <formula1>$N$11:$O$11</formula1>
    </dataValidation>
    <dataValidation type="list" allowBlank="1" showInputMessage="1" showErrorMessage="1" sqref="B11:C20" xr:uid="{8E5DB21C-DA6B-434C-8C6D-D574B057DEA5}">
      <formula1>$N$7:$Q$7</formula1>
    </dataValidation>
    <dataValidation type="list" allowBlank="1" showInputMessage="1" showErrorMessage="1" sqref="D11:D20" xr:uid="{2AD22ED5-C423-4114-8EE1-633BF25EA0DD}">
      <formula1>$N$22:$AE$22</formula1>
    </dataValidation>
    <dataValidation type="list" allowBlank="1" showInputMessage="1" showErrorMessage="1" sqref="E11:E20" xr:uid="{98BEF3E1-AB68-4B50-B2AB-0A152B24FC91}">
      <formula1>$N$16:$O$16</formula1>
    </dataValidation>
    <dataValidation type="list" allowBlank="1" showInputMessage="1" showErrorMessage="1" sqref="C59:L59" xr:uid="{4258972F-FCFA-49DE-A244-408E4E14B8FC}">
      <formula1>$N$19:$AQ$19</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C6375-19B2-464C-8722-E489B126E672}">
  <sheetPr codeName="Sheet14">
    <tabColor indexed="15"/>
  </sheetPr>
  <dimension ref="A1:AQ237"/>
  <sheetViews>
    <sheetView zoomScale="85" zoomScaleNormal="85" workbookViewId="0">
      <selection activeCell="G7" sqref="G7"/>
    </sheetView>
  </sheetViews>
  <sheetFormatPr defaultColWidth="8.85546875" defaultRowHeight="1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Electric Oven and Range</v>
      </c>
      <c r="C7" s="98" t="s">
        <v>2430</v>
      </c>
      <c r="D7" s="97" t="s">
        <v>211</v>
      </c>
      <c r="E7" s="97">
        <f>C129</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Electric Oven and Range_CI, E - Cook (MD)</v>
      </c>
      <c r="J11" s="83" t="str">
        <f t="shared" ref="J11:J20" si="3">IF(B11="","",CONCATENATE($C$7,IF(C11="","",CONCATENATE(" with ",C11," Secondary Fuel"))))</f>
        <v>CI Electric Oven and Range</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Electric Oven and Range_CI, P - Cook (MD)</v>
      </c>
      <c r="J12" s="83" t="str">
        <f t="shared" si="3"/>
        <v>CI Electric Oven and Range</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Electric Oven and Range_CI, E - Cook (MD)</v>
      </c>
      <c r="D33" s="83" t="str">
        <f t="shared" ca="1" si="5"/>
        <v>CI Electric Oven and Range_CI,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Electric Oven and Range_CI, E - Cook (MD)</v>
      </c>
      <c r="N33" s="84" t="str">
        <f t="shared" ca="1" si="6"/>
        <v>CI Electric Oven and Range_CI,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CI Electric Oven and Range</v>
      </c>
      <c r="D34" s="83" t="str">
        <f t="shared" si="8"/>
        <v>CI Electric Oven and Range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Electric Oven and Range_CI, E - Cook (MD)</v>
      </c>
      <c r="D35" s="65" t="str">
        <f ca="1">D33</f>
        <v>CI Electric Oven and Range_CI,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CI Electric Oven and Range</v>
      </c>
      <c r="D36" s="65" t="str">
        <f>D34</f>
        <v>CI Electric Oven and Range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0</v>
      </c>
      <c r="D39" s="83">
        <f t="shared" si="11"/>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CI Electric Oven and Range</v>
      </c>
      <c r="D52" s="66" t="str">
        <f t="shared" si="16"/>
        <v>CI Electric Oven and Range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2345</v>
      </c>
      <c r="D55" s="65" t="s">
        <v>2345</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t="s">
        <v>919</v>
      </c>
      <c r="D56" s="82" t="s">
        <v>919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65" t="s">
        <v>187</v>
      </c>
      <c r="D59" s="65" t="s">
        <v>187</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S187</f>
        <v>0</v>
      </c>
      <c r="D64" s="67">
        <f>P194</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U187</f>
        <v>0</v>
      </c>
      <c r="D65" s="67">
        <f>R194</f>
        <v>0</v>
      </c>
      <c r="E65" s="67"/>
      <c r="F65" s="65"/>
      <c r="G65" s="65"/>
      <c r="H65" s="65"/>
      <c r="I65" s="65"/>
      <c r="J65" s="65"/>
      <c r="K65" s="65"/>
      <c r="L65" s="65"/>
      <c r="M65" s="69">
        <v>3</v>
      </c>
      <c r="N65" s="69">
        <v>62</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t="shared" ref="M66:V81"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V187</f>
        <v>0</v>
      </c>
      <c r="D68" s="71">
        <f>S194</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W187</f>
        <v>0</v>
      </c>
      <c r="D69" s="70">
        <f>T194</f>
        <v>0</v>
      </c>
      <c r="E69" s="70"/>
      <c r="F69" s="70" t="str">
        <f t="shared" ref="F69:L69" si="19">IFERROR(F68/F64,"")</f>
        <v/>
      </c>
      <c r="G69" s="70" t="str">
        <f t="shared" si="19"/>
        <v/>
      </c>
      <c r="H69" s="70" t="str">
        <f t="shared" si="19"/>
        <v/>
      </c>
      <c r="I69" s="70" t="str">
        <f t="shared" si="19"/>
        <v/>
      </c>
      <c r="J69" s="70" t="str">
        <f t="shared" si="19"/>
        <v/>
      </c>
      <c r="K69" s="70" t="str">
        <f t="shared" si="19"/>
        <v/>
      </c>
      <c r="L69" s="70" t="str">
        <f t="shared" si="19"/>
        <v/>
      </c>
      <c r="M69" s="69">
        <v>22</v>
      </c>
      <c r="N69" s="69">
        <v>16</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89" ca="1" si="20">IF(M$33="","","-")</f>
        <v>-</v>
      </c>
      <c r="N70" s="64" t="str">
        <f t="shared" ca="1" si="20"/>
        <v>-</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CI Electric Oven and Range</v>
      </c>
      <c r="D71" s="66" t="str">
        <f t="shared" si="21"/>
        <v>CI Electric Oven and Range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ca="1" si="20"/>
        <v>-</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ca="1" si="20"/>
        <v>-</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ca="1" si="20"/>
        <v>-</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ca="1" si="20"/>
        <v>-</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ca="1" si="20"/>
        <v>-</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ca="1" si="20"/>
        <v>-</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ca="1" si="20"/>
        <v>-</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ca="1" si="20"/>
        <v>-</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ca="1" si="20"/>
        <v>-</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ref="M90:V103" ca="1" si="23">IF(M$33="","","-")</f>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ca="1" si="23"/>
        <v>-</v>
      </c>
      <c r="N102" s="64" t="str">
        <f t="shared" ca="1" si="23"/>
        <v>-</v>
      </c>
      <c r="O102" s="64" t="str">
        <f t="shared" si="23"/>
        <v/>
      </c>
      <c r="P102" s="64" t="str">
        <f t="shared" si="23"/>
        <v/>
      </c>
      <c r="Q102" s="64" t="str">
        <f t="shared" si="23"/>
        <v/>
      </c>
      <c r="R102" s="64" t="str">
        <f t="shared" si="23"/>
        <v/>
      </c>
      <c r="S102" s="64" t="str">
        <f t="shared" si="23"/>
        <v/>
      </c>
      <c r="T102" s="64" t="str">
        <f t="shared" si="23"/>
        <v/>
      </c>
      <c r="U102" s="64" t="str">
        <f t="shared" si="23"/>
        <v/>
      </c>
      <c r="V102" s="64" t="str">
        <f t="shared" si="23"/>
        <v/>
      </c>
    </row>
    <row r="103" spans="1:22">
      <c r="A103" s="1">
        <f t="shared" si="24"/>
        <v>71</v>
      </c>
      <c r="B103" s="65" t="s">
        <v>51</v>
      </c>
      <c r="C103" s="65"/>
      <c r="D103" s="65"/>
      <c r="E103" s="65"/>
      <c r="F103" s="65"/>
      <c r="G103" s="65"/>
      <c r="H103" s="65"/>
      <c r="I103" s="65"/>
      <c r="J103" s="65"/>
      <c r="K103" s="65"/>
      <c r="L103" s="65"/>
      <c r="M103" s="64" t="str">
        <f t="shared" ca="1" si="23"/>
        <v>-</v>
      </c>
      <c r="N103" s="64" t="str">
        <f t="shared" ca="1" si="23"/>
        <v>-</v>
      </c>
      <c r="O103" s="64" t="str">
        <f t="shared" si="23"/>
        <v/>
      </c>
      <c r="P103" s="64" t="str">
        <f t="shared" si="23"/>
        <v/>
      </c>
      <c r="Q103" s="64" t="str">
        <f t="shared" si="23"/>
        <v/>
      </c>
      <c r="R103" s="64" t="str">
        <f t="shared" si="23"/>
        <v/>
      </c>
      <c r="S103" s="64" t="str">
        <f t="shared" si="23"/>
        <v/>
      </c>
      <c r="T103" s="64" t="str">
        <f t="shared" si="23"/>
        <v/>
      </c>
      <c r="U103" s="64" t="str">
        <f t="shared" si="23"/>
        <v/>
      </c>
      <c r="V103" s="64" t="str">
        <f t="shared" si="23"/>
        <v/>
      </c>
    </row>
    <row r="105" spans="1:22">
      <c r="B105" s="1" t="s">
        <v>918</v>
      </c>
    </row>
    <row r="106" spans="1:22">
      <c r="B106" s="1" t="s">
        <v>917</v>
      </c>
    </row>
    <row r="107" spans="1:22">
      <c r="B107" s="1" t="s">
        <v>916</v>
      </c>
    </row>
    <row r="108" spans="1:22">
      <c r="B108" s="1" t="s">
        <v>915</v>
      </c>
    </row>
    <row r="109" spans="1:22">
      <c r="B109" s="1" t="s">
        <v>914</v>
      </c>
    </row>
    <row r="110" spans="1:22">
      <c r="B110" s="1" t="s">
        <v>913</v>
      </c>
    </row>
    <row r="112" spans="1:22" s="63" customFormat="1" ht="15.75" thickBot="1">
      <c r="B112" s="63" t="s">
        <v>50</v>
      </c>
    </row>
    <row r="114" spans="3:14">
      <c r="D114" s="57"/>
      <c r="N114" s="95"/>
    </row>
    <row r="115" spans="3:14">
      <c r="D115" s="57"/>
      <c r="G115" s="330"/>
      <c r="H115" s="331"/>
      <c r="I115" s="331"/>
      <c r="J115" s="331"/>
      <c r="K115" s="331"/>
    </row>
    <row r="116" spans="3:14">
      <c r="D116" s="57"/>
      <c r="G116" s="330"/>
      <c r="H116" s="331"/>
      <c r="I116" s="331"/>
      <c r="J116" s="331"/>
      <c r="K116" s="331"/>
    </row>
    <row r="117" spans="3:14">
      <c r="D117" s="57"/>
      <c r="G117" s="330"/>
      <c r="H117" s="329"/>
      <c r="I117" s="329"/>
      <c r="J117" s="329"/>
      <c r="K117" s="329"/>
    </row>
    <row r="118" spans="3:14">
      <c r="C118" s="188"/>
      <c r="D118" s="57"/>
      <c r="G118" s="327"/>
      <c r="H118" s="326"/>
      <c r="I118" s="326"/>
      <c r="J118" s="326"/>
      <c r="K118" s="326"/>
    </row>
    <row r="119" spans="3:14">
      <c r="D119" s="57"/>
      <c r="G119" s="327"/>
      <c r="H119" s="328"/>
      <c r="I119" s="328"/>
      <c r="J119" s="328"/>
      <c r="K119" s="328"/>
    </row>
    <row r="120" spans="3:14">
      <c r="D120" s="57"/>
      <c r="G120" s="327"/>
      <c r="H120" s="328"/>
      <c r="I120" s="328"/>
      <c r="J120" s="328"/>
      <c r="K120" s="328"/>
    </row>
    <row r="121" spans="3:14">
      <c r="C121" s="325"/>
      <c r="D121" s="57"/>
      <c r="G121" s="327"/>
      <c r="H121" s="326"/>
      <c r="I121" s="326"/>
      <c r="J121" s="326"/>
      <c r="K121" s="326"/>
    </row>
    <row r="122" spans="3:14">
      <c r="C122" s="325"/>
      <c r="D122" s="57"/>
    </row>
    <row r="123" spans="3:14">
      <c r="D123" s="57"/>
    </row>
    <row r="124" spans="3:14">
      <c r="C124" s="324"/>
      <c r="D124" s="57"/>
    </row>
    <row r="125" spans="3:14">
      <c r="C125" s="324"/>
      <c r="D125" s="57"/>
    </row>
    <row r="126" spans="3:14">
      <c r="D126" s="57"/>
    </row>
    <row r="127" spans="3:14">
      <c r="D127" s="57"/>
    </row>
    <row r="128" spans="3:14">
      <c r="D128" s="57"/>
    </row>
    <row r="129" spans="2:6">
      <c r="D129" s="57"/>
    </row>
    <row r="130" spans="2:6">
      <c r="D130" s="57"/>
    </row>
    <row r="131" spans="2:6">
      <c r="C131" s="324"/>
      <c r="D131" s="57"/>
    </row>
    <row r="132" spans="2:6">
      <c r="B132" s="94"/>
      <c r="C132" s="94"/>
      <c r="D132" s="94"/>
      <c r="E132" s="94"/>
      <c r="F132" s="94"/>
    </row>
    <row r="133" spans="2:6">
      <c r="B133" s="93"/>
      <c r="C133" s="93"/>
      <c r="D133" s="323"/>
      <c r="E133" s="93"/>
      <c r="F133" s="323"/>
    </row>
    <row r="134" spans="2:6">
      <c r="B134" s="93"/>
      <c r="C134" s="93"/>
      <c r="D134" s="323"/>
      <c r="E134" s="93"/>
      <c r="F134" s="323"/>
    </row>
    <row r="135" spans="2:6">
      <c r="B135" s="93"/>
      <c r="C135" s="93"/>
      <c r="D135" s="323"/>
      <c r="E135" s="93"/>
      <c r="F135" s="323"/>
    </row>
    <row r="136" spans="2:6">
      <c r="C136" s="322"/>
      <c r="D136" s="57"/>
    </row>
    <row r="137" spans="2:6">
      <c r="B137" s="94"/>
      <c r="C137" s="94"/>
      <c r="D137" s="94"/>
      <c r="E137" s="94"/>
      <c r="F137" s="94"/>
    </row>
    <row r="138" spans="2:6">
      <c r="B138" s="93"/>
      <c r="C138" s="93"/>
      <c r="D138" s="93"/>
      <c r="E138" s="93"/>
      <c r="F138" s="93"/>
    </row>
    <row r="139" spans="2:6">
      <c r="B139" s="93"/>
      <c r="C139" s="93"/>
      <c r="D139" s="93"/>
      <c r="E139" s="93"/>
      <c r="F139" s="93"/>
    </row>
    <row r="140" spans="2:6">
      <c r="D140" s="57"/>
    </row>
    <row r="141" spans="2:6">
      <c r="B141" s="94"/>
      <c r="C141" s="94"/>
      <c r="D141" s="94"/>
      <c r="E141" s="94"/>
      <c r="F141" s="94"/>
    </row>
    <row r="142" spans="2:6">
      <c r="B142" s="93"/>
      <c r="C142" s="93"/>
      <c r="D142" s="93"/>
      <c r="E142" s="93"/>
      <c r="F142" s="93"/>
    </row>
    <row r="143" spans="2:6">
      <c r="B143" s="93"/>
      <c r="C143" s="93"/>
      <c r="D143" s="93"/>
      <c r="E143" s="93"/>
      <c r="F143" s="93"/>
    </row>
    <row r="144" spans="2:6">
      <c r="B144" s="93"/>
      <c r="C144" s="93"/>
      <c r="D144" s="93"/>
      <c r="E144" s="93"/>
      <c r="F144" s="93"/>
    </row>
    <row r="145" spans="2:6">
      <c r="D145" s="57"/>
    </row>
    <row r="146" spans="2:6">
      <c r="B146" s="94"/>
      <c r="C146" s="94"/>
      <c r="D146" s="94"/>
      <c r="E146" s="94"/>
      <c r="F146" s="94"/>
    </row>
    <row r="147" spans="2:6">
      <c r="B147" s="93"/>
      <c r="C147" s="93"/>
      <c r="D147" s="93"/>
      <c r="E147" s="93"/>
      <c r="F147" s="93"/>
    </row>
    <row r="148" spans="2:6">
      <c r="B148" s="93"/>
      <c r="C148" s="93"/>
      <c r="D148" s="93"/>
      <c r="E148" s="93"/>
      <c r="F148" s="93"/>
    </row>
    <row r="149" spans="2:6">
      <c r="B149" s="93"/>
      <c r="C149" s="93"/>
      <c r="D149" s="93"/>
      <c r="E149" s="93"/>
      <c r="F149" s="93"/>
    </row>
    <row r="150" spans="2:6">
      <c r="D150" s="57"/>
    </row>
    <row r="151" spans="2:6">
      <c r="B151" s="94"/>
      <c r="C151" s="94"/>
      <c r="D151" s="318"/>
    </row>
    <row r="152" spans="2:6">
      <c r="B152" s="321"/>
      <c r="C152" s="93"/>
      <c r="D152" s="332"/>
    </row>
    <row r="153" spans="2:6">
      <c r="B153" s="320"/>
      <c r="C153" s="93"/>
      <c r="D153" s="332"/>
    </row>
    <row r="154" spans="2:6">
      <c r="D154" s="57"/>
    </row>
    <row r="155" spans="2:6">
      <c r="B155" s="94"/>
      <c r="C155" s="94"/>
      <c r="D155" s="94"/>
      <c r="E155" s="94"/>
      <c r="F155" s="94"/>
    </row>
    <row r="156" spans="2:6">
      <c r="B156" s="93"/>
      <c r="C156" s="93"/>
      <c r="D156" s="93"/>
      <c r="E156" s="93"/>
      <c r="F156" s="93"/>
    </row>
    <row r="157" spans="2:6">
      <c r="B157" s="93"/>
      <c r="C157" s="93"/>
      <c r="D157" s="93"/>
      <c r="E157" s="93"/>
      <c r="F157" s="93"/>
    </row>
    <row r="158" spans="2:6">
      <c r="B158" s="93"/>
      <c r="C158" s="93"/>
      <c r="D158" s="93"/>
      <c r="E158" s="93"/>
      <c r="F158" s="93"/>
    </row>
    <row r="159" spans="2:6">
      <c r="D159" s="57"/>
    </row>
    <row r="160" spans="2:6">
      <c r="B160" s="94"/>
      <c r="C160" s="94"/>
      <c r="D160" s="318"/>
    </row>
    <row r="161" spans="2:15">
      <c r="B161" s="321"/>
      <c r="C161" s="93"/>
      <c r="D161" s="332"/>
    </row>
    <row r="162" spans="2:15">
      <c r="B162" s="320"/>
      <c r="C162" s="93"/>
      <c r="D162" s="332"/>
    </row>
    <row r="163" spans="2:15">
      <c r="D163" s="57"/>
    </row>
    <row r="164" spans="2:15">
      <c r="B164" s="94"/>
      <c r="C164" s="94"/>
      <c r="D164" s="94"/>
    </row>
    <row r="165" spans="2:15">
      <c r="B165" s="93"/>
      <c r="C165" s="93"/>
      <c r="D165" s="93"/>
    </row>
    <row r="166" spans="2:15">
      <c r="B166" s="93"/>
      <c r="C166" s="93"/>
      <c r="D166" s="93"/>
    </row>
    <row r="167" spans="2:15">
      <c r="B167" s="93"/>
      <c r="C167" s="93"/>
      <c r="D167" s="93"/>
    </row>
    <row r="168" spans="2:15">
      <c r="D168" s="57"/>
    </row>
    <row r="169" spans="2:15">
      <c r="B169" s="94"/>
      <c r="C169" s="94"/>
      <c r="D169" s="94"/>
    </row>
    <row r="170" spans="2:15">
      <c r="B170" s="93"/>
      <c r="C170" s="93"/>
      <c r="D170" s="93"/>
      <c r="N170" s="95"/>
      <c r="O170" s="95"/>
    </row>
    <row r="171" spans="2:15">
      <c r="B171" s="93"/>
      <c r="C171" s="93"/>
      <c r="D171" s="93"/>
    </row>
    <row r="172" spans="2:15">
      <c r="B172" s="93"/>
      <c r="C172" s="93"/>
      <c r="D172" s="93"/>
    </row>
    <row r="173" spans="2:15">
      <c r="D173" s="57"/>
    </row>
    <row r="174" spans="2:15">
      <c r="B174" s="94"/>
      <c r="C174" s="319"/>
      <c r="D174" s="57"/>
    </row>
    <row r="175" spans="2:15">
      <c r="B175" s="93"/>
      <c r="C175" s="93"/>
      <c r="D175" s="57"/>
    </row>
    <row r="176" spans="2:15">
      <c r="B176" s="93"/>
      <c r="C176" s="93"/>
      <c r="D176" s="57"/>
    </row>
    <row r="177" spans="1:24">
      <c r="B177" s="93"/>
      <c r="C177" s="93"/>
      <c r="D177" s="57"/>
    </row>
    <row r="178" spans="1:24">
      <c r="B178" s="93"/>
      <c r="C178" s="93"/>
      <c r="D178" s="57"/>
    </row>
    <row r="179" spans="1:24">
      <c r="B179" s="93"/>
      <c r="C179" s="93"/>
      <c r="D179" s="57"/>
    </row>
    <row r="180" spans="1:24">
      <c r="B180" s="93"/>
      <c r="C180" s="93"/>
      <c r="D180" s="57"/>
    </row>
    <row r="181" spans="1:24">
      <c r="D181" s="57"/>
    </row>
    <row r="182" spans="1:24" ht="15.75" thickBot="1">
      <c r="A182" s="93"/>
      <c r="B182" s="94"/>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c r="A183" s="93"/>
      <c r="B183" s="94"/>
      <c r="C183" s="94"/>
      <c r="D183" s="94"/>
      <c r="E183" s="318"/>
      <c r="F183" s="94"/>
      <c r="G183" s="94"/>
      <c r="H183" s="94"/>
      <c r="I183" s="94"/>
      <c r="J183" s="318"/>
      <c r="K183" s="94"/>
      <c r="L183" s="94"/>
      <c r="M183" s="94"/>
      <c r="N183" s="317"/>
      <c r="O183" s="316"/>
      <c r="P183" s="316"/>
      <c r="Q183" s="316"/>
      <c r="R183" s="316"/>
      <c r="S183" s="316"/>
      <c r="T183" s="316"/>
      <c r="U183" s="316"/>
      <c r="V183" s="316"/>
      <c r="W183" s="315"/>
      <c r="X183" s="315"/>
    </row>
    <row r="184" spans="1:24">
      <c r="A184" s="93" t="s">
        <v>861</v>
      </c>
      <c r="B184" s="93"/>
      <c r="C184" s="93"/>
      <c r="D184" s="640"/>
      <c r="E184" s="530"/>
      <c r="F184" s="530"/>
      <c r="G184" s="530"/>
      <c r="H184" s="530"/>
      <c r="I184" s="93"/>
      <c r="J184" s="93"/>
      <c r="K184" s="93"/>
      <c r="L184" s="93"/>
      <c r="M184" s="93"/>
      <c r="N184" s="655"/>
      <c r="O184" s="530"/>
      <c r="P184" s="530"/>
      <c r="Q184" s="530"/>
      <c r="R184" s="93"/>
      <c r="S184" s="93"/>
      <c r="T184" s="93"/>
      <c r="U184" s="313"/>
      <c r="V184" s="312"/>
      <c r="W184" s="613"/>
      <c r="X184" s="311"/>
    </row>
    <row r="185" spans="1:24">
      <c r="A185" s="93" t="s">
        <v>860</v>
      </c>
      <c r="B185" s="93"/>
      <c r="C185" s="93"/>
      <c r="D185" s="640"/>
      <c r="E185" s="530"/>
      <c r="F185" s="530"/>
      <c r="G185" s="530"/>
      <c r="H185" s="530"/>
      <c r="I185" s="93"/>
      <c r="J185" s="93"/>
      <c r="K185" s="93"/>
      <c r="L185" s="93"/>
      <c r="M185" s="93"/>
      <c r="N185" s="314"/>
      <c r="O185" s="93"/>
      <c r="P185" s="93"/>
      <c r="Q185" s="93"/>
      <c r="R185" s="93"/>
      <c r="S185" s="93"/>
      <c r="T185" s="93"/>
      <c r="U185" s="313"/>
      <c r="V185" s="312"/>
      <c r="W185" s="613"/>
      <c r="X185" s="311"/>
    </row>
    <row r="186" spans="1:24" ht="15.75" thickBot="1">
      <c r="A186" s="93" t="s">
        <v>859</v>
      </c>
      <c r="B186" s="93"/>
      <c r="C186" s="93"/>
      <c r="D186" s="640"/>
      <c r="E186" s="530"/>
      <c r="F186" s="530"/>
      <c r="G186" s="530"/>
      <c r="H186" s="530"/>
      <c r="I186" s="93"/>
      <c r="J186" s="93"/>
      <c r="K186" s="93"/>
      <c r="L186" s="93"/>
      <c r="M186" s="93"/>
      <c r="N186" s="310"/>
      <c r="O186" s="308"/>
      <c r="P186" s="308"/>
      <c r="Q186" s="308"/>
      <c r="R186" s="308"/>
      <c r="S186" s="308"/>
      <c r="T186" s="308"/>
      <c r="U186" s="309"/>
      <c r="V186" s="307"/>
      <c r="W186" s="614"/>
      <c r="X186" s="311"/>
    </row>
    <row r="187" spans="1:24">
      <c r="A187" s="93"/>
      <c r="B187" s="7"/>
      <c r="C187" s="7"/>
      <c r="D187" s="7"/>
      <c r="E187" s="7"/>
      <c r="F187" s="7"/>
      <c r="G187" s="7"/>
      <c r="H187" s="7"/>
      <c r="I187" s="7"/>
      <c r="J187" s="7"/>
      <c r="K187" s="7"/>
      <c r="L187" s="7"/>
      <c r="M187" s="7"/>
      <c r="N187" s="7"/>
      <c r="O187" s="7"/>
      <c r="P187" s="7"/>
      <c r="Q187" s="7"/>
      <c r="R187" s="7"/>
      <c r="S187" s="7"/>
      <c r="T187" s="7"/>
      <c r="U187" s="7"/>
      <c r="V187" s="7"/>
      <c r="W187" s="7"/>
      <c r="X187" s="93"/>
    </row>
    <row r="188" spans="1:24">
      <c r="B188" s="302"/>
      <c r="C188" s="302"/>
      <c r="D188" s="302"/>
      <c r="E188" s="303"/>
      <c r="F188" s="304"/>
      <c r="G188" s="303"/>
      <c r="H188" s="301"/>
      <c r="I188" s="302"/>
      <c r="J188" s="302"/>
      <c r="K188" s="302"/>
      <c r="L188" s="302"/>
      <c r="M188" s="301"/>
      <c r="N188" s="300"/>
      <c r="O188" s="299"/>
      <c r="P188" s="298"/>
      <c r="Q188" s="297"/>
      <c r="R188" s="297"/>
    </row>
    <row r="189" spans="1:24" ht="15.75" thickBot="1">
      <c r="A189" s="93"/>
      <c r="B189" s="94"/>
      <c r="C189" s="94"/>
      <c r="D189" s="318"/>
      <c r="E189" s="94"/>
      <c r="F189" s="94"/>
      <c r="G189" s="94"/>
      <c r="H189" s="94"/>
      <c r="I189" s="94"/>
      <c r="J189" s="94"/>
      <c r="K189" s="94"/>
      <c r="L189" s="94"/>
      <c r="M189" s="94"/>
      <c r="N189" s="93"/>
      <c r="O189" s="93"/>
      <c r="P189" s="93"/>
      <c r="Q189" s="93"/>
      <c r="R189" s="93"/>
      <c r="S189" s="93"/>
      <c r="T189" s="93"/>
      <c r="U189" s="93"/>
    </row>
    <row r="190" spans="1:24">
      <c r="A190" s="93"/>
      <c r="B190" s="94"/>
      <c r="C190" s="94"/>
      <c r="D190" s="94"/>
      <c r="E190" s="318"/>
      <c r="F190" s="94"/>
      <c r="G190" s="94"/>
      <c r="H190" s="94"/>
      <c r="I190" s="94"/>
      <c r="J190" s="318"/>
      <c r="K190" s="94"/>
      <c r="L190" s="94"/>
      <c r="M190" s="94"/>
      <c r="N190" s="317"/>
      <c r="O190" s="316"/>
      <c r="P190" s="316"/>
      <c r="Q190" s="316"/>
      <c r="R190" s="316"/>
      <c r="S190" s="316"/>
      <c r="T190" s="315"/>
      <c r="U190" s="315"/>
    </row>
    <row r="191" spans="1:24">
      <c r="A191" s="93" t="s">
        <v>861</v>
      </c>
      <c r="B191" s="93"/>
      <c r="C191" s="93"/>
      <c r="D191" s="639"/>
      <c r="E191" s="530"/>
      <c r="F191" s="530"/>
      <c r="G191" s="530"/>
      <c r="H191" s="530"/>
      <c r="I191" s="93"/>
      <c r="J191" s="93"/>
      <c r="K191" s="93"/>
      <c r="L191" s="93"/>
      <c r="M191" s="93"/>
      <c r="N191" s="314"/>
      <c r="O191" s="93"/>
      <c r="P191" s="93"/>
      <c r="Q191" s="93"/>
      <c r="R191" s="313"/>
      <c r="S191" s="312"/>
      <c r="T191" s="613"/>
      <c r="U191" s="311"/>
    </row>
    <row r="192" spans="1:24">
      <c r="A192" s="93" t="s">
        <v>860</v>
      </c>
      <c r="B192" s="93"/>
      <c r="C192" s="93"/>
      <c r="D192" s="639"/>
      <c r="E192" s="530"/>
      <c r="F192" s="530"/>
      <c r="G192" s="530"/>
      <c r="H192" s="530"/>
      <c r="I192" s="93"/>
      <c r="J192" s="93"/>
      <c r="K192" s="93"/>
      <c r="L192" s="93"/>
      <c r="M192" s="93"/>
      <c r="N192" s="314"/>
      <c r="O192" s="93"/>
      <c r="P192" s="93"/>
      <c r="Q192" s="93"/>
      <c r="R192" s="313"/>
      <c r="S192" s="312"/>
      <c r="T192" s="613"/>
      <c r="U192" s="311"/>
    </row>
    <row r="193" spans="1:21" ht="15.75" thickBot="1">
      <c r="A193" s="93" t="s">
        <v>859</v>
      </c>
      <c r="B193" s="93"/>
      <c r="C193" s="93"/>
      <c r="D193" s="639"/>
      <c r="E193" s="530"/>
      <c r="F193" s="530"/>
      <c r="G193" s="530"/>
      <c r="H193" s="530"/>
      <c r="I193" s="93"/>
      <c r="J193" s="93"/>
      <c r="K193" s="93"/>
      <c r="L193" s="93"/>
      <c r="M193" s="93"/>
      <c r="N193" s="310"/>
      <c r="O193" s="308"/>
      <c r="P193" s="308"/>
      <c r="Q193" s="308"/>
      <c r="R193" s="309"/>
      <c r="S193" s="307"/>
      <c r="T193" s="614"/>
      <c r="U193" s="306"/>
    </row>
    <row r="194" spans="1:21">
      <c r="A194" s="93"/>
      <c r="B194" s="7"/>
      <c r="C194" s="7"/>
      <c r="D194" s="7"/>
      <c r="E194" s="7"/>
      <c r="F194" s="7"/>
      <c r="G194" s="7"/>
      <c r="H194" s="7"/>
      <c r="I194" s="7"/>
      <c r="J194" s="7"/>
      <c r="K194" s="7"/>
      <c r="L194" s="7"/>
      <c r="M194" s="7"/>
      <c r="N194" s="7"/>
      <c r="O194" s="7"/>
      <c r="P194" s="7"/>
      <c r="Q194" s="7"/>
      <c r="R194" s="7"/>
      <c r="S194" s="7"/>
      <c r="T194" s="7"/>
      <c r="U194" s="93"/>
    </row>
    <row r="195" spans="1:21">
      <c r="B195" s="302"/>
      <c r="C195" s="302"/>
      <c r="D195" s="302"/>
      <c r="E195" s="303"/>
      <c r="F195" s="304"/>
      <c r="G195" s="303"/>
      <c r="H195" s="301"/>
      <c r="I195" s="302"/>
      <c r="J195" s="302"/>
      <c r="K195" s="302"/>
      <c r="L195" s="302"/>
      <c r="M195" s="301"/>
      <c r="N195" s="300"/>
      <c r="O195" s="299"/>
      <c r="P195" s="298"/>
      <c r="Q195" s="297"/>
      <c r="R195" s="297"/>
    </row>
    <row r="196" spans="1:21">
      <c r="B196" s="302"/>
      <c r="C196" s="302"/>
      <c r="D196" s="302"/>
      <c r="E196" s="303"/>
      <c r="F196" s="304"/>
      <c r="G196" s="303"/>
      <c r="H196" s="301"/>
      <c r="I196" s="302"/>
      <c r="J196" s="302"/>
      <c r="K196" s="302"/>
      <c r="L196" s="302"/>
      <c r="M196" s="301"/>
      <c r="N196" s="300"/>
      <c r="O196" s="299"/>
      <c r="P196" s="298"/>
      <c r="Q196" s="297"/>
      <c r="R196" s="297"/>
    </row>
    <row r="197" spans="1:21">
      <c r="B197" s="302"/>
      <c r="C197" s="302"/>
      <c r="D197" s="302"/>
      <c r="E197" s="303"/>
      <c r="F197" s="304"/>
      <c r="G197" s="303"/>
      <c r="H197" s="301"/>
      <c r="I197" s="302"/>
      <c r="J197" s="302"/>
      <c r="K197" s="302"/>
      <c r="L197" s="302"/>
      <c r="M197" s="301"/>
      <c r="N197" s="300"/>
      <c r="O197" s="299"/>
      <c r="P197" s="298"/>
      <c r="Q197" s="297"/>
      <c r="R197" s="297"/>
    </row>
    <row r="198" spans="1:21">
      <c r="B198" s="302"/>
      <c r="C198" s="302"/>
      <c r="D198" s="302"/>
      <c r="E198" s="303"/>
      <c r="F198" s="304"/>
      <c r="G198" s="303"/>
      <c r="H198" s="301"/>
      <c r="I198" s="302"/>
      <c r="J198" s="302"/>
      <c r="K198" s="302"/>
      <c r="L198" s="302"/>
      <c r="M198" s="301"/>
      <c r="N198" s="300"/>
      <c r="O198" s="299"/>
      <c r="P198" s="298"/>
      <c r="Q198" s="297"/>
      <c r="R198" s="297"/>
    </row>
    <row r="199" spans="1:21">
      <c r="B199" s="302"/>
      <c r="C199" s="302"/>
      <c r="D199" s="302"/>
      <c r="E199" s="303"/>
      <c r="F199" s="304"/>
      <c r="G199" s="303"/>
      <c r="H199" s="301"/>
      <c r="I199" s="302"/>
      <c r="J199" s="302"/>
      <c r="K199" s="302"/>
      <c r="L199" s="302"/>
      <c r="M199" s="301"/>
      <c r="N199" s="300"/>
      <c r="O199" s="299"/>
      <c r="P199" s="298"/>
      <c r="Q199" s="297"/>
      <c r="R199" s="297"/>
    </row>
    <row r="200" spans="1:21">
      <c r="I200" s="302"/>
      <c r="J200" s="302"/>
      <c r="K200" s="302"/>
      <c r="L200" s="302"/>
      <c r="M200" s="301"/>
      <c r="N200" s="300"/>
      <c r="O200" s="299"/>
      <c r="P200" s="298"/>
      <c r="Q200" s="297"/>
      <c r="R200" s="297"/>
    </row>
    <row r="201" spans="1:21">
      <c r="B201" s="26"/>
      <c r="C201" s="26"/>
      <c r="D201" s="26"/>
      <c r="E201" s="296"/>
      <c r="F201" s="252"/>
      <c r="G201" s="296"/>
      <c r="H201" s="295"/>
      <c r="I201" s="302"/>
      <c r="J201" s="302"/>
      <c r="K201" s="302"/>
      <c r="L201" s="302"/>
      <c r="M201" s="301"/>
      <c r="N201" s="300"/>
      <c r="O201" s="299"/>
      <c r="P201" s="298"/>
      <c r="Q201" s="297"/>
      <c r="R201" s="297"/>
    </row>
    <row r="202" spans="1:21">
      <c r="B202" s="26"/>
      <c r="C202" s="26"/>
      <c r="D202" s="26"/>
      <c r="E202" s="296"/>
      <c r="F202" s="252"/>
      <c r="G202" s="296"/>
      <c r="H202" s="295"/>
      <c r="I202" s="302"/>
      <c r="J202" s="302"/>
      <c r="K202" s="302"/>
      <c r="L202" s="302"/>
      <c r="M202" s="301"/>
      <c r="N202" s="300"/>
      <c r="O202" s="299"/>
      <c r="P202" s="298"/>
      <c r="Q202" s="297"/>
      <c r="R202" s="297"/>
    </row>
    <row r="203" spans="1:21">
      <c r="B203" s="26"/>
      <c r="C203" s="26"/>
      <c r="D203" s="26"/>
      <c r="E203" s="296"/>
      <c r="F203" s="252"/>
      <c r="G203" s="296"/>
      <c r="H203" s="295"/>
      <c r="I203" s="26"/>
      <c r="J203" s="26"/>
      <c r="K203" s="26"/>
      <c r="L203" s="26"/>
      <c r="M203" s="295"/>
      <c r="N203" s="294"/>
      <c r="O203" s="288"/>
      <c r="P203" s="293"/>
      <c r="Q203" s="292"/>
      <c r="R203" s="292"/>
    </row>
    <row r="204" spans="1:21">
      <c r="I204" s="26"/>
      <c r="J204" s="26"/>
      <c r="K204" s="26"/>
      <c r="L204" s="26"/>
      <c r="M204" s="295"/>
      <c r="N204" s="294"/>
      <c r="O204" s="288"/>
      <c r="P204" s="293"/>
      <c r="Q204" s="292"/>
      <c r="R204" s="292"/>
    </row>
    <row r="205" spans="1:21">
      <c r="I205" s="26"/>
      <c r="J205" s="26"/>
      <c r="K205" s="26"/>
      <c r="L205" s="26"/>
      <c r="M205" s="295"/>
      <c r="N205" s="294"/>
      <c r="O205" s="288"/>
      <c r="P205" s="293"/>
      <c r="Q205" s="292"/>
      <c r="R205" s="292"/>
    </row>
    <row r="206" spans="1:21">
      <c r="B206" s="26"/>
      <c r="C206" s="26"/>
      <c r="D206" s="26"/>
      <c r="E206" s="296"/>
      <c r="F206" s="252"/>
      <c r="G206" s="296"/>
      <c r="H206" s="295"/>
      <c r="I206" s="26"/>
      <c r="J206" s="26"/>
      <c r="K206" s="26"/>
      <c r="L206" s="26"/>
      <c r="M206" s="295"/>
      <c r="N206" s="294"/>
      <c r="O206" s="288"/>
      <c r="P206" s="293"/>
      <c r="Q206" s="292"/>
      <c r="R206" s="292"/>
    </row>
    <row r="207" spans="1:21">
      <c r="B207" s="26"/>
      <c r="C207" s="26"/>
      <c r="D207" s="26"/>
      <c r="E207" s="296"/>
      <c r="F207" s="252"/>
      <c r="G207" s="296"/>
      <c r="H207" s="295"/>
      <c r="I207" s="26"/>
      <c r="J207" s="26"/>
      <c r="K207" s="26"/>
      <c r="L207" s="26"/>
      <c r="M207" s="295"/>
      <c r="N207" s="294"/>
      <c r="O207" s="288"/>
      <c r="P207" s="293"/>
      <c r="Q207" s="292"/>
      <c r="R207" s="292"/>
    </row>
    <row r="208" spans="1:21">
      <c r="B208" s="26"/>
      <c r="C208" s="26"/>
      <c r="D208" s="26"/>
      <c r="E208" s="296"/>
      <c r="F208" s="252"/>
      <c r="G208" s="296"/>
      <c r="H208" s="295"/>
      <c r="I208" s="26"/>
      <c r="J208" s="26"/>
      <c r="K208" s="26"/>
      <c r="L208" s="26"/>
      <c r="M208" s="295"/>
      <c r="N208" s="294"/>
      <c r="O208" s="288"/>
      <c r="P208" s="293"/>
      <c r="Q208" s="292"/>
      <c r="R208" s="292"/>
    </row>
    <row r="209" spans="2:18">
      <c r="B209" s="26"/>
      <c r="C209" s="26"/>
      <c r="D209" s="26"/>
      <c r="E209" s="296"/>
      <c r="F209" s="252"/>
      <c r="G209" s="296"/>
      <c r="H209" s="295"/>
      <c r="I209" s="26"/>
      <c r="J209" s="26"/>
      <c r="K209" s="26"/>
      <c r="L209" s="26"/>
      <c r="M209" s="295"/>
      <c r="N209" s="294"/>
      <c r="O209" s="288"/>
      <c r="P209" s="293"/>
      <c r="Q209" s="292"/>
      <c r="R209" s="292"/>
    </row>
    <row r="210" spans="2:18">
      <c r="B210" s="26"/>
      <c r="C210" s="26"/>
      <c r="D210" s="26"/>
      <c r="E210" s="296"/>
      <c r="F210" s="252"/>
      <c r="G210" s="296"/>
      <c r="H210" s="295"/>
      <c r="I210" s="26"/>
      <c r="J210" s="26"/>
      <c r="K210" s="26"/>
      <c r="L210" s="26"/>
      <c r="M210" s="295"/>
      <c r="N210" s="294"/>
      <c r="O210" s="288"/>
      <c r="P210" s="293"/>
      <c r="Q210" s="292"/>
      <c r="R210" s="292"/>
    </row>
    <row r="211" spans="2:18">
      <c r="B211" s="26"/>
      <c r="C211" s="26"/>
      <c r="D211" s="26"/>
      <c r="E211" s="296"/>
      <c r="F211" s="252"/>
      <c r="G211" s="296"/>
      <c r="H211" s="295"/>
      <c r="I211" s="26"/>
      <c r="J211" s="26"/>
      <c r="K211" s="26"/>
      <c r="L211" s="26"/>
      <c r="M211" s="295"/>
      <c r="N211" s="294"/>
      <c r="O211" s="288"/>
      <c r="P211" s="293"/>
      <c r="Q211" s="292"/>
      <c r="R211" s="292"/>
    </row>
    <row r="212" spans="2:18">
      <c r="B212" s="26"/>
      <c r="C212" s="26"/>
      <c r="D212" s="26"/>
      <c r="E212" s="296"/>
      <c r="F212" s="252"/>
      <c r="G212" s="296"/>
      <c r="H212" s="295"/>
      <c r="I212" s="26"/>
      <c r="J212" s="26"/>
      <c r="K212" s="26"/>
      <c r="L212" s="26"/>
      <c r="M212" s="295"/>
      <c r="N212" s="294"/>
      <c r="O212" s="288"/>
      <c r="P212" s="293"/>
      <c r="Q212" s="292"/>
      <c r="R212" s="292"/>
    </row>
    <row r="213" spans="2:18">
      <c r="B213" s="26"/>
      <c r="C213" s="26"/>
      <c r="D213" s="26"/>
      <c r="E213" s="296"/>
      <c r="F213" s="252"/>
      <c r="G213" s="296"/>
      <c r="H213" s="295"/>
      <c r="I213" s="26"/>
      <c r="J213" s="26"/>
      <c r="K213" s="26"/>
      <c r="L213" s="26"/>
      <c r="M213" s="295"/>
      <c r="N213" s="294"/>
      <c r="O213" s="288"/>
      <c r="P213" s="293"/>
      <c r="Q213" s="292"/>
      <c r="R213" s="292"/>
    </row>
    <row r="214" spans="2:18">
      <c r="B214" s="26"/>
      <c r="C214" s="26"/>
      <c r="D214" s="26"/>
      <c r="E214" s="296"/>
      <c r="F214" s="252"/>
      <c r="G214" s="296"/>
      <c r="H214" s="295"/>
      <c r="I214" s="26"/>
      <c r="J214" s="26"/>
      <c r="K214" s="26"/>
      <c r="L214" s="26"/>
      <c r="M214" s="295"/>
      <c r="N214" s="294"/>
      <c r="O214" s="288"/>
      <c r="P214" s="293"/>
      <c r="Q214" s="292"/>
      <c r="R214" s="292"/>
    </row>
    <row r="215" spans="2:18">
      <c r="B215" s="26"/>
      <c r="C215" s="26"/>
      <c r="D215" s="26"/>
      <c r="E215" s="296"/>
      <c r="F215" s="252"/>
      <c r="G215" s="296"/>
      <c r="H215" s="295"/>
      <c r="I215" s="26"/>
      <c r="J215" s="26"/>
      <c r="K215" s="26"/>
      <c r="L215" s="26"/>
      <c r="M215" s="295"/>
      <c r="N215" s="294"/>
      <c r="O215" s="288"/>
      <c r="P215" s="293"/>
      <c r="Q215" s="292"/>
      <c r="R215" s="292"/>
    </row>
    <row r="216" spans="2:18">
      <c r="B216" s="26"/>
      <c r="C216" s="26"/>
      <c r="D216" s="26"/>
      <c r="E216" s="296"/>
      <c r="F216" s="252"/>
      <c r="G216" s="296"/>
      <c r="H216" s="295"/>
      <c r="I216" s="26"/>
      <c r="J216" s="26"/>
      <c r="K216" s="26"/>
      <c r="L216" s="26"/>
      <c r="M216" s="295"/>
      <c r="N216" s="294"/>
      <c r="O216" s="288"/>
      <c r="P216" s="293"/>
      <c r="Q216" s="292"/>
      <c r="R216" s="292"/>
    </row>
    <row r="217" spans="2:18">
      <c r="B217" s="26"/>
      <c r="C217" s="26"/>
      <c r="D217" s="26"/>
      <c r="E217" s="296"/>
      <c r="F217" s="252"/>
      <c r="G217" s="296"/>
      <c r="H217" s="295"/>
      <c r="I217" s="26"/>
      <c r="J217" s="26"/>
      <c r="K217" s="26"/>
      <c r="L217" s="26"/>
      <c r="M217" s="295"/>
      <c r="N217" s="294"/>
      <c r="O217" s="288"/>
      <c r="P217" s="293"/>
      <c r="Q217" s="292"/>
      <c r="R217" s="292"/>
    </row>
    <row r="218" spans="2:18">
      <c r="B218" s="26"/>
      <c r="C218" s="26"/>
      <c r="D218" s="26"/>
      <c r="E218" s="296"/>
      <c r="F218" s="252"/>
      <c r="G218" s="296"/>
      <c r="H218" s="295"/>
      <c r="I218" s="26"/>
      <c r="J218" s="26"/>
      <c r="K218" s="26"/>
      <c r="L218" s="26"/>
      <c r="M218" s="295"/>
      <c r="N218" s="294"/>
      <c r="O218" s="288"/>
      <c r="P218" s="293"/>
      <c r="Q218" s="292"/>
      <c r="R218" s="292"/>
    </row>
    <row r="219" spans="2:18">
      <c r="B219" s="26"/>
      <c r="C219" s="26"/>
      <c r="D219" s="26"/>
      <c r="E219" s="296"/>
      <c r="F219" s="252"/>
      <c r="G219" s="296"/>
      <c r="H219" s="295"/>
      <c r="I219" s="26"/>
      <c r="J219" s="26"/>
      <c r="K219" s="26"/>
      <c r="L219" s="26"/>
      <c r="M219" s="295"/>
      <c r="N219" s="294"/>
      <c r="O219" s="288"/>
      <c r="P219" s="293"/>
      <c r="Q219" s="292"/>
      <c r="R219" s="292"/>
    </row>
    <row r="220" spans="2:18">
      <c r="B220" s="26"/>
      <c r="C220" s="26"/>
      <c r="D220" s="26"/>
      <c r="E220" s="296"/>
      <c r="F220" s="252"/>
      <c r="G220" s="296"/>
      <c r="H220" s="295"/>
      <c r="I220" s="26"/>
      <c r="J220" s="26"/>
      <c r="K220" s="26"/>
      <c r="L220" s="26"/>
      <c r="M220" s="295"/>
      <c r="N220" s="294"/>
      <c r="O220" s="288"/>
      <c r="P220" s="293"/>
      <c r="Q220" s="292"/>
      <c r="R220" s="292"/>
    </row>
    <row r="221" spans="2:18">
      <c r="B221" s="26"/>
      <c r="C221" s="26"/>
      <c r="D221" s="26"/>
      <c r="E221" s="296"/>
      <c r="F221" s="252"/>
      <c r="G221" s="296"/>
      <c r="H221" s="295"/>
      <c r="I221" s="26"/>
      <c r="J221" s="26"/>
      <c r="K221" s="26"/>
      <c r="L221" s="26"/>
      <c r="M221" s="295"/>
      <c r="N221" s="294"/>
      <c r="O221" s="288"/>
      <c r="P221" s="293"/>
      <c r="Q221" s="292"/>
      <c r="R221" s="292"/>
    </row>
    <row r="222" spans="2:18">
      <c r="B222" s="26"/>
      <c r="C222" s="26"/>
      <c r="D222" s="26"/>
      <c r="E222" s="296"/>
      <c r="F222" s="252"/>
      <c r="G222" s="296"/>
      <c r="H222" s="295"/>
      <c r="I222" s="26"/>
      <c r="J222" s="26"/>
      <c r="K222" s="26"/>
      <c r="L222" s="26"/>
      <c r="M222" s="295"/>
      <c r="N222" s="294"/>
      <c r="O222" s="288"/>
      <c r="P222" s="293"/>
      <c r="Q222" s="292"/>
      <c r="R222" s="292"/>
    </row>
    <row r="223" spans="2:18">
      <c r="B223" s="26"/>
      <c r="C223" s="26"/>
      <c r="D223" s="26"/>
      <c r="E223" s="296"/>
      <c r="F223" s="252"/>
      <c r="G223" s="296"/>
      <c r="H223" s="295"/>
      <c r="I223" s="26"/>
      <c r="J223" s="26"/>
      <c r="K223" s="26"/>
      <c r="L223" s="26"/>
      <c r="M223" s="295"/>
      <c r="N223" s="294"/>
      <c r="O223" s="288"/>
      <c r="P223" s="293"/>
      <c r="Q223" s="292"/>
      <c r="R223" s="292"/>
    </row>
    <row r="224" spans="2:18">
      <c r="B224" s="26"/>
      <c r="C224" s="26"/>
      <c r="D224" s="26"/>
      <c r="E224" s="296"/>
      <c r="F224" s="252"/>
      <c r="G224" s="296"/>
      <c r="H224" s="295"/>
      <c r="I224" s="26"/>
      <c r="J224" s="26"/>
      <c r="K224" s="26"/>
      <c r="L224" s="26"/>
      <c r="M224" s="295"/>
      <c r="N224" s="294"/>
      <c r="O224" s="288"/>
      <c r="P224" s="293"/>
      <c r="Q224" s="292"/>
      <c r="R224" s="292"/>
    </row>
    <row r="225" spans="2:18">
      <c r="B225" s="26"/>
      <c r="C225" s="26"/>
      <c r="D225" s="26"/>
      <c r="E225" s="296"/>
      <c r="F225" s="252"/>
      <c r="G225" s="296"/>
      <c r="H225" s="295"/>
      <c r="I225" s="26"/>
      <c r="J225" s="26"/>
      <c r="K225" s="26"/>
      <c r="L225" s="26"/>
      <c r="M225" s="295"/>
      <c r="N225" s="294"/>
      <c r="O225" s="288"/>
      <c r="P225" s="293"/>
      <c r="Q225" s="292"/>
      <c r="R225" s="292"/>
    </row>
    <row r="226" spans="2:18">
      <c r="B226" s="26"/>
      <c r="C226" s="26"/>
      <c r="D226" s="26"/>
      <c r="E226" s="296"/>
      <c r="F226" s="252"/>
      <c r="G226" s="296"/>
      <c r="H226" s="295"/>
      <c r="I226" s="26"/>
      <c r="J226" s="26"/>
      <c r="K226" s="26"/>
      <c r="L226" s="26"/>
      <c r="M226" s="295"/>
      <c r="N226" s="294"/>
      <c r="O226" s="288"/>
      <c r="P226" s="293"/>
      <c r="Q226" s="292"/>
      <c r="R226" s="292"/>
    </row>
    <row r="227" spans="2:18">
      <c r="B227" s="26"/>
      <c r="C227" s="26"/>
      <c r="D227" s="26"/>
      <c r="E227" s="296"/>
      <c r="F227" s="252"/>
      <c r="G227" s="296"/>
      <c r="H227" s="295"/>
      <c r="I227" s="26"/>
      <c r="J227" s="26"/>
      <c r="K227" s="26"/>
      <c r="L227" s="26"/>
      <c r="M227" s="295"/>
      <c r="N227" s="294"/>
      <c r="O227" s="288"/>
      <c r="P227" s="293"/>
      <c r="Q227" s="292"/>
      <c r="R227" s="292"/>
    </row>
    <row r="228" spans="2:18">
      <c r="B228" s="26"/>
      <c r="C228" s="26"/>
      <c r="D228" s="26"/>
      <c r="E228" s="296"/>
      <c r="F228" s="252"/>
      <c r="G228" s="296"/>
      <c r="H228" s="295"/>
      <c r="I228" s="26"/>
      <c r="J228" s="26"/>
      <c r="K228" s="26"/>
      <c r="L228" s="26"/>
      <c r="M228" s="295"/>
      <c r="N228" s="294"/>
      <c r="O228" s="288"/>
      <c r="P228" s="293"/>
      <c r="Q228" s="292"/>
      <c r="R228" s="292"/>
    </row>
    <row r="229" spans="2:18">
      <c r="B229" s="26"/>
      <c r="C229" s="26"/>
      <c r="D229" s="26"/>
      <c r="E229" s="296"/>
      <c r="F229" s="252"/>
      <c r="G229" s="296"/>
      <c r="H229" s="295"/>
      <c r="I229" s="26"/>
      <c r="J229" s="26"/>
      <c r="K229" s="26"/>
      <c r="L229" s="26"/>
      <c r="M229" s="295"/>
      <c r="N229" s="294"/>
      <c r="O229" s="288"/>
      <c r="P229" s="293"/>
      <c r="Q229" s="292"/>
      <c r="R229" s="292"/>
    </row>
    <row r="230" spans="2:18">
      <c r="B230" s="26"/>
      <c r="C230" s="26"/>
      <c r="D230" s="2"/>
      <c r="E230" s="291"/>
      <c r="F230" s="291"/>
      <c r="G230" s="291"/>
      <c r="H230" s="291"/>
      <c r="I230" s="291"/>
      <c r="J230" s="291"/>
      <c r="K230" s="291"/>
      <c r="L230" s="291"/>
      <c r="M230" s="291"/>
      <c r="N230" s="290"/>
      <c r="O230" s="288"/>
      <c r="P230" s="289"/>
      <c r="Q230" s="289"/>
      <c r="R230" s="288"/>
    </row>
    <row r="231" spans="2:18">
      <c r="B231" s="26"/>
      <c r="C231" s="26"/>
      <c r="D231" s="26"/>
      <c r="E231" s="26"/>
      <c r="F231" s="26"/>
      <c r="G231" s="26"/>
      <c r="H231" s="26"/>
      <c r="I231" s="26"/>
      <c r="J231" s="26"/>
      <c r="K231" s="26"/>
      <c r="L231" s="26"/>
      <c r="M231" s="26"/>
      <c r="N231" s="26"/>
      <c r="O231" s="26"/>
      <c r="P231" s="26"/>
      <c r="Q231" s="26"/>
      <c r="R231" s="27"/>
    </row>
    <row r="232" spans="2:18">
      <c r="B232" s="26"/>
      <c r="C232" s="26"/>
      <c r="D232" s="26"/>
      <c r="E232" s="26"/>
      <c r="F232" s="26"/>
      <c r="G232" s="26"/>
      <c r="H232" s="26"/>
      <c r="I232" s="26"/>
      <c r="J232" s="26"/>
      <c r="K232" s="26"/>
      <c r="L232" s="26"/>
      <c r="M232" s="26"/>
      <c r="N232" s="26"/>
      <c r="O232" s="26"/>
      <c r="P232" s="26"/>
      <c r="Q232" s="26"/>
      <c r="R232" s="27"/>
    </row>
    <row r="233" spans="2:18">
      <c r="B233" s="2"/>
      <c r="C233" s="26"/>
      <c r="D233" s="26"/>
      <c r="E233" s="26"/>
      <c r="F233" s="26"/>
      <c r="G233" s="26"/>
      <c r="H233" s="26"/>
      <c r="I233" s="26"/>
      <c r="J233" s="26"/>
      <c r="K233" s="26"/>
      <c r="L233" s="26"/>
      <c r="M233" s="26"/>
      <c r="N233" s="26"/>
      <c r="O233" s="26"/>
      <c r="P233" s="26"/>
      <c r="Q233" s="26"/>
      <c r="R233" s="27"/>
    </row>
    <row r="234" spans="2:18">
      <c r="B234" s="2"/>
      <c r="C234" s="2"/>
      <c r="D234" s="2"/>
      <c r="E234" s="26"/>
      <c r="F234" s="26"/>
      <c r="G234" s="26"/>
      <c r="H234" s="26"/>
      <c r="I234" s="26"/>
      <c r="J234" s="26"/>
      <c r="K234" s="26"/>
      <c r="L234" s="26"/>
      <c r="M234" s="26"/>
      <c r="N234" s="26"/>
      <c r="O234" s="26"/>
      <c r="P234" s="26"/>
      <c r="Q234" s="26"/>
      <c r="R234" s="27"/>
    </row>
    <row r="235" spans="2:18">
      <c r="B235" s="26"/>
      <c r="C235" s="287"/>
      <c r="D235" s="26"/>
      <c r="E235" s="26"/>
      <c r="F235" s="26"/>
      <c r="G235" s="26"/>
      <c r="H235" s="26"/>
      <c r="I235" s="26"/>
      <c r="J235" s="26"/>
      <c r="K235" s="26"/>
      <c r="L235" s="26"/>
      <c r="M235" s="26"/>
      <c r="N235" s="26"/>
      <c r="O235" s="26"/>
      <c r="P235" s="26"/>
      <c r="Q235" s="26"/>
      <c r="R235" s="27"/>
    </row>
    <row r="236" spans="2:18">
      <c r="B236" s="26"/>
      <c r="C236" s="287"/>
      <c r="D236" s="26"/>
      <c r="E236" s="26"/>
      <c r="F236" s="26"/>
      <c r="G236" s="26"/>
      <c r="H236" s="26"/>
      <c r="I236" s="26"/>
      <c r="J236" s="26"/>
      <c r="K236" s="26"/>
      <c r="L236" s="26"/>
      <c r="M236" s="26"/>
      <c r="N236" s="26"/>
      <c r="O236" s="26"/>
      <c r="P236" s="26"/>
      <c r="Q236" s="26"/>
      <c r="R236" s="27"/>
    </row>
    <row r="237" spans="2:18">
      <c r="B237" s="26"/>
      <c r="C237" s="287"/>
      <c r="D237" s="26"/>
      <c r="E237" s="26"/>
      <c r="F237" s="26"/>
      <c r="G237" s="26"/>
      <c r="H237" s="26"/>
      <c r="I237" s="26"/>
      <c r="J237" s="26"/>
      <c r="K237" s="26"/>
      <c r="L237" s="26"/>
      <c r="M237" s="26"/>
      <c r="N237" s="26"/>
      <c r="O237" s="26"/>
      <c r="P237" s="26"/>
      <c r="Q237" s="26"/>
      <c r="R237" s="27"/>
    </row>
  </sheetData>
  <dataValidations count="5">
    <dataValidation type="list" allowBlank="1" showInputMessage="1" showErrorMessage="1" sqref="C59:L59" xr:uid="{F7F793E7-EE3A-46FC-A157-BC266F8940D6}">
      <formula1>$N$19:$AQ$19</formula1>
    </dataValidation>
    <dataValidation type="list" allowBlank="1" showInputMessage="1" showErrorMessage="1" sqref="E11:E20" xr:uid="{7B2E12EE-4544-4166-AF7D-A3F6BABB9AB9}">
      <formula1>$N$16:$O$16</formula1>
    </dataValidation>
    <dataValidation type="list" allowBlank="1" showInputMessage="1" showErrorMessage="1" sqref="D11:D20" xr:uid="{7A2D873D-647A-4035-A248-03DCFBD65CB4}">
      <formula1>$N$22:$AE$22</formula1>
    </dataValidation>
    <dataValidation type="list" allowBlank="1" showInputMessage="1" showErrorMessage="1" sqref="B11:C20" xr:uid="{E62E31CF-3BBC-408F-A0A2-EBF5B1D4788A}">
      <formula1>$N$7:$Q$7</formula1>
    </dataValidation>
    <dataValidation type="list" allowBlank="1" showInputMessage="1" showErrorMessage="1" sqref="D7" xr:uid="{EA083969-599A-4C17-B5DD-1F2EF50C5EB0}">
      <formula1>$N$11:$O$11</formula1>
    </dataValidation>
  </dataValidation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558AE-FCA2-44D4-88D8-9AD3E2B78BB7}">
  <sheetPr codeName="Sheet175">
    <tabColor indexed="15"/>
  </sheetPr>
  <dimension ref="A1:AQ237"/>
  <sheetViews>
    <sheetView topLeftCell="A45" zoomScale="85" zoomScaleNormal="85" workbookViewId="0">
      <selection activeCell="C54" sqref="C54:D54"/>
    </sheetView>
  </sheetViews>
  <sheetFormatPr defaultColWidth="8.85546875" defaultRowHeight="1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Combination Oven</v>
      </c>
      <c r="C7" s="98" t="s">
        <v>2059</v>
      </c>
      <c r="D7" s="97" t="s">
        <v>211</v>
      </c>
      <c r="E7" s="97">
        <f>C129</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Combination Oven_CI, E - Cook (MD)</v>
      </c>
      <c r="J11" s="83" t="str">
        <f t="shared" ref="J11:J20" si="3">IF(B11="","",CONCATENATE($C$7,IF(C11="","",CONCATENATE(" with ",C11," Secondary Fuel"))))</f>
        <v>ENERGY STAR Combination Ovens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Combination Oven_CI, P - Cook (MD)</v>
      </c>
      <c r="J12" s="83" t="str">
        <f t="shared" si="3"/>
        <v>ENERGY STAR Combination Ovens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Combination Oven_CI, E - Cook (MD)</v>
      </c>
      <c r="D33" s="83" t="str">
        <f t="shared" ca="1" si="5"/>
        <v>CI Combination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Combination Oven_CI, E - Cook (MD)</v>
      </c>
      <c r="N33" s="84" t="str">
        <f t="shared" ca="1" si="6"/>
        <v>CI Combination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Combination Ovens</v>
      </c>
      <c r="D34" s="83" t="str">
        <f t="shared" si="8"/>
        <v>ENERGY STAR Combination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Combination Oven_CI, E - Cook (MD)</v>
      </c>
      <c r="D35" s="65" t="str">
        <f ca="1">D33</f>
        <v>CI Combination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Combination Ovens</v>
      </c>
      <c r="D36" s="65" t="str">
        <f>D34</f>
        <v>ENERGY STAR Combination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Combination Ovens</v>
      </c>
      <c r="D52" s="66" t="str">
        <f t="shared" si="16"/>
        <v>ENERGY STAR Combination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2345</v>
      </c>
      <c r="D55" s="65" t="s">
        <v>2345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S187</f>
        <v>2538.8533822907202</v>
      </c>
      <c r="D64" s="67">
        <f>P194</f>
        <v>79.917341399117646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U187</f>
        <v>8.6766480489199953</v>
      </c>
      <c r="D65" s="67">
        <f>R194</f>
        <v>0.54354827056585675</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V187</f>
        <v>2782.6666666666665</v>
      </c>
      <c r="D68" s="71">
        <f>S194</f>
        <v>4659.333333333333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W187</f>
        <v>1.121638562728378</v>
      </c>
      <c r="D69" s="70">
        <f>T194</f>
        <v>58.03582783068218</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Combination Ovens</v>
      </c>
      <c r="D71" s="66" t="str">
        <f t="shared" si="24"/>
        <v>ENERGY STAR Combination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918</v>
      </c>
    </row>
    <row r="106" spans="1:22">
      <c r="B106" s="1" t="s">
        <v>917</v>
      </c>
    </row>
    <row r="107" spans="1:22">
      <c r="B107" s="1" t="s">
        <v>916</v>
      </c>
    </row>
    <row r="108" spans="1:22">
      <c r="B108" s="1" t="s">
        <v>915</v>
      </c>
    </row>
    <row r="109" spans="1:22">
      <c r="B109" s="1" t="s">
        <v>914</v>
      </c>
    </row>
    <row r="110" spans="1:22">
      <c r="B110" s="1" t="s">
        <v>913</v>
      </c>
    </row>
    <row r="112" spans="1:22" s="63" customFormat="1" ht="15.75" thickBot="1">
      <c r="B112" s="63" t="s">
        <v>50</v>
      </c>
    </row>
    <row r="114" spans="2:14">
      <c r="B114" s="1" t="s">
        <v>877</v>
      </c>
      <c r="C114" s="1" t="s">
        <v>35</v>
      </c>
      <c r="D114" s="57" t="s">
        <v>904</v>
      </c>
      <c r="N114" s="95"/>
    </row>
    <row r="115" spans="2:14">
      <c r="B115" s="1" t="s">
        <v>912</v>
      </c>
      <c r="C115" s="1">
        <v>73.2</v>
      </c>
      <c r="D115" s="57" t="s">
        <v>904</v>
      </c>
      <c r="G115" s="330"/>
      <c r="H115" s="331"/>
      <c r="I115" s="331"/>
      <c r="J115" s="331"/>
      <c r="K115" s="331"/>
    </row>
    <row r="116" spans="2:14">
      <c r="B116" s="1" t="s">
        <v>2150</v>
      </c>
      <c r="C116" s="1">
        <v>250</v>
      </c>
      <c r="D116" s="57" t="s">
        <v>904</v>
      </c>
      <c r="G116" s="330"/>
      <c r="H116" s="331"/>
      <c r="I116" s="331"/>
      <c r="J116" s="331"/>
      <c r="K116" s="331"/>
    </row>
    <row r="117" spans="2:14">
      <c r="B117" s="1" t="s">
        <v>903</v>
      </c>
      <c r="C117" s="1" t="s">
        <v>35</v>
      </c>
      <c r="D117" s="57" t="s">
        <v>904</v>
      </c>
      <c r="G117" s="330"/>
      <c r="H117" s="329"/>
      <c r="I117" s="329"/>
      <c r="J117" s="329"/>
      <c r="K117" s="329"/>
    </row>
    <row r="118" spans="2:14">
      <c r="B118" s="1" t="s">
        <v>911</v>
      </c>
      <c r="C118" s="188">
        <v>0.5</v>
      </c>
      <c r="D118" s="57" t="s">
        <v>904</v>
      </c>
      <c r="G118" s="327"/>
      <c r="H118" s="326"/>
      <c r="I118" s="326"/>
      <c r="J118" s="326"/>
      <c r="K118" s="326"/>
    </row>
    <row r="119" spans="2:14">
      <c r="B119" s="1" t="s">
        <v>910</v>
      </c>
      <c r="C119" s="1">
        <v>30.8</v>
      </c>
      <c r="D119" s="57" t="s">
        <v>904</v>
      </c>
      <c r="G119" s="327"/>
      <c r="H119" s="328"/>
      <c r="I119" s="328"/>
      <c r="J119" s="328"/>
      <c r="K119" s="328"/>
    </row>
    <row r="120" spans="2:14">
      <c r="B120" s="1" t="s">
        <v>2167</v>
      </c>
      <c r="C120" s="1">
        <v>105</v>
      </c>
      <c r="D120" s="57" t="s">
        <v>904</v>
      </c>
      <c r="G120" s="327"/>
      <c r="H120" s="328"/>
      <c r="I120" s="328"/>
      <c r="J120" s="328"/>
      <c r="K120" s="328"/>
    </row>
    <row r="121" spans="2:14">
      <c r="B121" s="1" t="s">
        <v>909</v>
      </c>
      <c r="C121" s="325">
        <f>1-C118</f>
        <v>0.5</v>
      </c>
      <c r="D121" s="57" t="s">
        <v>904</v>
      </c>
      <c r="G121" s="327"/>
      <c r="H121" s="326"/>
      <c r="I121" s="326"/>
      <c r="J121" s="326"/>
      <c r="K121" s="326"/>
    </row>
    <row r="122" spans="2:14">
      <c r="B122" s="1" t="s">
        <v>908</v>
      </c>
      <c r="C122" s="325" t="s">
        <v>35</v>
      </c>
      <c r="D122" s="57" t="s">
        <v>904</v>
      </c>
    </row>
    <row r="123" spans="2:14">
      <c r="B123" s="1" t="s">
        <v>309</v>
      </c>
      <c r="C123" s="1">
        <v>12</v>
      </c>
      <c r="D123" s="57" t="s">
        <v>904</v>
      </c>
    </row>
    <row r="124" spans="2:14">
      <c r="B124" s="1" t="s">
        <v>907</v>
      </c>
      <c r="C124" s="324" t="s">
        <v>35</v>
      </c>
      <c r="D124" s="57" t="s">
        <v>904</v>
      </c>
    </row>
    <row r="125" spans="2:14">
      <c r="B125" s="1" t="s">
        <v>896</v>
      </c>
      <c r="C125" s="324" t="s">
        <v>35</v>
      </c>
      <c r="D125" s="57" t="s">
        <v>904</v>
      </c>
    </row>
    <row r="126" spans="2:14">
      <c r="B126" s="1" t="s">
        <v>906</v>
      </c>
      <c r="C126" s="1" t="s">
        <v>35</v>
      </c>
      <c r="D126" s="57" t="s">
        <v>904</v>
      </c>
    </row>
    <row r="127" spans="2:14">
      <c r="B127" s="1" t="s">
        <v>905</v>
      </c>
      <c r="C127" s="1" t="s">
        <v>35</v>
      </c>
      <c r="D127" s="57" t="s">
        <v>904</v>
      </c>
    </row>
    <row r="128" spans="2:14">
      <c r="B128" s="1" t="s">
        <v>885</v>
      </c>
      <c r="C128" s="1">
        <v>365</v>
      </c>
      <c r="D128" s="57" t="s">
        <v>904</v>
      </c>
    </row>
    <row r="129" spans="2:6">
      <c r="B129" s="1" t="s">
        <v>305</v>
      </c>
      <c r="C129" s="1">
        <v>12</v>
      </c>
      <c r="D129" s="57" t="s">
        <v>904</v>
      </c>
    </row>
    <row r="130" spans="2:6">
      <c r="B130" s="1" t="s">
        <v>408</v>
      </c>
      <c r="C130" s="1">
        <v>365</v>
      </c>
      <c r="D130" s="57" t="s">
        <v>904</v>
      </c>
    </row>
    <row r="131" spans="2:6">
      <c r="C131" s="324"/>
      <c r="D131" s="57"/>
    </row>
    <row r="132" spans="2:6">
      <c r="B132" s="94" t="s">
        <v>878</v>
      </c>
      <c r="C132" s="94" t="s">
        <v>877</v>
      </c>
      <c r="D132" s="94" t="s">
        <v>2169</v>
      </c>
      <c r="E132" s="94" t="s">
        <v>2149</v>
      </c>
      <c r="F132" s="94" t="s">
        <v>2170</v>
      </c>
    </row>
    <row r="133" spans="2:6">
      <c r="B133" s="93" t="s">
        <v>861</v>
      </c>
      <c r="C133" s="93">
        <v>200</v>
      </c>
      <c r="D133" s="323">
        <v>2269</v>
      </c>
      <c r="E133" s="93">
        <v>200</v>
      </c>
      <c r="F133" s="323">
        <v>3932</v>
      </c>
    </row>
    <row r="134" spans="2:6">
      <c r="B134" s="93" t="s">
        <v>860</v>
      </c>
      <c r="C134" s="93">
        <v>250</v>
      </c>
      <c r="D134" s="323">
        <v>2281</v>
      </c>
      <c r="E134" s="93">
        <v>250</v>
      </c>
      <c r="F134" s="323">
        <v>4217</v>
      </c>
    </row>
    <row r="135" spans="2:6">
      <c r="B135" s="93" t="s">
        <v>859</v>
      </c>
      <c r="C135" s="93">
        <v>250</v>
      </c>
      <c r="D135" s="323">
        <v>3798</v>
      </c>
      <c r="E135" s="93">
        <v>400</v>
      </c>
      <c r="F135" s="323">
        <v>5829</v>
      </c>
    </row>
    <row r="136" spans="2:6">
      <c r="C136" s="322"/>
      <c r="D136" s="57"/>
    </row>
    <row r="137" spans="2:6">
      <c r="B137" s="94" t="s">
        <v>2151</v>
      </c>
      <c r="C137" s="94" t="s">
        <v>2153</v>
      </c>
      <c r="D137" s="94" t="s">
        <v>2152</v>
      </c>
      <c r="E137" s="94" t="s">
        <v>2154</v>
      </c>
      <c r="F137" s="94" t="s">
        <v>2155</v>
      </c>
    </row>
    <row r="138" spans="2:6">
      <c r="B138" s="93" t="s">
        <v>902</v>
      </c>
      <c r="C138" s="93">
        <v>0.72</v>
      </c>
      <c r="D138" s="93">
        <v>0.78</v>
      </c>
      <c r="E138" s="93">
        <v>0.49</v>
      </c>
      <c r="F138" s="93">
        <v>0.56999999999999995</v>
      </c>
    </row>
    <row r="139" spans="2:6">
      <c r="B139" s="93" t="s">
        <v>901</v>
      </c>
      <c r="C139" s="93">
        <v>0.52</v>
      </c>
      <c r="D139" s="93">
        <v>0.55000000000000004</v>
      </c>
      <c r="E139" s="93">
        <v>0.37</v>
      </c>
      <c r="F139" s="93">
        <v>0.41</v>
      </c>
    </row>
    <row r="140" spans="2:6">
      <c r="D140" s="57"/>
    </row>
    <row r="141" spans="2:6">
      <c r="B141" s="94" t="s">
        <v>878</v>
      </c>
      <c r="C141" s="94" t="s">
        <v>900</v>
      </c>
      <c r="D141" s="94" t="s">
        <v>899</v>
      </c>
      <c r="E141" s="94" t="s">
        <v>2156</v>
      </c>
      <c r="F141" s="94" t="s">
        <v>2168</v>
      </c>
    </row>
    <row r="142" spans="2:6">
      <c r="B142" s="93" t="s">
        <v>861</v>
      </c>
      <c r="C142" s="93">
        <v>1754</v>
      </c>
      <c r="D142" s="93">
        <v>5260</v>
      </c>
      <c r="E142" s="93">
        <v>9840</v>
      </c>
      <c r="F142" s="93">
        <v>24003</v>
      </c>
    </row>
    <row r="143" spans="2:6">
      <c r="B143" s="93" t="s">
        <v>860</v>
      </c>
      <c r="C143" s="93">
        <v>2966</v>
      </c>
      <c r="D143" s="93">
        <v>8866</v>
      </c>
      <c r="E143" s="93">
        <v>11734</v>
      </c>
      <c r="F143" s="93">
        <v>27795</v>
      </c>
    </row>
    <row r="144" spans="2:6">
      <c r="B144" s="93" t="s">
        <v>859</v>
      </c>
      <c r="C144" s="93">
        <v>4418</v>
      </c>
      <c r="D144" s="93">
        <v>11875</v>
      </c>
      <c r="E144" s="93">
        <v>15376</v>
      </c>
      <c r="F144" s="93">
        <v>27957</v>
      </c>
    </row>
    <row r="145" spans="2:6">
      <c r="D145" s="57"/>
    </row>
    <row r="146" spans="2:6">
      <c r="B146" s="94" t="s">
        <v>878</v>
      </c>
      <c r="C146" s="94" t="s">
        <v>898</v>
      </c>
      <c r="D146" s="94" t="s">
        <v>897</v>
      </c>
      <c r="E146" s="94" t="s">
        <v>2157</v>
      </c>
      <c r="F146" s="94" t="s">
        <v>2158</v>
      </c>
    </row>
    <row r="147" spans="2:6">
      <c r="B147" s="93" t="s">
        <v>861</v>
      </c>
      <c r="C147" s="93">
        <v>79</v>
      </c>
      <c r="D147" s="93">
        <v>126</v>
      </c>
      <c r="E147" s="93">
        <v>125</v>
      </c>
      <c r="F147" s="93">
        <v>195</v>
      </c>
    </row>
    <row r="148" spans="2:6">
      <c r="B148" s="93" t="s">
        <v>860</v>
      </c>
      <c r="C148" s="93">
        <v>166</v>
      </c>
      <c r="D148" s="93">
        <v>295</v>
      </c>
      <c r="E148" s="93">
        <v>176</v>
      </c>
      <c r="F148" s="93">
        <v>211</v>
      </c>
    </row>
    <row r="149" spans="2:6">
      <c r="B149" s="93" t="s">
        <v>859</v>
      </c>
      <c r="C149" s="93">
        <v>166</v>
      </c>
      <c r="D149" s="93">
        <v>295</v>
      </c>
      <c r="E149" s="93">
        <v>392</v>
      </c>
      <c r="F149" s="93">
        <v>579</v>
      </c>
    </row>
    <row r="150" spans="2:6">
      <c r="D150" s="57"/>
    </row>
    <row r="151" spans="2:6">
      <c r="B151" s="94" t="s">
        <v>878</v>
      </c>
      <c r="C151" s="94" t="s">
        <v>896</v>
      </c>
      <c r="D151" s="318" t="s">
        <v>2162</v>
      </c>
    </row>
    <row r="152" spans="2:6">
      <c r="B152" s="321" t="s">
        <v>890</v>
      </c>
      <c r="C152" s="93" t="s">
        <v>895</v>
      </c>
      <c r="D152" s="332" t="s">
        <v>2163</v>
      </c>
    </row>
    <row r="153" spans="2:6">
      <c r="B153" s="320" t="s">
        <v>888</v>
      </c>
      <c r="C153" s="93" t="s">
        <v>894</v>
      </c>
      <c r="D153" s="332"/>
    </row>
    <row r="154" spans="2:6">
      <c r="D154" s="57"/>
    </row>
    <row r="155" spans="2:6">
      <c r="B155" s="94" t="s">
        <v>878</v>
      </c>
      <c r="C155" s="94" t="s">
        <v>893</v>
      </c>
      <c r="D155" s="94" t="s">
        <v>892</v>
      </c>
      <c r="E155" s="94" t="s">
        <v>2160</v>
      </c>
      <c r="F155" s="94" t="s">
        <v>2161</v>
      </c>
    </row>
    <row r="156" spans="2:6">
      <c r="B156" s="93" t="s">
        <v>861</v>
      </c>
      <c r="C156" s="93">
        <v>119</v>
      </c>
      <c r="D156" s="93">
        <v>177</v>
      </c>
      <c r="E156" s="93">
        <v>124</v>
      </c>
      <c r="F156" s="93">
        <v>172</v>
      </c>
    </row>
    <row r="157" spans="2:6">
      <c r="B157" s="93" t="s">
        <v>860</v>
      </c>
      <c r="C157" s="93">
        <v>201</v>
      </c>
      <c r="D157" s="93">
        <v>349</v>
      </c>
      <c r="E157" s="93">
        <v>210</v>
      </c>
      <c r="F157" s="93">
        <v>277</v>
      </c>
    </row>
    <row r="158" spans="2:6">
      <c r="B158" s="93" t="s">
        <v>859</v>
      </c>
      <c r="C158" s="93">
        <v>201</v>
      </c>
      <c r="D158" s="93">
        <v>349</v>
      </c>
      <c r="E158" s="93">
        <v>394</v>
      </c>
      <c r="F158" s="93">
        <v>640</v>
      </c>
    </row>
    <row r="159" spans="2:6">
      <c r="D159" s="57"/>
    </row>
    <row r="160" spans="2:6">
      <c r="B160" s="94" t="s">
        <v>878</v>
      </c>
      <c r="C160" s="94" t="s">
        <v>891</v>
      </c>
      <c r="D160" s="318" t="s">
        <v>2159</v>
      </c>
    </row>
    <row r="161" spans="2:15">
      <c r="B161" s="321" t="s">
        <v>890</v>
      </c>
      <c r="C161" s="93" t="s">
        <v>889</v>
      </c>
      <c r="D161" s="332" t="s">
        <v>2164</v>
      </c>
    </row>
    <row r="162" spans="2:15">
      <c r="B162" s="320" t="s">
        <v>888</v>
      </c>
      <c r="C162" s="93" t="s">
        <v>887</v>
      </c>
      <c r="D162" s="332"/>
    </row>
    <row r="163" spans="2:15">
      <c r="D163" s="57"/>
    </row>
    <row r="164" spans="2:15">
      <c r="B164" s="94" t="s">
        <v>878</v>
      </c>
      <c r="C164" s="94" t="s">
        <v>886</v>
      </c>
      <c r="D164" s="94" t="s">
        <v>2165</v>
      </c>
    </row>
    <row r="165" spans="2:15">
      <c r="B165" s="93" t="s">
        <v>861</v>
      </c>
      <c r="C165" s="93">
        <v>1635</v>
      </c>
      <c r="D165" s="93">
        <v>10964</v>
      </c>
    </row>
    <row r="166" spans="2:15">
      <c r="B166" s="93" t="s">
        <v>860</v>
      </c>
      <c r="C166" s="93">
        <v>3146</v>
      </c>
      <c r="D166" s="93">
        <v>15844</v>
      </c>
    </row>
    <row r="167" spans="2:15">
      <c r="B167" s="93" t="s">
        <v>859</v>
      </c>
      <c r="C167" s="93">
        <v>3146</v>
      </c>
      <c r="D167" s="93">
        <v>15844</v>
      </c>
    </row>
    <row r="168" spans="2:15">
      <c r="D168" s="57"/>
    </row>
    <row r="169" spans="2:15">
      <c r="B169" s="94" t="s">
        <v>878</v>
      </c>
      <c r="C169" s="94" t="s">
        <v>885</v>
      </c>
      <c r="D169" s="94" t="s">
        <v>2166</v>
      </c>
    </row>
    <row r="170" spans="2:15">
      <c r="B170" s="93" t="s">
        <v>861</v>
      </c>
      <c r="C170" s="93">
        <v>997</v>
      </c>
      <c r="D170" s="93">
        <v>4467</v>
      </c>
      <c r="N170" s="95"/>
      <c r="O170" s="95"/>
    </row>
    <row r="171" spans="2:15">
      <c r="B171" s="93" t="s">
        <v>860</v>
      </c>
      <c r="C171" s="93">
        <v>1633</v>
      </c>
      <c r="D171" s="93">
        <v>10638</v>
      </c>
    </row>
    <row r="172" spans="2:15">
      <c r="B172" s="93" t="s">
        <v>859</v>
      </c>
      <c r="C172" s="93">
        <v>1633</v>
      </c>
      <c r="D172" s="93">
        <v>10638</v>
      </c>
    </row>
    <row r="173" spans="2:15">
      <c r="D173" s="57"/>
    </row>
    <row r="174" spans="2:15">
      <c r="B174" s="94" t="s">
        <v>588</v>
      </c>
      <c r="C174" s="319" t="s">
        <v>34</v>
      </c>
      <c r="D174" s="57"/>
    </row>
    <row r="175" spans="2:15">
      <c r="B175" s="93" t="s">
        <v>884</v>
      </c>
      <c r="C175" s="93">
        <v>0.32</v>
      </c>
      <c r="D175" s="57"/>
    </row>
    <row r="176" spans="2:15">
      <c r="B176" s="93" t="s">
        <v>883</v>
      </c>
      <c r="C176" s="93">
        <v>0.41</v>
      </c>
      <c r="D176" s="57"/>
    </row>
    <row r="177" spans="1:24">
      <c r="B177" s="93" t="s">
        <v>882</v>
      </c>
      <c r="C177" s="93">
        <v>0.46</v>
      </c>
      <c r="D177" s="57"/>
    </row>
    <row r="178" spans="1:24">
      <c r="B178" s="93" t="s">
        <v>881</v>
      </c>
      <c r="C178" s="93">
        <v>0.51</v>
      </c>
      <c r="D178" s="57"/>
    </row>
    <row r="179" spans="1:24">
      <c r="B179" s="93" t="s">
        <v>880</v>
      </c>
      <c r="C179" s="93">
        <v>0.36</v>
      </c>
      <c r="D179" s="57"/>
    </row>
    <row r="180" spans="1:24">
      <c r="B180" s="93" t="s">
        <v>879</v>
      </c>
      <c r="C180" s="93">
        <v>0.39</v>
      </c>
      <c r="D180" s="57"/>
    </row>
    <row r="181" spans="1:24">
      <c r="D181" s="57"/>
    </row>
    <row r="182" spans="1:24" ht="15.75" thickBot="1">
      <c r="A182" s="93"/>
      <c r="B182" s="94" t="s">
        <v>2122</v>
      </c>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c r="A183" s="93"/>
      <c r="B183" s="94" t="s">
        <v>878</v>
      </c>
      <c r="C183" s="94" t="s">
        <v>877</v>
      </c>
      <c r="D183" s="94" t="s">
        <v>876</v>
      </c>
      <c r="E183" s="318" t="s">
        <v>875</v>
      </c>
      <c r="F183" s="94" t="s">
        <v>874</v>
      </c>
      <c r="G183" s="94" t="s">
        <v>873</v>
      </c>
      <c r="H183" s="94" t="s">
        <v>872</v>
      </c>
      <c r="I183" s="94" t="s">
        <v>871</v>
      </c>
      <c r="J183" s="318" t="s">
        <v>870</v>
      </c>
      <c r="K183" s="94" t="s">
        <v>869</v>
      </c>
      <c r="L183" s="94" t="s">
        <v>868</v>
      </c>
      <c r="M183" s="94" t="s">
        <v>867</v>
      </c>
      <c r="N183" s="317" t="s">
        <v>866</v>
      </c>
      <c r="O183" s="316" t="s">
        <v>865</v>
      </c>
      <c r="P183" s="316" t="s">
        <v>864</v>
      </c>
      <c r="Q183" s="316" t="s">
        <v>863</v>
      </c>
      <c r="R183" s="316" t="s">
        <v>862</v>
      </c>
      <c r="S183" s="316" t="s">
        <v>500</v>
      </c>
      <c r="T183" s="316" t="s">
        <v>10</v>
      </c>
      <c r="U183" s="316" t="s">
        <v>244</v>
      </c>
      <c r="V183" s="316" t="s">
        <v>9</v>
      </c>
      <c r="W183" s="315" t="s">
        <v>8</v>
      </c>
      <c r="X183" s="315" t="s">
        <v>7</v>
      </c>
    </row>
    <row r="184" spans="1:24">
      <c r="A184" s="93" t="s">
        <v>861</v>
      </c>
      <c r="B184" s="93">
        <v>12</v>
      </c>
      <c r="C184" s="93">
        <f>VLOOKUP(A184,$B$132:$C$135,2,FALSE)</f>
        <v>200</v>
      </c>
      <c r="D184" s="640">
        <f>C184*$C$115*$C$118/$C$138</f>
        <v>10166.666666666668</v>
      </c>
      <c r="E184" s="530">
        <f>C184*$C$119*$C$118/$C$139</f>
        <v>5923.0769230769229</v>
      </c>
      <c r="F184" s="530">
        <f>C142*(($C$123-(C184/C147))*$C$118)/1000</f>
        <v>8.3037468354430377</v>
      </c>
      <c r="G184" s="530">
        <f>D142*(($C$123-(C184/D147))*$C$118)/1000</f>
        <v>27.385396825396828</v>
      </c>
      <c r="H184" s="530">
        <f>C165</f>
        <v>1635</v>
      </c>
      <c r="I184" s="93">
        <f>C184*$C$115*$C$118/$D$138</f>
        <v>9384.6153846153848</v>
      </c>
      <c r="J184" s="93">
        <f>C184*$C$119*$C$118/$D$139</f>
        <v>5600</v>
      </c>
      <c r="K184" s="93">
        <f>((0.083*B184)+0.35)*1000*(($C$123-(C184/C156))*$C$118)/1000</f>
        <v>6.9449075630252111</v>
      </c>
      <c r="L184" s="93">
        <f>((0.133*B184)+0.64)*1000*(($C$123-(C184/D156))*$C$118)/1000</f>
        <v>12.152723163841809</v>
      </c>
      <c r="M184" s="93">
        <f>C170</f>
        <v>997</v>
      </c>
      <c r="N184" s="655">
        <f>D184-I184</f>
        <v>782.05128205128312</v>
      </c>
      <c r="O184" s="530">
        <f>E184-J184</f>
        <v>323.07692307692287</v>
      </c>
      <c r="P184" s="530">
        <f>F184-K184</f>
        <v>1.3588392724178266</v>
      </c>
      <c r="Q184" s="530">
        <f>G184-L184</f>
        <v>15.232673661555019</v>
      </c>
      <c r="R184" s="93">
        <f t="shared" ref="N184:R186" si="31">H184-M184</f>
        <v>638</v>
      </c>
      <c r="S184" s="93">
        <f>SUM(N184:R184)</f>
        <v>1759.7197180621788</v>
      </c>
      <c r="T184" s="93">
        <f>S184*AVERAGE($C$175:$C$180)/(1000*$C$123)</f>
        <v>5.9879351517393591E-2</v>
      </c>
      <c r="U184" s="313">
        <f>SUM(D184:H184)/S184</f>
        <v>10.09276224566171</v>
      </c>
      <c r="V184" s="312">
        <f>D133</f>
        <v>2269</v>
      </c>
      <c r="W184" s="613">
        <f>V184/S184</f>
        <v>1.2894098853984803</v>
      </c>
      <c r="X184" s="311">
        <f>1/COUNT($W$184:$W$186)</f>
        <v>0.33333333333333331</v>
      </c>
    </row>
    <row r="185" spans="1:24">
      <c r="A185" s="93" t="s">
        <v>860</v>
      </c>
      <c r="B185" s="93">
        <v>23</v>
      </c>
      <c r="C185" s="93">
        <f>VLOOKUP(A185,$B$132:$C$135,2,FALSE)</f>
        <v>250</v>
      </c>
      <c r="D185" s="640">
        <f>C185*$C$115*$C$118/$C$138</f>
        <v>12708.333333333334</v>
      </c>
      <c r="E185" s="530">
        <f>C185*$C$119*$C$118/$C$139</f>
        <v>7403.8461538461534</v>
      </c>
      <c r="F185" s="530">
        <f>C143*(($C$123-(C185/C148))*$C$118)/1000</f>
        <v>15.562566265060243</v>
      </c>
      <c r="G185" s="530">
        <f>D143*(($C$123-(C185/D148))*$C$118)/1000</f>
        <v>49.439220338983056</v>
      </c>
      <c r="H185" s="530">
        <f>C166</f>
        <v>3146</v>
      </c>
      <c r="I185" s="93">
        <f>C185*$C$115*$C$118/$D$138</f>
        <v>11730.76923076923</v>
      </c>
      <c r="J185" s="93">
        <f>C185*$C$119*$C$118/$D$139</f>
        <v>6999.9999999999991</v>
      </c>
      <c r="K185" s="93">
        <f>((0.083*B185)+0.35)*1000*(($C$123-(C185/C157))*$C$118)/1000</f>
        <v>12.149149253731343</v>
      </c>
      <c r="L185" s="93">
        <f>((0.133*B185)+0.64)*1000*(($C$123-(C185/D157))*$C$118)/1000</f>
        <v>20.869143266475646</v>
      </c>
      <c r="M185" s="93">
        <f>C171</f>
        <v>1633</v>
      </c>
      <c r="N185" s="314">
        <f t="shared" si="31"/>
        <v>977.56410256410345</v>
      </c>
      <c r="O185" s="93">
        <f t="shared" si="31"/>
        <v>403.84615384615427</v>
      </c>
      <c r="P185" s="93">
        <f t="shared" si="31"/>
        <v>3.4134170113288995</v>
      </c>
      <c r="Q185" s="93">
        <f t="shared" si="31"/>
        <v>28.570077072507409</v>
      </c>
      <c r="R185" s="93">
        <f t="shared" si="31"/>
        <v>1513</v>
      </c>
      <c r="S185" s="93">
        <f>SUM(N185:R185)</f>
        <v>2926.3937504940941</v>
      </c>
      <c r="T185" s="93">
        <f>S185*AVERAGE($C$175:$C$180)/(1000*$C$123)</f>
        <v>9.9578676232090699E-2</v>
      </c>
      <c r="U185" s="313">
        <f>SUM(D185:H185)/S185</f>
        <v>7.969939544138799</v>
      </c>
      <c r="V185" s="312">
        <f>D134</f>
        <v>2281</v>
      </c>
      <c r="W185" s="613">
        <f>V185/S185</f>
        <v>0.77945765145748913</v>
      </c>
      <c r="X185" s="311">
        <f>1/COUNT($W$184:$W$186)</f>
        <v>0.33333333333333331</v>
      </c>
    </row>
    <row r="186" spans="1:24" ht="15.75" thickBot="1">
      <c r="A186" s="93" t="s">
        <v>859</v>
      </c>
      <c r="B186" s="93">
        <v>40</v>
      </c>
      <c r="C186" s="93">
        <f>VLOOKUP(A186,$B$132:$C$135,2,FALSE)</f>
        <v>250</v>
      </c>
      <c r="D186" s="640">
        <f>C186*$C$115*$C$118/$C$138</f>
        <v>12708.333333333334</v>
      </c>
      <c r="E186" s="530">
        <f>C186*$C$119*$C$118/$C$139</f>
        <v>7403.8461538461534</v>
      </c>
      <c r="F186" s="530">
        <f>C144*(($C$123-(C186/C149))*$C$118)/1000</f>
        <v>23.181192771084337</v>
      </c>
      <c r="G186" s="530">
        <f>D144*(($C$123-(C186/D149))*$C$118)/1000</f>
        <v>66.218220338983059</v>
      </c>
      <c r="H186" s="530">
        <f>C166</f>
        <v>3146</v>
      </c>
      <c r="I186" s="93">
        <f>C186*$C$115*$C$118/$D$138</f>
        <v>11730.76923076923</v>
      </c>
      <c r="J186" s="93">
        <f>C186*$C$119*$C$118/$D$139</f>
        <v>6999.9999999999991</v>
      </c>
      <c r="K186" s="93">
        <f>((0.083*B186)+0.35)*1000*(($C$123-(C186/C158))*$C$118)/1000</f>
        <v>19.737661691542289</v>
      </c>
      <c r="L186" s="93">
        <f>((0.133*B186)+0.64)*1000*(($C$123-(C186/D158))*$C$118)/1000</f>
        <v>33.625329512893977</v>
      </c>
      <c r="M186" s="93">
        <f>C172</f>
        <v>1633</v>
      </c>
      <c r="N186" s="310">
        <f t="shared" si="31"/>
        <v>977.56410256410345</v>
      </c>
      <c r="O186" s="308">
        <f t="shared" si="31"/>
        <v>403.84615384615427</v>
      </c>
      <c r="P186" s="308">
        <f t="shared" si="31"/>
        <v>3.4435310795420477</v>
      </c>
      <c r="Q186" s="308">
        <f t="shared" si="31"/>
        <v>32.592890826089082</v>
      </c>
      <c r="R186" s="308">
        <f t="shared" si="31"/>
        <v>1513</v>
      </c>
      <c r="S186" s="308">
        <f>SUM(N186:R186)</f>
        <v>2930.4466783158887</v>
      </c>
      <c r="T186" s="308">
        <f>S186*AVERAGE($C$175:$C$180)/(1000*$C$123)</f>
        <v>9.971658835936012E-2</v>
      </c>
      <c r="U186" s="309">
        <f>SUM(D186:H186)/S186</f>
        <v>7.9672423569594777</v>
      </c>
      <c r="V186" s="307">
        <f>D135</f>
        <v>3798</v>
      </c>
      <c r="W186" s="614">
        <f>V186/S186</f>
        <v>1.2960481513291651</v>
      </c>
      <c r="X186" s="311">
        <f>1/COUNT($W$184:$W$186)</f>
        <v>0.33333333333333331</v>
      </c>
    </row>
    <row r="187" spans="1:24">
      <c r="A187" s="93"/>
      <c r="B187" s="7" t="s">
        <v>0</v>
      </c>
      <c r="C187" s="7"/>
      <c r="D187" s="7"/>
      <c r="E187" s="7"/>
      <c r="F187" s="7"/>
      <c r="G187" s="7"/>
      <c r="H187" s="7"/>
      <c r="I187" s="7"/>
      <c r="J187" s="7"/>
      <c r="K187" s="7"/>
      <c r="L187" s="7"/>
      <c r="M187" s="7"/>
      <c r="N187" s="7"/>
      <c r="O187" s="7"/>
      <c r="P187" s="7"/>
      <c r="Q187" s="7"/>
      <c r="R187" s="7"/>
      <c r="S187" s="7">
        <f>SUMPRODUCT(S184:S186,$X$184:$X$186)</f>
        <v>2538.8533822907202</v>
      </c>
      <c r="T187" s="7">
        <f>SUMPRODUCT(T184:T186,$X$184:$X$186)</f>
        <v>8.6391538702948134E-2</v>
      </c>
      <c r="U187" s="7">
        <f>SUMPRODUCT(U184:U186,$X$184:$X$186)</f>
        <v>8.6766480489199953</v>
      </c>
      <c r="V187" s="7">
        <f>SUMPRODUCT(V184:V186,$X$184:$X$186)</f>
        <v>2782.6666666666665</v>
      </c>
      <c r="W187" s="7">
        <f>SUMPRODUCT(W184:W186,$X$184:$X$186)</f>
        <v>1.121638562728378</v>
      </c>
      <c r="X187" s="93"/>
    </row>
    <row r="188" spans="1:24">
      <c r="B188" s="302"/>
      <c r="C188" s="302"/>
      <c r="D188" s="302"/>
      <c r="E188" s="303"/>
      <c r="F188" s="304"/>
      <c r="G188" s="303"/>
      <c r="H188" s="301"/>
      <c r="I188" s="302"/>
      <c r="J188" s="302"/>
      <c r="K188" s="302"/>
      <c r="L188" s="302"/>
      <c r="M188" s="301"/>
      <c r="N188" s="300"/>
      <c r="O188" s="299"/>
      <c r="P188" s="298"/>
      <c r="Q188" s="297"/>
      <c r="R188" s="297"/>
    </row>
    <row r="189" spans="1:24" ht="15.75" thickBot="1">
      <c r="A189" s="93"/>
      <c r="B189" s="94" t="s">
        <v>2141</v>
      </c>
      <c r="C189" s="94"/>
      <c r="D189" s="318"/>
      <c r="E189" s="94"/>
      <c r="F189" s="94"/>
      <c r="G189" s="94"/>
      <c r="H189" s="94"/>
      <c r="I189" s="94"/>
      <c r="J189" s="94"/>
      <c r="K189" s="94"/>
      <c r="L189" s="94"/>
      <c r="M189" s="94"/>
      <c r="N189" s="93"/>
      <c r="O189" s="93"/>
      <c r="P189" s="93"/>
      <c r="Q189" s="93"/>
      <c r="R189" s="93"/>
      <c r="S189" s="93"/>
      <c r="T189" s="93"/>
      <c r="U189" s="93"/>
    </row>
    <row r="190" spans="1:24">
      <c r="A190" s="93"/>
      <c r="B190" s="94" t="s">
        <v>878</v>
      </c>
      <c r="C190" s="94" t="s">
        <v>2149</v>
      </c>
      <c r="D190" s="94" t="s">
        <v>2144</v>
      </c>
      <c r="E190" s="318" t="s">
        <v>2145</v>
      </c>
      <c r="F190" s="94" t="s">
        <v>2146</v>
      </c>
      <c r="G190" s="94" t="s">
        <v>2147</v>
      </c>
      <c r="H190" s="94" t="s">
        <v>2148</v>
      </c>
      <c r="I190" s="94" t="s">
        <v>871</v>
      </c>
      <c r="J190" s="318" t="s">
        <v>870</v>
      </c>
      <c r="K190" s="94" t="s">
        <v>869</v>
      </c>
      <c r="L190" s="94" t="s">
        <v>868</v>
      </c>
      <c r="M190" s="94" t="s">
        <v>867</v>
      </c>
      <c r="N190" s="317" t="s">
        <v>2142</v>
      </c>
      <c r="O190" s="316" t="s">
        <v>2143</v>
      </c>
      <c r="P190" s="316" t="s">
        <v>2017</v>
      </c>
      <c r="Q190" s="316"/>
      <c r="R190" s="316" t="s">
        <v>244</v>
      </c>
      <c r="S190" s="316" t="s">
        <v>9</v>
      </c>
      <c r="T190" s="315" t="s">
        <v>2047</v>
      </c>
      <c r="U190" s="315" t="s">
        <v>7</v>
      </c>
    </row>
    <row r="191" spans="1:24">
      <c r="A191" s="93" t="s">
        <v>861</v>
      </c>
      <c r="B191" s="93">
        <v>12</v>
      </c>
      <c r="C191" s="93">
        <f>VLOOKUP(A191,$B$132:$C$135,2,FALSE)</f>
        <v>200</v>
      </c>
      <c r="D191" s="639">
        <f>C191*$C$116*$C$118/$E$138</f>
        <v>51020.408163265311</v>
      </c>
      <c r="E191" s="530">
        <f>C191*$C$120*$C$118/$E$139</f>
        <v>28378.37837837838</v>
      </c>
      <c r="F191" s="530">
        <f>E142*($C$123-(C191/E147)*$C$118)</f>
        <v>110208</v>
      </c>
      <c r="G191" s="530">
        <f>F142*($C$123-(C191/F147))*$C$118</f>
        <v>131708.76923076922</v>
      </c>
      <c r="H191" s="530">
        <f>D165</f>
        <v>10964</v>
      </c>
      <c r="I191" s="93">
        <f>C191*$C$115*$C$118/$D$138</f>
        <v>9384.6153846153848</v>
      </c>
      <c r="J191" s="93">
        <f>C191*$C$119*$C$118/$D$139</f>
        <v>5600</v>
      </c>
      <c r="K191" s="93">
        <f>((0.083*B191)+0.35)*1000*(($C$123-(C191/C156))*$C$118)</f>
        <v>6944.9075630252109</v>
      </c>
      <c r="L191" s="93">
        <f>((0.133*B191)+0.64)*1000*(($C$123-(C191/D156))*$C$118)</f>
        <v>12152.723163841809</v>
      </c>
      <c r="M191" s="93">
        <f>C170</f>
        <v>997</v>
      </c>
      <c r="N191" s="314">
        <f>SUM(D191:H191)*$C$130/1000000</f>
        <v>121.28203785693071</v>
      </c>
      <c r="O191" s="93">
        <f>SUM(I191:M191)*$C$130*3.412/1000000</f>
        <v>43.686991522317953</v>
      </c>
      <c r="P191" s="93">
        <f>N191-O191</f>
        <v>77.595046334612761</v>
      </c>
      <c r="Q191" s="93"/>
      <c r="R191" s="313">
        <f>P191/N191</f>
        <v>0.63979009345264359</v>
      </c>
      <c r="S191" s="312">
        <f>F133</f>
        <v>3932</v>
      </c>
      <c r="T191" s="613">
        <f>S191/P191</f>
        <v>50.673337870616827</v>
      </c>
      <c r="U191" s="311">
        <f>1/COUNT($W$184:$W$186)</f>
        <v>0.33333333333333331</v>
      </c>
    </row>
    <row r="192" spans="1:24">
      <c r="A192" s="93" t="s">
        <v>860</v>
      </c>
      <c r="B192" s="93">
        <v>23</v>
      </c>
      <c r="C192" s="93">
        <f>VLOOKUP(A192,$B$132:$C$135,2,FALSE)</f>
        <v>250</v>
      </c>
      <c r="D192" s="639">
        <f>C192*$C$116*$C$118/$E$138</f>
        <v>63775.510204081635</v>
      </c>
      <c r="E192" s="530">
        <f>C192*$C$120*$C$118/$E$139</f>
        <v>35472.972972972973</v>
      </c>
      <c r="F192" s="530">
        <f>E143*($C$123-(C192/E148)*$C$118)</f>
        <v>132474.19318181818</v>
      </c>
      <c r="G192" s="530">
        <f>F143*($C$123-(C192/F148))*$C$118</f>
        <v>150303.76777251184</v>
      </c>
      <c r="H192" s="530">
        <f>D166</f>
        <v>15844</v>
      </c>
      <c r="I192" s="93">
        <f>C192*$C$115*$C$118/$D$138</f>
        <v>11730.76923076923</v>
      </c>
      <c r="J192" s="93">
        <f>C192*$C$119*$C$118/$D$139</f>
        <v>6999.9999999999991</v>
      </c>
      <c r="K192" s="93">
        <f>((0.083*B192)+0.35)*1000*(($C$123-(C192/C157))*$C$118)</f>
        <v>12149.149253731342</v>
      </c>
      <c r="L192" s="93">
        <f>((0.133*B192)+0.64)*1000*(($C$123-(C192/D157))*$C$118)</f>
        <v>20869.143266475647</v>
      </c>
      <c r="M192" s="93">
        <f>C171</f>
        <v>1633</v>
      </c>
      <c r="N192" s="314">
        <f>SUM(D192:H192)*$C$130/1000000</f>
        <v>145.22271210795537</v>
      </c>
      <c r="O192" s="93">
        <f>SUM(I192:M192)*$C$130*3.412/1000000</f>
        <v>66.480952063430763</v>
      </c>
      <c r="P192" s="93">
        <f>N192-O192</f>
        <v>78.741760044524611</v>
      </c>
      <c r="Q192" s="93"/>
      <c r="R192" s="313">
        <f>P192/N192</f>
        <v>0.54221381009596981</v>
      </c>
      <c r="S192" s="312">
        <f>F134</f>
        <v>4217</v>
      </c>
      <c r="T192" s="613">
        <f>S192/P192</f>
        <v>53.554810022223187</v>
      </c>
      <c r="U192" s="311">
        <f>1/COUNT($W$184:$W$186)</f>
        <v>0.33333333333333331</v>
      </c>
    </row>
    <row r="193" spans="1:21" ht="15.75" thickBot="1">
      <c r="A193" s="93" t="s">
        <v>859</v>
      </c>
      <c r="B193" s="93">
        <v>40</v>
      </c>
      <c r="C193" s="93">
        <v>400</v>
      </c>
      <c r="D193" s="639">
        <f>C193*$C$116*$C$118/$E$138</f>
        <v>102040.81632653062</v>
      </c>
      <c r="E193" s="530">
        <f>C193*$C$120*$C$118/$E$139</f>
        <v>56756.75675675676</v>
      </c>
      <c r="F193" s="530">
        <f>E144*($C$123-(C193/E149)*$C$118)</f>
        <v>176667.10204081633</v>
      </c>
      <c r="G193" s="530">
        <f>F144*($C$123-(C193/F149))*$C$118</f>
        <v>158085.00518134714</v>
      </c>
      <c r="H193" s="530">
        <f>D167</f>
        <v>15844</v>
      </c>
      <c r="I193" s="93">
        <f>C193*$C$115*$C$118/$D$138</f>
        <v>18769.23076923077</v>
      </c>
      <c r="J193" s="93">
        <f>C193*$C$119*$C$118/$D$139</f>
        <v>11200</v>
      </c>
      <c r="K193" s="93">
        <f>((0.083*B193)+0.35)*1000*(($C$123-(C193/C158))*$C$118)</f>
        <v>18368.258706467663</v>
      </c>
      <c r="L193" s="93">
        <f>((0.133*B193)+0.64)*1000*(($C$123-(C193/D158))*$C$118)</f>
        <v>32344.527220630374</v>
      </c>
      <c r="M193" s="93">
        <f>C172</f>
        <v>1633</v>
      </c>
      <c r="N193" s="310">
        <f>SUM(D193:H193)*$C$130/1000000</f>
        <v>185.92869331148955</v>
      </c>
      <c r="O193" s="308">
        <f>SUM(I193:M193)*$C$130*3.412/1000000</f>
        <v>102.51347549327396</v>
      </c>
      <c r="P193" s="308">
        <f>N193-O193</f>
        <v>83.415217818215595</v>
      </c>
      <c r="Q193" s="308"/>
      <c r="R193" s="309">
        <f>P193/N193</f>
        <v>0.44864090814895707</v>
      </c>
      <c r="S193" s="307">
        <f>F135</f>
        <v>5829</v>
      </c>
      <c r="T193" s="614">
        <f>S193/P193</f>
        <v>69.879335599206527</v>
      </c>
      <c r="U193" s="306">
        <f>1/COUNT($W$184:$W$186)</f>
        <v>0.33333333333333331</v>
      </c>
    </row>
    <row r="194" spans="1:21">
      <c r="A194" s="93"/>
      <c r="B194" s="7" t="s">
        <v>0</v>
      </c>
      <c r="C194" s="7"/>
      <c r="D194" s="7"/>
      <c r="E194" s="7"/>
      <c r="F194" s="7"/>
      <c r="G194" s="7"/>
      <c r="H194" s="7"/>
      <c r="I194" s="7"/>
      <c r="J194" s="7"/>
      <c r="K194" s="7"/>
      <c r="L194" s="7"/>
      <c r="M194" s="7"/>
      <c r="N194" s="7"/>
      <c r="O194" s="7"/>
      <c r="P194" s="7">
        <f>SUMPRODUCT(P191:P193,$X$184:$X$186)</f>
        <v>79.917341399117646</v>
      </c>
      <c r="Q194" s="7">
        <f>SUMPRODUCT(Q191:Q193,$X$184:$X$186)</f>
        <v>0</v>
      </c>
      <c r="R194" s="7">
        <f>SUMPRODUCT(R191:R193,$X$184:$X$186)</f>
        <v>0.54354827056585675</v>
      </c>
      <c r="S194" s="7">
        <f>SUMPRODUCT(S191:S193,$X$184:$X$186)</f>
        <v>4659.333333333333</v>
      </c>
      <c r="T194" s="7">
        <f>SUMPRODUCT(T191:T193,$X$184:$X$186)</f>
        <v>58.03582783068218</v>
      </c>
      <c r="U194" s="93"/>
    </row>
    <row r="195" spans="1:21">
      <c r="B195" s="302"/>
      <c r="C195" s="302"/>
      <c r="D195" s="302"/>
      <c r="E195" s="303"/>
      <c r="F195" s="304"/>
      <c r="G195" s="303"/>
      <c r="H195" s="301"/>
      <c r="I195" s="302"/>
      <c r="J195" s="302"/>
      <c r="K195" s="302"/>
      <c r="L195" s="302"/>
      <c r="M195" s="301"/>
      <c r="N195" s="300"/>
      <c r="O195" s="299"/>
      <c r="P195" s="298"/>
      <c r="Q195" s="297"/>
      <c r="R195" s="297"/>
    </row>
    <row r="196" spans="1:21">
      <c r="B196" s="302"/>
      <c r="C196" s="302"/>
      <c r="D196" s="302"/>
      <c r="E196" s="303"/>
      <c r="F196" s="304"/>
      <c r="G196" s="303"/>
      <c r="H196" s="301"/>
      <c r="I196" s="302"/>
      <c r="J196" s="302"/>
      <c r="K196" s="302"/>
      <c r="L196" s="302"/>
      <c r="M196" s="301"/>
      <c r="N196" s="300"/>
      <c r="O196" s="299"/>
      <c r="P196" s="298"/>
      <c r="Q196" s="297"/>
      <c r="R196" s="297"/>
    </row>
    <row r="197" spans="1:21">
      <c r="B197" s="302"/>
      <c r="C197" s="302"/>
      <c r="D197" s="302"/>
      <c r="E197" s="303"/>
      <c r="F197" s="304"/>
      <c r="G197" s="303"/>
      <c r="H197" s="301"/>
      <c r="I197" s="302"/>
      <c r="J197" s="302"/>
      <c r="K197" s="302"/>
      <c r="L197" s="302"/>
      <c r="M197" s="301"/>
      <c r="N197" s="300"/>
      <c r="O197" s="299"/>
      <c r="P197" s="298"/>
      <c r="Q197" s="297"/>
      <c r="R197" s="297"/>
    </row>
    <row r="198" spans="1:21">
      <c r="B198" s="302"/>
      <c r="C198" s="302"/>
      <c r="D198" s="302"/>
      <c r="E198" s="303"/>
      <c r="F198" s="304"/>
      <c r="G198" s="303"/>
      <c r="H198" s="301"/>
      <c r="I198" s="302"/>
      <c r="J198" s="302"/>
      <c r="K198" s="302"/>
      <c r="L198" s="302"/>
      <c r="M198" s="301"/>
      <c r="N198" s="300"/>
      <c r="O198" s="299"/>
      <c r="P198" s="298"/>
      <c r="Q198" s="297"/>
      <c r="R198" s="297"/>
    </row>
    <row r="199" spans="1:21">
      <c r="B199" s="302"/>
      <c r="C199" s="302"/>
      <c r="D199" s="302"/>
      <c r="E199" s="303"/>
      <c r="F199" s="304"/>
      <c r="G199" s="303"/>
      <c r="H199" s="301"/>
      <c r="I199" s="302"/>
      <c r="J199" s="302"/>
      <c r="K199" s="302"/>
      <c r="L199" s="302"/>
      <c r="M199" s="301"/>
      <c r="N199" s="300"/>
      <c r="O199" s="299"/>
      <c r="P199" s="298"/>
      <c r="Q199" s="297"/>
      <c r="R199" s="297"/>
    </row>
    <row r="200" spans="1:21">
      <c r="I200" s="302"/>
      <c r="J200" s="302"/>
      <c r="K200" s="302"/>
      <c r="L200" s="302"/>
      <c r="M200" s="301"/>
      <c r="N200" s="300"/>
      <c r="O200" s="299"/>
      <c r="P200" s="298"/>
      <c r="Q200" s="297"/>
      <c r="R200" s="297"/>
    </row>
    <row r="201" spans="1:21">
      <c r="B201" s="26"/>
      <c r="C201" s="26"/>
      <c r="D201" s="26"/>
      <c r="E201" s="296"/>
      <c r="F201" s="252"/>
      <c r="G201" s="296"/>
      <c r="H201" s="295"/>
      <c r="I201" s="302"/>
      <c r="J201" s="302"/>
      <c r="K201" s="302"/>
      <c r="L201" s="302"/>
      <c r="M201" s="301"/>
      <c r="N201" s="300"/>
      <c r="O201" s="299"/>
      <c r="P201" s="298"/>
      <c r="Q201" s="297"/>
      <c r="R201" s="297"/>
    </row>
    <row r="202" spans="1:21">
      <c r="B202" s="26"/>
      <c r="C202" s="26"/>
      <c r="D202" s="26"/>
      <c r="E202" s="296"/>
      <c r="F202" s="252"/>
      <c r="G202" s="296"/>
      <c r="H202" s="295"/>
      <c r="I202" s="302"/>
      <c r="J202" s="302"/>
      <c r="K202" s="302"/>
      <c r="L202" s="302"/>
      <c r="M202" s="301"/>
      <c r="N202" s="300"/>
      <c r="O202" s="299"/>
      <c r="P202" s="298"/>
      <c r="Q202" s="297"/>
      <c r="R202" s="297"/>
    </row>
    <row r="203" spans="1:21">
      <c r="B203" s="26"/>
      <c r="C203" s="26"/>
      <c r="D203" s="26"/>
      <c r="E203" s="296"/>
      <c r="F203" s="252"/>
      <c r="G203" s="296"/>
      <c r="H203" s="295"/>
      <c r="I203" s="26"/>
      <c r="J203" s="26"/>
      <c r="K203" s="26"/>
      <c r="L203" s="26"/>
      <c r="M203" s="295"/>
      <c r="N203" s="294"/>
      <c r="O203" s="288"/>
      <c r="P203" s="293"/>
      <c r="Q203" s="292"/>
      <c r="R203" s="292"/>
    </row>
    <row r="204" spans="1:21">
      <c r="I204" s="26"/>
      <c r="J204" s="26"/>
      <c r="K204" s="26"/>
      <c r="L204" s="26"/>
      <c r="M204" s="295"/>
      <c r="N204" s="294"/>
      <c r="O204" s="288"/>
      <c r="P204" s="293"/>
      <c r="Q204" s="292"/>
      <c r="R204" s="292"/>
    </row>
    <row r="205" spans="1:21">
      <c r="I205" s="26"/>
      <c r="J205" s="26"/>
      <c r="K205" s="26"/>
      <c r="L205" s="26"/>
      <c r="M205" s="295"/>
      <c r="N205" s="294"/>
      <c r="O205" s="288"/>
      <c r="P205" s="293"/>
      <c r="Q205" s="292"/>
      <c r="R205" s="292"/>
    </row>
    <row r="206" spans="1:21">
      <c r="B206" s="26"/>
      <c r="C206" s="26"/>
      <c r="D206" s="26"/>
      <c r="E206" s="296"/>
      <c r="F206" s="252"/>
      <c r="G206" s="296"/>
      <c r="H206" s="295"/>
      <c r="I206" s="26"/>
      <c r="J206" s="26"/>
      <c r="K206" s="26"/>
      <c r="L206" s="26"/>
      <c r="M206" s="295"/>
      <c r="N206" s="294"/>
      <c r="O206" s="288"/>
      <c r="P206" s="293"/>
      <c r="Q206" s="292"/>
      <c r="R206" s="292"/>
    </row>
    <row r="207" spans="1:21">
      <c r="B207" s="26"/>
      <c r="C207" s="26"/>
      <c r="D207" s="26"/>
      <c r="E207" s="296"/>
      <c r="F207" s="252"/>
      <c r="G207" s="296"/>
      <c r="H207" s="295"/>
      <c r="I207" s="26"/>
      <c r="J207" s="26"/>
      <c r="K207" s="26"/>
      <c r="L207" s="26"/>
      <c r="M207" s="295"/>
      <c r="N207" s="294"/>
      <c r="O207" s="288"/>
      <c r="P207" s="293"/>
      <c r="Q207" s="292"/>
      <c r="R207" s="292"/>
    </row>
    <row r="208" spans="1:21">
      <c r="B208" s="26"/>
      <c r="C208" s="26"/>
      <c r="D208" s="26"/>
      <c r="E208" s="296"/>
      <c r="F208" s="252"/>
      <c r="G208" s="296"/>
      <c r="H208" s="295"/>
      <c r="I208" s="26"/>
      <c r="J208" s="26"/>
      <c r="K208" s="26"/>
      <c r="L208" s="26"/>
      <c r="M208" s="295"/>
      <c r="N208" s="294"/>
      <c r="O208" s="288"/>
      <c r="P208" s="293"/>
      <c r="Q208" s="292"/>
      <c r="R208" s="292"/>
    </row>
    <row r="209" spans="2:18">
      <c r="B209" s="26"/>
      <c r="C209" s="26"/>
      <c r="D209" s="26"/>
      <c r="E209" s="296"/>
      <c r="F209" s="252"/>
      <c r="G209" s="296"/>
      <c r="H209" s="295"/>
      <c r="I209" s="26"/>
      <c r="J209" s="26"/>
      <c r="K209" s="26"/>
      <c r="L209" s="26"/>
      <c r="M209" s="295"/>
      <c r="N209" s="294"/>
      <c r="O209" s="288"/>
      <c r="P209" s="293"/>
      <c r="Q209" s="292"/>
      <c r="R209" s="292"/>
    </row>
    <row r="210" spans="2:18">
      <c r="B210" s="26"/>
      <c r="C210" s="26"/>
      <c r="D210" s="26"/>
      <c r="E210" s="296"/>
      <c r="F210" s="252"/>
      <c r="G210" s="296"/>
      <c r="H210" s="295"/>
      <c r="I210" s="26"/>
      <c r="J210" s="26"/>
      <c r="K210" s="26"/>
      <c r="L210" s="26"/>
      <c r="M210" s="295"/>
      <c r="N210" s="294"/>
      <c r="O210" s="288"/>
      <c r="P210" s="293"/>
      <c r="Q210" s="292"/>
      <c r="R210" s="292"/>
    </row>
    <row r="211" spans="2:18">
      <c r="B211" s="26"/>
      <c r="C211" s="26"/>
      <c r="D211" s="26"/>
      <c r="E211" s="296"/>
      <c r="F211" s="252"/>
      <c r="G211" s="296"/>
      <c r="H211" s="295"/>
      <c r="I211" s="26"/>
      <c r="J211" s="26"/>
      <c r="K211" s="26"/>
      <c r="L211" s="26"/>
      <c r="M211" s="295"/>
      <c r="N211" s="294"/>
      <c r="O211" s="288"/>
      <c r="P211" s="293"/>
      <c r="Q211" s="292"/>
      <c r="R211" s="292"/>
    </row>
    <row r="212" spans="2:18">
      <c r="B212" s="26"/>
      <c r="C212" s="26"/>
      <c r="D212" s="26"/>
      <c r="E212" s="296"/>
      <c r="F212" s="252"/>
      <c r="G212" s="296"/>
      <c r="H212" s="295"/>
      <c r="I212" s="26"/>
      <c r="J212" s="26"/>
      <c r="K212" s="26"/>
      <c r="L212" s="26"/>
      <c r="M212" s="295"/>
      <c r="N212" s="294"/>
      <c r="O212" s="288"/>
      <c r="P212" s="293"/>
      <c r="Q212" s="292"/>
      <c r="R212" s="292"/>
    </row>
    <row r="213" spans="2:18">
      <c r="B213" s="26"/>
      <c r="C213" s="26"/>
      <c r="D213" s="26"/>
      <c r="E213" s="296"/>
      <c r="F213" s="252"/>
      <c r="G213" s="296"/>
      <c r="H213" s="295"/>
      <c r="I213" s="26"/>
      <c r="J213" s="26"/>
      <c r="K213" s="26"/>
      <c r="L213" s="26"/>
      <c r="M213" s="295"/>
      <c r="N213" s="294"/>
      <c r="O213" s="288"/>
      <c r="P213" s="293"/>
      <c r="Q213" s="292"/>
      <c r="R213" s="292"/>
    </row>
    <row r="214" spans="2:18">
      <c r="B214" s="26"/>
      <c r="C214" s="26"/>
      <c r="D214" s="26"/>
      <c r="E214" s="296"/>
      <c r="F214" s="252"/>
      <c r="G214" s="296"/>
      <c r="H214" s="295"/>
      <c r="I214" s="26"/>
      <c r="J214" s="26"/>
      <c r="K214" s="26"/>
      <c r="L214" s="26"/>
      <c r="M214" s="295"/>
      <c r="N214" s="294"/>
      <c r="O214" s="288"/>
      <c r="P214" s="293"/>
      <c r="Q214" s="292"/>
      <c r="R214" s="292"/>
    </row>
    <row r="215" spans="2:18">
      <c r="B215" s="26"/>
      <c r="C215" s="26"/>
      <c r="D215" s="26"/>
      <c r="E215" s="296"/>
      <c r="F215" s="252"/>
      <c r="G215" s="296"/>
      <c r="H215" s="295"/>
      <c r="I215" s="26"/>
      <c r="J215" s="26"/>
      <c r="K215" s="26"/>
      <c r="L215" s="26"/>
      <c r="M215" s="295"/>
      <c r="N215" s="294"/>
      <c r="O215" s="288"/>
      <c r="P215" s="293"/>
      <c r="Q215" s="292"/>
      <c r="R215" s="292"/>
    </row>
    <row r="216" spans="2:18">
      <c r="B216" s="26"/>
      <c r="C216" s="26"/>
      <c r="D216" s="26"/>
      <c r="E216" s="296"/>
      <c r="F216" s="252"/>
      <c r="G216" s="296"/>
      <c r="H216" s="295"/>
      <c r="I216" s="26"/>
      <c r="J216" s="26"/>
      <c r="K216" s="26"/>
      <c r="L216" s="26"/>
      <c r="M216" s="295"/>
      <c r="N216" s="294"/>
      <c r="O216" s="288"/>
      <c r="P216" s="293"/>
      <c r="Q216" s="292"/>
      <c r="R216" s="292"/>
    </row>
    <row r="217" spans="2:18">
      <c r="B217" s="26"/>
      <c r="C217" s="26"/>
      <c r="D217" s="26"/>
      <c r="E217" s="296"/>
      <c r="F217" s="252"/>
      <c r="G217" s="296"/>
      <c r="H217" s="295"/>
      <c r="I217" s="26"/>
      <c r="J217" s="26"/>
      <c r="K217" s="26"/>
      <c r="L217" s="26"/>
      <c r="M217" s="295"/>
      <c r="N217" s="294"/>
      <c r="O217" s="288"/>
      <c r="P217" s="293"/>
      <c r="Q217" s="292"/>
      <c r="R217" s="292"/>
    </row>
    <row r="218" spans="2:18">
      <c r="B218" s="26"/>
      <c r="C218" s="26"/>
      <c r="D218" s="26"/>
      <c r="E218" s="296"/>
      <c r="F218" s="252"/>
      <c r="G218" s="296"/>
      <c r="H218" s="295"/>
      <c r="I218" s="26"/>
      <c r="J218" s="26"/>
      <c r="K218" s="26"/>
      <c r="L218" s="26"/>
      <c r="M218" s="295"/>
      <c r="N218" s="294"/>
      <c r="O218" s="288"/>
      <c r="P218" s="293"/>
      <c r="Q218" s="292"/>
      <c r="R218" s="292"/>
    </row>
    <row r="219" spans="2:18">
      <c r="B219" s="26"/>
      <c r="C219" s="26"/>
      <c r="D219" s="26"/>
      <c r="E219" s="296"/>
      <c r="F219" s="252"/>
      <c r="G219" s="296"/>
      <c r="H219" s="295"/>
      <c r="I219" s="26"/>
      <c r="J219" s="26"/>
      <c r="K219" s="26"/>
      <c r="L219" s="26"/>
      <c r="M219" s="295"/>
      <c r="N219" s="294"/>
      <c r="O219" s="288"/>
      <c r="P219" s="293"/>
      <c r="Q219" s="292"/>
      <c r="R219" s="292"/>
    </row>
    <row r="220" spans="2:18">
      <c r="B220" s="26"/>
      <c r="C220" s="26"/>
      <c r="D220" s="26"/>
      <c r="E220" s="296"/>
      <c r="F220" s="252"/>
      <c r="G220" s="296"/>
      <c r="H220" s="295"/>
      <c r="I220" s="26"/>
      <c r="J220" s="26"/>
      <c r="K220" s="26"/>
      <c r="L220" s="26"/>
      <c r="M220" s="295"/>
      <c r="N220" s="294"/>
      <c r="O220" s="288"/>
      <c r="P220" s="293"/>
      <c r="Q220" s="292"/>
      <c r="R220" s="292"/>
    </row>
    <row r="221" spans="2:18">
      <c r="B221" s="26"/>
      <c r="C221" s="26"/>
      <c r="D221" s="26"/>
      <c r="E221" s="296"/>
      <c r="F221" s="252"/>
      <c r="G221" s="296"/>
      <c r="H221" s="295"/>
      <c r="I221" s="26"/>
      <c r="J221" s="26"/>
      <c r="K221" s="26"/>
      <c r="L221" s="26"/>
      <c r="M221" s="295"/>
      <c r="N221" s="294"/>
      <c r="O221" s="288"/>
      <c r="P221" s="293"/>
      <c r="Q221" s="292"/>
      <c r="R221" s="292"/>
    </row>
    <row r="222" spans="2:18">
      <c r="B222" s="26"/>
      <c r="C222" s="26"/>
      <c r="D222" s="26"/>
      <c r="E222" s="296"/>
      <c r="F222" s="252"/>
      <c r="G222" s="296"/>
      <c r="H222" s="295"/>
      <c r="I222" s="26"/>
      <c r="J222" s="26"/>
      <c r="K222" s="26"/>
      <c r="L222" s="26"/>
      <c r="M222" s="295"/>
      <c r="N222" s="294"/>
      <c r="O222" s="288"/>
      <c r="P222" s="293"/>
      <c r="Q222" s="292"/>
      <c r="R222" s="292"/>
    </row>
    <row r="223" spans="2:18">
      <c r="B223" s="26"/>
      <c r="C223" s="26"/>
      <c r="D223" s="26"/>
      <c r="E223" s="296"/>
      <c r="F223" s="252"/>
      <c r="G223" s="296"/>
      <c r="H223" s="295"/>
      <c r="I223" s="26"/>
      <c r="J223" s="26"/>
      <c r="K223" s="26"/>
      <c r="L223" s="26"/>
      <c r="M223" s="295"/>
      <c r="N223" s="294"/>
      <c r="O223" s="288"/>
      <c r="P223" s="293"/>
      <c r="Q223" s="292"/>
      <c r="R223" s="292"/>
    </row>
    <row r="224" spans="2:18">
      <c r="B224" s="26"/>
      <c r="C224" s="26"/>
      <c r="D224" s="26"/>
      <c r="E224" s="296"/>
      <c r="F224" s="252"/>
      <c r="G224" s="296"/>
      <c r="H224" s="295"/>
      <c r="I224" s="26"/>
      <c r="J224" s="26"/>
      <c r="K224" s="26"/>
      <c r="L224" s="26"/>
      <c r="M224" s="295"/>
      <c r="N224" s="294"/>
      <c r="O224" s="288"/>
      <c r="P224" s="293"/>
      <c r="Q224" s="292"/>
      <c r="R224" s="292"/>
    </row>
    <row r="225" spans="2:18">
      <c r="B225" s="26"/>
      <c r="C225" s="26"/>
      <c r="D225" s="26"/>
      <c r="E225" s="296"/>
      <c r="F225" s="252"/>
      <c r="G225" s="296"/>
      <c r="H225" s="295"/>
      <c r="I225" s="26"/>
      <c r="J225" s="26"/>
      <c r="K225" s="26"/>
      <c r="L225" s="26"/>
      <c r="M225" s="295"/>
      <c r="N225" s="294"/>
      <c r="O225" s="288"/>
      <c r="P225" s="293"/>
      <c r="Q225" s="292"/>
      <c r="R225" s="292"/>
    </row>
    <row r="226" spans="2:18">
      <c r="B226" s="26"/>
      <c r="C226" s="26"/>
      <c r="D226" s="26"/>
      <c r="E226" s="296"/>
      <c r="F226" s="252"/>
      <c r="G226" s="296"/>
      <c r="H226" s="295"/>
      <c r="I226" s="26"/>
      <c r="J226" s="26"/>
      <c r="K226" s="26"/>
      <c r="L226" s="26"/>
      <c r="M226" s="295"/>
      <c r="N226" s="294"/>
      <c r="O226" s="288"/>
      <c r="P226" s="293"/>
      <c r="Q226" s="292"/>
      <c r="R226" s="292"/>
    </row>
    <row r="227" spans="2:18">
      <c r="B227" s="26"/>
      <c r="C227" s="26"/>
      <c r="D227" s="26"/>
      <c r="E227" s="296"/>
      <c r="F227" s="252"/>
      <c r="G227" s="296"/>
      <c r="H227" s="295"/>
      <c r="I227" s="26"/>
      <c r="J227" s="26"/>
      <c r="K227" s="26"/>
      <c r="L227" s="26"/>
      <c r="M227" s="295"/>
      <c r="N227" s="294"/>
      <c r="O227" s="288"/>
      <c r="P227" s="293"/>
      <c r="Q227" s="292"/>
      <c r="R227" s="292"/>
    </row>
    <row r="228" spans="2:18">
      <c r="B228" s="26"/>
      <c r="C228" s="26"/>
      <c r="D228" s="26"/>
      <c r="E228" s="296"/>
      <c r="F228" s="252"/>
      <c r="G228" s="296"/>
      <c r="H228" s="295"/>
      <c r="I228" s="26"/>
      <c r="J228" s="26"/>
      <c r="K228" s="26"/>
      <c r="L228" s="26"/>
      <c r="M228" s="295"/>
      <c r="N228" s="294"/>
      <c r="O228" s="288"/>
      <c r="P228" s="293"/>
      <c r="Q228" s="292"/>
      <c r="R228" s="292"/>
    </row>
    <row r="229" spans="2:18">
      <c r="B229" s="26"/>
      <c r="C229" s="26"/>
      <c r="D229" s="26"/>
      <c r="E229" s="296"/>
      <c r="F229" s="252"/>
      <c r="G229" s="296"/>
      <c r="H229" s="295"/>
      <c r="I229" s="26"/>
      <c r="J229" s="26"/>
      <c r="K229" s="26"/>
      <c r="L229" s="26"/>
      <c r="M229" s="295"/>
      <c r="N229" s="294"/>
      <c r="O229" s="288"/>
      <c r="P229" s="293"/>
      <c r="Q229" s="292"/>
      <c r="R229" s="292"/>
    </row>
    <row r="230" spans="2:18">
      <c r="B230" s="26"/>
      <c r="C230" s="26"/>
      <c r="D230" s="2"/>
      <c r="E230" s="291"/>
      <c r="F230" s="291"/>
      <c r="G230" s="291"/>
      <c r="H230" s="291"/>
      <c r="I230" s="291"/>
      <c r="J230" s="291"/>
      <c r="K230" s="291"/>
      <c r="L230" s="291"/>
      <c r="M230" s="291"/>
      <c r="N230" s="290"/>
      <c r="O230" s="288"/>
      <c r="P230" s="289"/>
      <c r="Q230" s="289"/>
      <c r="R230" s="288"/>
    </row>
    <row r="231" spans="2:18">
      <c r="B231" s="26"/>
      <c r="C231" s="26"/>
      <c r="D231" s="26"/>
      <c r="E231" s="26"/>
      <c r="F231" s="26"/>
      <c r="G231" s="26"/>
      <c r="H231" s="26"/>
      <c r="I231" s="26"/>
      <c r="J231" s="26"/>
      <c r="K231" s="26"/>
      <c r="L231" s="26"/>
      <c r="M231" s="26"/>
      <c r="N231" s="26"/>
      <c r="O231" s="26"/>
      <c r="P231" s="26"/>
      <c r="Q231" s="26"/>
      <c r="R231" s="27"/>
    </row>
    <row r="232" spans="2:18">
      <c r="B232" s="26"/>
      <c r="C232" s="26"/>
      <c r="D232" s="26"/>
      <c r="E232" s="26"/>
      <c r="F232" s="26"/>
      <c r="G232" s="26"/>
      <c r="H232" s="26"/>
      <c r="I232" s="26"/>
      <c r="J232" s="26"/>
      <c r="K232" s="26"/>
      <c r="L232" s="26"/>
      <c r="M232" s="26"/>
      <c r="N232" s="26"/>
      <c r="O232" s="26"/>
      <c r="P232" s="26"/>
      <c r="Q232" s="26"/>
      <c r="R232" s="27"/>
    </row>
    <row r="233" spans="2:18">
      <c r="B233" s="2"/>
      <c r="C233" s="26"/>
      <c r="D233" s="26"/>
      <c r="E233" s="26"/>
      <c r="F233" s="26"/>
      <c r="G233" s="26"/>
      <c r="H233" s="26"/>
      <c r="I233" s="26"/>
      <c r="J233" s="26"/>
      <c r="K233" s="26"/>
      <c r="L233" s="26"/>
      <c r="M233" s="26"/>
      <c r="N233" s="26"/>
      <c r="O233" s="26"/>
      <c r="P233" s="26"/>
      <c r="Q233" s="26"/>
      <c r="R233" s="27"/>
    </row>
    <row r="234" spans="2:18">
      <c r="B234" s="2"/>
      <c r="C234" s="2"/>
      <c r="D234" s="2"/>
      <c r="E234" s="26"/>
      <c r="F234" s="26"/>
      <c r="G234" s="26"/>
      <c r="H234" s="26"/>
      <c r="I234" s="26"/>
      <c r="J234" s="26"/>
      <c r="K234" s="26"/>
      <c r="L234" s="26"/>
      <c r="M234" s="26"/>
      <c r="N234" s="26"/>
      <c r="O234" s="26"/>
      <c r="P234" s="26"/>
      <c r="Q234" s="26"/>
      <c r="R234" s="27"/>
    </row>
    <row r="235" spans="2:18">
      <c r="B235" s="26"/>
      <c r="C235" s="287"/>
      <c r="D235" s="26"/>
      <c r="E235" s="26"/>
      <c r="F235" s="26"/>
      <c r="G235" s="26"/>
      <c r="H235" s="26"/>
      <c r="I235" s="26"/>
      <c r="J235" s="26"/>
      <c r="K235" s="26"/>
      <c r="L235" s="26"/>
      <c r="M235" s="26"/>
      <c r="N235" s="26"/>
      <c r="O235" s="26"/>
      <c r="P235" s="26"/>
      <c r="Q235" s="26"/>
      <c r="R235" s="27"/>
    </row>
    <row r="236" spans="2:18">
      <c r="B236" s="26"/>
      <c r="C236" s="287"/>
      <c r="D236" s="26"/>
      <c r="E236" s="26"/>
      <c r="F236" s="26"/>
      <c r="G236" s="26"/>
      <c r="H236" s="26"/>
      <c r="I236" s="26"/>
      <c r="J236" s="26"/>
      <c r="K236" s="26"/>
      <c r="L236" s="26"/>
      <c r="M236" s="26"/>
      <c r="N236" s="26"/>
      <c r="O236" s="26"/>
      <c r="P236" s="26"/>
      <c r="Q236" s="26"/>
      <c r="R236" s="27"/>
    </row>
    <row r="237" spans="2:18">
      <c r="B237" s="26"/>
      <c r="C237" s="287"/>
      <c r="D237" s="26"/>
      <c r="E237" s="26"/>
      <c r="F237" s="26"/>
      <c r="G237" s="26"/>
      <c r="H237" s="26"/>
      <c r="I237" s="26"/>
      <c r="J237" s="26"/>
      <c r="K237" s="26"/>
      <c r="L237" s="26"/>
      <c r="M237" s="26"/>
      <c r="N237" s="26"/>
      <c r="O237" s="26"/>
      <c r="P237" s="26"/>
      <c r="Q237" s="26"/>
      <c r="R237" s="27"/>
    </row>
  </sheetData>
  <phoneticPr fontId="35" type="noConversion"/>
  <dataValidations count="5">
    <dataValidation type="list" allowBlank="1" showInputMessage="1" showErrorMessage="1" sqref="D7" xr:uid="{A5D017E9-44DB-4B62-9F5D-77F6349D7469}">
      <formula1>$N$11:$O$11</formula1>
    </dataValidation>
    <dataValidation type="list" allowBlank="1" showInputMessage="1" showErrorMessage="1" sqref="B11:C20" xr:uid="{4F12EEB1-D211-43DD-BFFE-E19D0C9FA7FB}">
      <formula1>$N$7:$Q$7</formula1>
    </dataValidation>
    <dataValidation type="list" allowBlank="1" showInputMessage="1" showErrorMessage="1" sqref="D11:D20" xr:uid="{103C87F9-6468-4F1A-BBE7-EC27966F3370}">
      <formula1>$N$22:$AE$22</formula1>
    </dataValidation>
    <dataValidation type="list" allowBlank="1" showInputMessage="1" showErrorMessage="1" sqref="E11:E20" xr:uid="{546D8194-0A99-4EA2-A932-9083E553F95C}">
      <formula1>$N$16:$O$16</formula1>
    </dataValidation>
    <dataValidation type="list" allowBlank="1" showInputMessage="1" showErrorMessage="1" sqref="C59:L59" xr:uid="{27019038-345A-47B3-99A1-F8748A00402A}">
      <formula1>$N$19:$AQ$19</formula1>
    </dataValidation>
  </dataValidation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B275-2BAE-4771-A1AF-474F43E90FBF}">
  <sheetPr codeName="Sheet170">
    <tabColor indexed="15"/>
  </sheetPr>
  <dimension ref="A1:AQ202"/>
  <sheetViews>
    <sheetView topLeftCell="A45"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1.85546875" style="1" customWidth="1"/>
    <col min="4" max="4" width="25.28515625" style="1" customWidth="1"/>
    <col min="5" max="5" width="24.85546875" style="1" customWidth="1"/>
    <col min="6" max="6" width="21.42578125" style="1" customWidth="1"/>
    <col min="7" max="7" width="22.85546875" style="1" customWidth="1"/>
    <col min="8" max="8" width="22.7109375" style="1" customWidth="1"/>
    <col min="9" max="9" width="23.42578125" style="1" customWidth="1"/>
    <col min="10" max="10" width="19.28515625" style="1" customWidth="1"/>
    <col min="11" max="11" width="20.42578125" style="1" bestFit="1" customWidth="1"/>
    <col min="12" max="12" width="19.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Convection Oven</v>
      </c>
      <c r="C7" s="98" t="s">
        <v>2346</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Convection Oven_CI, E - Cook (MD)</v>
      </c>
      <c r="J11" s="83" t="str">
        <f t="shared" ref="J11:J20" si="3">IF(B11="","",CONCATENATE($C$7,IF(C11="","",CONCATENATE(" with ",C11," Secondary Fuel"))))</f>
        <v>ENERGY STAR Convection Ovens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ES Convection Oven_CI, P - Cook (MD)</v>
      </c>
      <c r="J12" s="83" t="str">
        <f t="shared" si="3"/>
        <v>ENERGY STAR Convection Ovens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Convection Oven_CI, E - Cook (MD)</v>
      </c>
      <c r="D33" s="83" t="str">
        <f t="shared" ca="1" si="5"/>
        <v>CI ES Convection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Convection Oven_CI, E - Cook (MD)</v>
      </c>
      <c r="N33" s="84" t="str">
        <f t="shared" ca="1" si="6"/>
        <v>CI ES Convection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Convection Ovens</v>
      </c>
      <c r="D34" s="83" t="str">
        <f t="shared" si="8"/>
        <v>ENERGY STAR Convection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Convection Oven_CI, E - Cook (MD)</v>
      </c>
      <c r="D35" s="65" t="str">
        <f ca="1">D33</f>
        <v>CI ES Convection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Convection Ovens</v>
      </c>
      <c r="D36" s="65" t="str">
        <f>D34</f>
        <v>ENERGY STAR Convection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Convection Ovens</v>
      </c>
      <c r="D52" s="66" t="str">
        <f t="shared" si="16"/>
        <v>ENERGY STAR Convection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920</v>
      </c>
      <c r="D55" s="65" t="s">
        <v>920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K151</f>
        <v>2188.7628389890497</v>
      </c>
      <c r="D64" s="67">
        <f>L154</f>
        <v>19.176119879744689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M151</f>
        <v>0.2380325578339374</v>
      </c>
      <c r="D65" s="74">
        <f>M154</f>
        <v>0.43651866755443058</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C131</f>
        <v>960</v>
      </c>
      <c r="D68" s="71">
        <f>N154</f>
        <v>2374</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O151</f>
        <v>0.48762137132252548</v>
      </c>
      <c r="D69" s="70">
        <f>O154</f>
        <v>95.905445391867019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Convection Ovens</v>
      </c>
      <c r="D71" s="66" t="str">
        <f t="shared" si="24"/>
        <v>ENERGY STAR Convection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952</v>
      </c>
    </row>
    <row r="106" spans="1:22">
      <c r="B106" s="1" t="s">
        <v>951</v>
      </c>
    </row>
    <row r="107" spans="1:22">
      <c r="B107" s="1" t="s">
        <v>950</v>
      </c>
    </row>
    <row r="108" spans="1:22">
      <c r="B108" s="1" t="s">
        <v>949</v>
      </c>
    </row>
    <row r="111" spans="1:22" s="63" customFormat="1" ht="15.75" thickBot="1">
      <c r="B111" s="63" t="s">
        <v>50</v>
      </c>
    </row>
    <row r="113" spans="2:14">
      <c r="B113" s="1" t="s">
        <v>305</v>
      </c>
      <c r="C113" s="1">
        <v>12</v>
      </c>
      <c r="D113" s="333" t="s">
        <v>945</v>
      </c>
      <c r="N113" s="95"/>
    </row>
    <row r="114" spans="2:14">
      <c r="B114" s="1" t="s">
        <v>948</v>
      </c>
      <c r="C114" s="1">
        <v>365</v>
      </c>
      <c r="D114" s="333" t="s">
        <v>945</v>
      </c>
      <c r="G114" s="338"/>
      <c r="H114" s="339"/>
      <c r="I114" s="339"/>
      <c r="J114" s="339"/>
      <c r="K114" s="339"/>
    </row>
    <row r="115" spans="2:14">
      <c r="B115" s="1" t="s">
        <v>944</v>
      </c>
      <c r="C115" s="1" t="s">
        <v>35</v>
      </c>
      <c r="D115" s="333" t="s">
        <v>945</v>
      </c>
      <c r="G115" s="338"/>
      <c r="H115" s="337"/>
      <c r="I115" s="337"/>
      <c r="J115" s="337"/>
      <c r="K115" s="337"/>
    </row>
    <row r="116" spans="2:14">
      <c r="B116" s="1" t="s">
        <v>943</v>
      </c>
      <c r="C116" s="1" t="s">
        <v>35</v>
      </c>
      <c r="D116" s="333" t="s">
        <v>945</v>
      </c>
      <c r="G116" s="336"/>
      <c r="H116" s="335"/>
      <c r="I116" s="335"/>
      <c r="J116" s="335"/>
      <c r="K116" s="335"/>
    </row>
    <row r="117" spans="2:14">
      <c r="B117" s="1" t="s">
        <v>942</v>
      </c>
      <c r="D117" s="333" t="s">
        <v>945</v>
      </c>
    </row>
    <row r="118" spans="2:14">
      <c r="B118" s="1" t="s">
        <v>309</v>
      </c>
      <c r="C118" s="1">
        <v>12</v>
      </c>
      <c r="D118" s="333" t="s">
        <v>945</v>
      </c>
    </row>
    <row r="119" spans="2:14">
      <c r="B119" s="1" t="s">
        <v>940</v>
      </c>
      <c r="C119" s="1" t="s">
        <v>35</v>
      </c>
      <c r="D119" s="333" t="s">
        <v>945</v>
      </c>
    </row>
    <row r="120" spans="2:14">
      <c r="B120" s="1" t="s">
        <v>941</v>
      </c>
      <c r="C120" s="1" t="s">
        <v>35</v>
      </c>
      <c r="D120" s="333" t="s">
        <v>945</v>
      </c>
    </row>
    <row r="121" spans="2:14">
      <c r="B121" s="1" t="s">
        <v>939</v>
      </c>
      <c r="D121" s="333" t="s">
        <v>945</v>
      </c>
    </row>
    <row r="122" spans="2:14">
      <c r="B122" s="1" t="s">
        <v>408</v>
      </c>
      <c r="C122" s="1">
        <v>365.25</v>
      </c>
      <c r="D122" s="333" t="s">
        <v>945</v>
      </c>
    </row>
    <row r="123" spans="2:14">
      <c r="B123" s="1" t="s">
        <v>947</v>
      </c>
      <c r="C123" s="1">
        <v>7.3200000000000001E-2</v>
      </c>
      <c r="D123" s="333" t="s">
        <v>945</v>
      </c>
    </row>
    <row r="124" spans="2:14">
      <c r="B124" s="1" t="s">
        <v>938</v>
      </c>
      <c r="C124" s="1" t="s">
        <v>35</v>
      </c>
      <c r="D124" s="333" t="s">
        <v>945</v>
      </c>
    </row>
    <row r="125" spans="2:14">
      <c r="B125" s="1" t="s">
        <v>937</v>
      </c>
      <c r="C125" s="1" t="s">
        <v>35</v>
      </c>
      <c r="D125" s="333" t="s">
        <v>945</v>
      </c>
    </row>
    <row r="126" spans="2:14">
      <c r="B126" s="1" t="s">
        <v>936</v>
      </c>
      <c r="C126" s="1" t="s">
        <v>35</v>
      </c>
      <c r="D126" s="333" t="s">
        <v>945</v>
      </c>
    </row>
    <row r="127" spans="2:14">
      <c r="B127" s="1" t="s">
        <v>935</v>
      </c>
      <c r="C127" s="1" t="s">
        <v>35</v>
      </c>
      <c r="D127" s="333" t="s">
        <v>945</v>
      </c>
    </row>
    <row r="128" spans="2:14">
      <c r="B128" s="1" t="s">
        <v>946</v>
      </c>
      <c r="C128" s="1">
        <v>1</v>
      </c>
      <c r="D128" s="333" t="s">
        <v>945</v>
      </c>
    </row>
    <row r="129" spans="2:13">
      <c r="B129" s="1" t="s">
        <v>934</v>
      </c>
      <c r="C129" s="1" t="s">
        <v>35</v>
      </c>
      <c r="D129" s="333" t="s">
        <v>945</v>
      </c>
    </row>
    <row r="130" spans="2:13">
      <c r="B130" s="1" t="s">
        <v>34</v>
      </c>
      <c r="C130" s="324" t="s">
        <v>35</v>
      </c>
      <c r="D130" s="333" t="s">
        <v>945</v>
      </c>
    </row>
    <row r="131" spans="2:13">
      <c r="B131" s="1" t="s">
        <v>9</v>
      </c>
      <c r="C131" s="334">
        <v>960</v>
      </c>
      <c r="D131" s="333" t="s">
        <v>945</v>
      </c>
    </row>
    <row r="132" spans="2:13">
      <c r="C132" s="324"/>
      <c r="D132" s="333"/>
    </row>
    <row r="133" spans="2:13">
      <c r="B133" s="94" t="s">
        <v>588</v>
      </c>
      <c r="C133" s="319" t="s">
        <v>34</v>
      </c>
      <c r="D133" s="333"/>
      <c r="G133" s="333"/>
    </row>
    <row r="134" spans="2:13">
      <c r="B134" s="93" t="s">
        <v>884</v>
      </c>
      <c r="C134" s="93">
        <v>0.32</v>
      </c>
      <c r="D134" s="333"/>
    </row>
    <row r="135" spans="2:13">
      <c r="B135" s="93" t="s">
        <v>883</v>
      </c>
      <c r="C135" s="93">
        <v>0.41</v>
      </c>
      <c r="D135" s="333"/>
    </row>
    <row r="136" spans="2:13">
      <c r="B136" s="93" t="s">
        <v>882</v>
      </c>
      <c r="C136" s="93">
        <v>0.46</v>
      </c>
      <c r="D136" s="333"/>
    </row>
    <row r="137" spans="2:13">
      <c r="B137" s="93" t="s">
        <v>881</v>
      </c>
      <c r="C137" s="93">
        <v>0.51</v>
      </c>
      <c r="D137" s="333"/>
    </row>
    <row r="138" spans="2:13">
      <c r="B138" s="93" t="s">
        <v>880</v>
      </c>
      <c r="C138" s="93">
        <v>0.36</v>
      </c>
      <c r="D138" s="333"/>
    </row>
    <row r="139" spans="2:13">
      <c r="B139" s="93" t="s">
        <v>879</v>
      </c>
      <c r="C139" s="93">
        <v>0.39</v>
      </c>
      <c r="D139" s="333"/>
    </row>
    <row r="140" spans="2:13">
      <c r="D140" s="333"/>
    </row>
    <row r="141" spans="2:13">
      <c r="B141" s="94" t="s">
        <v>933</v>
      </c>
      <c r="C141" s="94" t="s">
        <v>944</v>
      </c>
      <c r="D141" s="318" t="s">
        <v>943</v>
      </c>
      <c r="E141" s="94" t="s">
        <v>942</v>
      </c>
      <c r="F141" s="94" t="s">
        <v>941</v>
      </c>
      <c r="G141" s="94" t="s">
        <v>940</v>
      </c>
      <c r="H141" s="94" t="s">
        <v>939</v>
      </c>
      <c r="I141" s="94" t="s">
        <v>938</v>
      </c>
      <c r="J141" s="94" t="s">
        <v>937</v>
      </c>
      <c r="K141" s="94" t="s">
        <v>936</v>
      </c>
      <c r="L141" s="94" t="s">
        <v>935</v>
      </c>
      <c r="M141" s="94" t="s">
        <v>934</v>
      </c>
    </row>
    <row r="142" spans="2:13">
      <c r="B142" s="94" t="s">
        <v>924</v>
      </c>
      <c r="C142" s="93">
        <v>0.8</v>
      </c>
      <c r="D142" s="332">
        <v>1.51</v>
      </c>
      <c r="E142" s="93">
        <v>10.4</v>
      </c>
      <c r="F142" s="93">
        <v>10.5</v>
      </c>
      <c r="G142" s="93">
        <v>61</v>
      </c>
      <c r="H142" s="93">
        <v>9</v>
      </c>
      <c r="I142" s="93">
        <v>0.75</v>
      </c>
      <c r="J142" s="93">
        <v>0.64</v>
      </c>
      <c r="K142" s="93">
        <v>0.89</v>
      </c>
      <c r="L142" s="93">
        <v>0.7</v>
      </c>
      <c r="M142" s="93">
        <v>8</v>
      </c>
    </row>
    <row r="143" spans="2:13">
      <c r="B143" s="94" t="s">
        <v>923</v>
      </c>
      <c r="C143" s="93">
        <v>1.2</v>
      </c>
      <c r="D143" s="332">
        <v>1.63</v>
      </c>
      <c r="E143" s="93">
        <v>10.6</v>
      </c>
      <c r="F143" s="93">
        <v>10.7</v>
      </c>
      <c r="G143" s="93">
        <v>122</v>
      </c>
      <c r="H143" s="93">
        <v>9</v>
      </c>
      <c r="I143" s="93">
        <v>0.8</v>
      </c>
      <c r="J143" s="93">
        <v>0.74</v>
      </c>
      <c r="K143" s="93">
        <v>1.56</v>
      </c>
      <c r="L143" s="93">
        <v>1.39</v>
      </c>
      <c r="M143" s="93">
        <v>9</v>
      </c>
    </row>
    <row r="144" spans="2:13">
      <c r="B144" s="94" t="s">
        <v>922</v>
      </c>
      <c r="C144" s="93">
        <v>1</v>
      </c>
      <c r="D144" s="332">
        <v>1.29</v>
      </c>
      <c r="E144" s="93">
        <v>10</v>
      </c>
      <c r="F144" s="93">
        <v>10.199999999999999</v>
      </c>
      <c r="G144" s="93">
        <v>122</v>
      </c>
      <c r="H144" s="93">
        <v>12</v>
      </c>
      <c r="I144" s="93">
        <v>0.81</v>
      </c>
      <c r="J144" s="93">
        <v>0.76500000000000001</v>
      </c>
      <c r="K144" s="93">
        <v>1.56</v>
      </c>
      <c r="L144" s="93">
        <v>1.39</v>
      </c>
      <c r="M144" s="93">
        <v>9</v>
      </c>
    </row>
    <row r="145" spans="1:22">
      <c r="B145" s="94" t="s">
        <v>2093</v>
      </c>
      <c r="C145" s="93">
        <v>8027</v>
      </c>
      <c r="D145" s="332">
        <v>11239</v>
      </c>
      <c r="E145" s="93">
        <v>10.7</v>
      </c>
      <c r="F145" s="93">
        <v>10.7</v>
      </c>
      <c r="G145" s="93">
        <v>100</v>
      </c>
      <c r="H145" s="93">
        <v>12</v>
      </c>
      <c r="I145" s="93">
        <v>0.52</v>
      </c>
      <c r="J145" s="93">
        <v>0.47</v>
      </c>
      <c r="K145" s="93">
        <v>76000</v>
      </c>
      <c r="L145" s="93">
        <v>44000</v>
      </c>
      <c r="M145" s="93">
        <v>11</v>
      </c>
    </row>
    <row r="146" spans="1:22" ht="15.75" thickBot="1">
      <c r="D146" s="57"/>
    </row>
    <row r="147" spans="1:22">
      <c r="A147" s="93"/>
      <c r="B147" s="94" t="s">
        <v>933</v>
      </c>
      <c r="C147" s="94" t="s">
        <v>932</v>
      </c>
      <c r="D147" s="318" t="s">
        <v>931</v>
      </c>
      <c r="E147" s="94" t="s">
        <v>930</v>
      </c>
      <c r="F147" s="94" t="s">
        <v>929</v>
      </c>
      <c r="G147" s="318" t="s">
        <v>928</v>
      </c>
      <c r="H147" s="94" t="s">
        <v>927</v>
      </c>
      <c r="I147" s="317" t="s">
        <v>926</v>
      </c>
      <c r="J147" s="316" t="s">
        <v>925</v>
      </c>
      <c r="K147" s="316" t="s">
        <v>500</v>
      </c>
      <c r="L147" s="316" t="s">
        <v>10</v>
      </c>
      <c r="M147" s="316" t="s">
        <v>244</v>
      </c>
      <c r="N147" s="316" t="s">
        <v>9</v>
      </c>
      <c r="O147" s="316" t="s">
        <v>8</v>
      </c>
      <c r="P147" s="315" t="s">
        <v>7</v>
      </c>
      <c r="Q147" s="93"/>
      <c r="R147" s="93"/>
      <c r="S147" s="93"/>
      <c r="T147" s="93"/>
      <c r="U147" s="93"/>
      <c r="V147" s="93"/>
    </row>
    <row r="148" spans="1:22">
      <c r="A148" s="93"/>
      <c r="B148" s="94" t="s">
        <v>924</v>
      </c>
      <c r="C148" s="93">
        <f>VLOOKUP(B148,$B$141:$M$144,3,FALSE)*VLOOKUP(B148,$B$141:$M$144,5,FALSE)</f>
        <v>15.855</v>
      </c>
      <c r="D148" s="305">
        <f>$C$128*VLOOKUP(B148,$B$141:$M$144,7,FALSE)/(60*VLOOKUP(B148,$B$141:$M$144,10,FALSE))</f>
        <v>0.16853932584269662</v>
      </c>
      <c r="E148" s="305">
        <f>VLOOKUP(B148,$B$141:$M$144,6,FALSE)*$C$123/VLOOKUP(B148,$B$141:$M$144,9,FALSE)</f>
        <v>6.9768750000000006</v>
      </c>
      <c r="F148" s="93">
        <f>VLOOKUP(B148,$B$141:$M$144,2,FALSE)*VLOOKUP(B148,$B$141:$M$144,4,FALSE)</f>
        <v>8.32</v>
      </c>
      <c r="G148" s="93">
        <f>$C$128*VLOOKUP(B148,$B$141:$M$144,12,FALSE)/(60*VLOOKUP(B148,$B$141:$M$144,11,FALSE))</f>
        <v>0.19047619047619047</v>
      </c>
      <c r="H148" s="93">
        <f>VLOOKUP(B148,$B$141:$M$144,6,FALSE)*$C$123/VLOOKUP(B148,$B$141:$M$144,8,FALSE)</f>
        <v>5.9536000000000007</v>
      </c>
      <c r="I148" s="314">
        <f>SUM(C148:E148)</f>
        <v>23.000414325842698</v>
      </c>
      <c r="J148" s="93">
        <f>SUM(F148:H148)</f>
        <v>14.464076190476192</v>
      </c>
      <c r="K148" s="93">
        <f>(I148-J148)*$C$122</f>
        <v>3117.8975039426164</v>
      </c>
      <c r="L148" s="93">
        <f>K148*AVERAGE($C$134:$C$139)/($C$122*$C$118)</f>
        <v>0.29047261710622141</v>
      </c>
      <c r="M148" s="93">
        <f>K148/(I148*$C$122)</f>
        <v>0.37113845057022676</v>
      </c>
      <c r="N148" s="93">
        <v>960</v>
      </c>
      <c r="O148" s="312">
        <f>N148/K148</f>
        <v>0.30789979426394526</v>
      </c>
      <c r="P148" s="311">
        <f>1/COUNT($O$148:$O$150)</f>
        <v>0.33333333333333331</v>
      </c>
      <c r="Q148" s="93"/>
      <c r="R148" s="93"/>
      <c r="S148" s="93"/>
      <c r="T148" s="93"/>
      <c r="U148" s="93"/>
      <c r="V148" s="93"/>
    </row>
    <row r="149" spans="1:22">
      <c r="A149" s="93"/>
      <c r="B149" s="94" t="s">
        <v>923</v>
      </c>
      <c r="C149" s="93">
        <f>VLOOKUP(B149,$B$141:$M$144,3,FALSE)*VLOOKUP(B149,$B$141:$M$144,5,FALSE)</f>
        <v>17.440999999999999</v>
      </c>
      <c r="D149" s="305">
        <f>$C$128*VLOOKUP(B149,$B$141:$M$144,7,FALSE)/(60*VLOOKUP(B149,$B$141:$M$144,10,FALSE))</f>
        <v>9.6153846153846145E-2</v>
      </c>
      <c r="E149" s="305">
        <f>VLOOKUP(B149,$B$141:$M$144,6,FALSE)*$C$123/VLOOKUP(B149,$B$141:$M$144,9,FALSE)</f>
        <v>12.06810810810811</v>
      </c>
      <c r="F149" s="93">
        <f>VLOOKUP(B149,$B$141:$M$144,2,FALSE)*VLOOKUP(B149,$B$141:$M$144,4,FALSE)</f>
        <v>12.719999999999999</v>
      </c>
      <c r="G149" s="93">
        <f>$C$128*VLOOKUP(B149,$B$141:$M$144,12,FALSE)/(60*VLOOKUP(B149,$B$141:$M$144,11,FALSE))</f>
        <v>0.10791366906474821</v>
      </c>
      <c r="H149" s="93">
        <f>VLOOKUP(B149,$B$141:$M$144,6,FALSE)*$C$123/VLOOKUP(B149,$B$141:$M$144,8,FALSE)</f>
        <v>11.163</v>
      </c>
      <c r="I149" s="314">
        <f>SUM(C149:E149)</f>
        <v>29.605261954261955</v>
      </c>
      <c r="J149" s="93">
        <f>SUM(F149:H149)</f>
        <v>23.990913669064746</v>
      </c>
      <c r="K149" s="93">
        <f>(I149-J149)*$C$122</f>
        <v>2050.6407111682806</v>
      </c>
      <c r="L149" s="93">
        <f>K149*AVERAGE($C$134:$C$139)/($C$122*$C$118)</f>
        <v>0.19104379581573838</v>
      </c>
      <c r="M149" s="93">
        <f>K149/(I149*$C$122)</f>
        <v>0.18964021645445941</v>
      </c>
      <c r="N149" s="93">
        <v>960</v>
      </c>
      <c r="O149" s="312">
        <f>N149/K149</f>
        <v>0.46814636750924238</v>
      </c>
      <c r="P149" s="311">
        <f>1/COUNT($O$148:$O$150)</f>
        <v>0.33333333333333331</v>
      </c>
      <c r="Q149" s="93"/>
      <c r="R149" s="93"/>
      <c r="S149" s="93"/>
      <c r="T149" s="93"/>
      <c r="U149" s="93"/>
      <c r="V149" s="93"/>
    </row>
    <row r="150" spans="1:22" ht="15.75" thickBot="1">
      <c r="A150" s="93"/>
      <c r="B150" s="94" t="s">
        <v>922</v>
      </c>
      <c r="C150" s="93">
        <f>VLOOKUP(B150,$B$141:$M$144,3,FALSE)*VLOOKUP(B150,$B$141:$M$144,5,FALSE)</f>
        <v>13.157999999999999</v>
      </c>
      <c r="D150" s="305">
        <f>$C$128*VLOOKUP(B150,$B$141:$M$144,7,FALSE)/(60*VLOOKUP(B150,$B$141:$M$144,10,FALSE))</f>
        <v>0.12820512820512819</v>
      </c>
      <c r="E150" s="305">
        <f>VLOOKUP(B150,$B$141:$M$144,6,FALSE)*$C$123/VLOOKUP(B150,$B$141:$M$144,9,FALSE)</f>
        <v>11.673725490196079</v>
      </c>
      <c r="F150" s="93">
        <f>VLOOKUP(B150,$B$141:$M$144,2,FALSE)*VLOOKUP(B150,$B$141:$M$144,4,FALSE)</f>
        <v>10</v>
      </c>
      <c r="G150" s="93">
        <f>$C$128*VLOOKUP(B150,$B$141:$M$144,12,FALSE)/(60*VLOOKUP(B150,$B$141:$M$144,11,FALSE))</f>
        <v>0.10791366906474821</v>
      </c>
      <c r="H150" s="93">
        <f>VLOOKUP(B150,$B$141:$M$144,6,FALSE)*$C$123/VLOOKUP(B150,$B$141:$M$144,8,FALSE)</f>
        <v>11.025185185185185</v>
      </c>
      <c r="I150" s="310">
        <f>SUM(C150:E150)</f>
        <v>24.959930618401206</v>
      </c>
      <c r="J150" s="308">
        <f>SUM(F150:H150)</f>
        <v>21.133098854249933</v>
      </c>
      <c r="K150" s="308">
        <f>(I150-J150)*$C$122</f>
        <v>1397.7503018562522</v>
      </c>
      <c r="L150" s="308">
        <f>K150*AVERAGE($C$134:$C$139)/($C$122*$C$118)</f>
        <v>0.13021858086348082</v>
      </c>
      <c r="M150" s="308">
        <f>K150/(I150*$C$122)</f>
        <v>0.1533190064771261</v>
      </c>
      <c r="N150" s="308">
        <v>960</v>
      </c>
      <c r="O150" s="312">
        <f>N150/K150</f>
        <v>0.68681795219438879</v>
      </c>
      <c r="P150" s="306">
        <f>1/COUNT($O$148:$O$150)</f>
        <v>0.33333333333333331</v>
      </c>
      <c r="Q150" s="93"/>
      <c r="R150" s="93"/>
      <c r="S150" s="93"/>
      <c r="T150" s="93"/>
      <c r="U150" s="93"/>
      <c r="V150" s="93"/>
    </row>
    <row r="151" spans="1:22">
      <c r="A151" s="93"/>
      <c r="B151" s="7" t="s">
        <v>0</v>
      </c>
      <c r="C151" s="7"/>
      <c r="D151" s="7"/>
      <c r="E151" s="7"/>
      <c r="F151" s="7"/>
      <c r="G151" s="7"/>
      <c r="H151" s="7"/>
      <c r="I151" s="7">
        <f t="shared" ref="I151:O151" si="31">SUMPRODUCT(I148:I150,$P$148:$P$150)</f>
        <v>25.855202299501954</v>
      </c>
      <c r="J151" s="7">
        <f t="shared" si="31"/>
        <v>19.86269623793029</v>
      </c>
      <c r="K151" s="7">
        <f t="shared" si="31"/>
        <v>2188.7628389890497</v>
      </c>
      <c r="L151" s="7">
        <f t="shared" si="31"/>
        <v>0.20391166459514687</v>
      </c>
      <c r="M151" s="7">
        <f t="shared" si="31"/>
        <v>0.2380325578339374</v>
      </c>
      <c r="N151" s="7">
        <f t="shared" si="31"/>
        <v>960</v>
      </c>
      <c r="O151" s="7">
        <f t="shared" si="31"/>
        <v>0.48762137132252548</v>
      </c>
      <c r="P151" s="93"/>
      <c r="Q151" s="93"/>
      <c r="R151" s="93"/>
      <c r="S151" s="93"/>
      <c r="T151" s="93"/>
      <c r="U151" s="93"/>
      <c r="V151" s="93"/>
    </row>
    <row r="152" spans="1:22" ht="15.75" thickBot="1">
      <c r="B152" s="302"/>
      <c r="C152" s="302"/>
      <c r="D152" s="302"/>
      <c r="E152" s="303"/>
      <c r="F152" s="304"/>
      <c r="G152" s="303"/>
      <c r="H152" s="301"/>
      <c r="I152" s="302"/>
      <c r="J152" s="302"/>
      <c r="K152" s="302"/>
      <c r="L152" s="302"/>
      <c r="M152" s="301"/>
      <c r="N152" s="300"/>
      <c r="O152" s="299"/>
      <c r="P152" s="298"/>
      <c r="Q152" s="297"/>
      <c r="R152" s="297"/>
    </row>
    <row r="153" spans="1:22">
      <c r="B153" s="94" t="s">
        <v>933</v>
      </c>
      <c r="C153" s="94" t="s">
        <v>932</v>
      </c>
      <c r="D153" s="318" t="s">
        <v>931</v>
      </c>
      <c r="E153" s="94" t="s">
        <v>930</v>
      </c>
      <c r="F153" s="94" t="s">
        <v>929</v>
      </c>
      <c r="G153" s="318" t="s">
        <v>928</v>
      </c>
      <c r="H153" s="94" t="s">
        <v>927</v>
      </c>
      <c r="I153" s="317" t="s">
        <v>2095</v>
      </c>
      <c r="J153" s="316" t="s">
        <v>2096</v>
      </c>
      <c r="K153" s="316" t="s">
        <v>2097</v>
      </c>
      <c r="L153" s="316" t="s">
        <v>2017</v>
      </c>
      <c r="M153" s="316" t="s">
        <v>244</v>
      </c>
      <c r="N153" s="316" t="s">
        <v>9</v>
      </c>
      <c r="O153" s="316" t="s">
        <v>2047</v>
      </c>
      <c r="P153" s="315" t="s">
        <v>7</v>
      </c>
      <c r="Q153" s="297"/>
      <c r="R153" s="297"/>
    </row>
    <row r="154" spans="1:22" ht="15.75" thickBot="1">
      <c r="B154" s="354" t="s">
        <v>2094</v>
      </c>
      <c r="C154" s="354">
        <f>D145*F145</f>
        <v>120257.29999999999</v>
      </c>
      <c r="D154" s="622">
        <f>$C$128*H145/(60*K145)</f>
        <v>2.6315789473684211E-6</v>
      </c>
      <c r="E154" s="586">
        <f>G145*C123/J145</f>
        <v>15.574468085106384</v>
      </c>
      <c r="F154" s="360">
        <f>C145*E145</f>
        <v>85888.9</v>
      </c>
      <c r="G154" s="622">
        <f>C128*M145/(60*L145)</f>
        <v>4.1666666666666669E-6</v>
      </c>
      <c r="H154" s="623">
        <f>G145*C123/I145</f>
        <v>14.076923076923077</v>
      </c>
      <c r="I154" s="310">
        <f>SUM(C154:E154)</f>
        <v>120272.87447071668</v>
      </c>
      <c r="J154" s="308">
        <f>SUM(D154:F154)</f>
        <v>85904.474470716683</v>
      </c>
      <c r="K154" s="351">
        <f>J151*3412*C122/1000000</f>
        <v>24.753547520684577</v>
      </c>
      <c r="L154" s="351">
        <f>(I154*C122/1000000)-K154</f>
        <v>19.176119879744689</v>
      </c>
      <c r="M154" s="624">
        <f>L154/(I154*C122/1000000)</f>
        <v>0.43651866755443058</v>
      </c>
      <c r="N154" s="656">
        <v>2374</v>
      </c>
      <c r="O154" s="312">
        <f>N154/K154</f>
        <v>95.905445391867019</v>
      </c>
      <c r="P154" s="625"/>
      <c r="Q154" s="297"/>
      <c r="R154" s="297"/>
    </row>
    <row r="155" spans="1:22">
      <c r="B155" s="302"/>
      <c r="C155" s="302"/>
      <c r="D155" s="302"/>
      <c r="E155" s="303"/>
      <c r="F155" s="304"/>
      <c r="G155" s="303"/>
      <c r="H155" s="301"/>
      <c r="I155" s="302"/>
      <c r="J155" s="302"/>
      <c r="K155" s="302"/>
      <c r="L155" s="302"/>
      <c r="M155" s="301"/>
      <c r="N155" s="657">
        <f>M159</f>
        <v>0</v>
      </c>
      <c r="O155" s="299"/>
      <c r="P155" s="298"/>
      <c r="Q155" s="297"/>
      <c r="R155" s="297"/>
    </row>
    <row r="156" spans="1:22">
      <c r="B156" s="302"/>
      <c r="C156" s="302"/>
      <c r="D156" s="302"/>
      <c r="E156" s="303"/>
      <c r="F156" s="304"/>
      <c r="G156" s="303"/>
      <c r="H156" s="301"/>
      <c r="I156" s="302"/>
      <c r="J156" s="302"/>
      <c r="K156" s="302"/>
      <c r="L156" s="302"/>
      <c r="M156" s="301"/>
      <c r="N156" s="300"/>
      <c r="O156" s="299"/>
      <c r="P156" s="298"/>
      <c r="Q156" s="297"/>
      <c r="R156" s="297"/>
    </row>
    <row r="157" spans="1:22">
      <c r="B157" s="302"/>
      <c r="C157" s="302"/>
      <c r="D157" s="302"/>
      <c r="E157" s="303"/>
      <c r="F157" s="304"/>
      <c r="G157" s="303"/>
      <c r="H157" s="301"/>
      <c r="I157" s="302"/>
      <c r="J157" s="302"/>
      <c r="K157" s="302"/>
      <c r="L157" s="302"/>
      <c r="M157" s="301"/>
      <c r="N157" s="300"/>
      <c r="O157" s="299"/>
      <c r="P157" s="298"/>
      <c r="Q157" s="297"/>
      <c r="R157" s="297"/>
    </row>
    <row r="158" spans="1:22">
      <c r="B158" s="302"/>
      <c r="C158" s="302"/>
      <c r="D158" s="302"/>
      <c r="E158" s="303"/>
      <c r="F158" s="304"/>
      <c r="G158" s="303"/>
      <c r="H158" s="301"/>
      <c r="I158" s="302"/>
      <c r="J158" s="302"/>
      <c r="K158" s="302"/>
      <c r="L158" s="302"/>
      <c r="M158" s="301"/>
      <c r="N158" s="300"/>
      <c r="O158" s="299"/>
      <c r="P158" s="298"/>
      <c r="Q158" s="297"/>
      <c r="R158" s="297"/>
    </row>
    <row r="159" spans="1:22">
      <c r="B159" s="302"/>
      <c r="C159" s="302"/>
      <c r="D159" s="302"/>
      <c r="E159" s="303"/>
      <c r="F159" s="304"/>
      <c r="G159" s="303"/>
      <c r="H159" s="301"/>
      <c r="I159" s="302"/>
      <c r="J159" s="302"/>
      <c r="K159" s="302"/>
      <c r="L159" s="302"/>
      <c r="M159" s="301"/>
      <c r="N159" s="300"/>
      <c r="O159" s="299"/>
      <c r="P159" s="298"/>
      <c r="Q159" s="297"/>
      <c r="R159" s="297"/>
    </row>
    <row r="160" spans="1:22">
      <c r="B160" s="302"/>
      <c r="C160" s="302"/>
      <c r="D160" s="302"/>
      <c r="E160" s="303"/>
      <c r="F160" s="304"/>
      <c r="G160" s="303"/>
      <c r="H160" s="301"/>
      <c r="I160" s="302"/>
      <c r="J160" s="302"/>
      <c r="K160" s="302"/>
      <c r="L160" s="302"/>
      <c r="M160" s="301"/>
      <c r="N160" s="300"/>
      <c r="O160" s="299"/>
      <c r="P160" s="298"/>
      <c r="Q160" s="297"/>
      <c r="R160" s="297"/>
    </row>
    <row r="161" spans="2:18">
      <c r="B161" s="302"/>
      <c r="C161" s="302"/>
      <c r="D161" s="302"/>
      <c r="E161" s="303"/>
      <c r="F161" s="304"/>
      <c r="G161" s="303"/>
      <c r="H161" s="301"/>
      <c r="I161" s="302"/>
      <c r="J161" s="302"/>
      <c r="K161" s="302"/>
      <c r="L161" s="302"/>
      <c r="M161" s="301"/>
      <c r="N161" s="300"/>
      <c r="O161" s="299"/>
      <c r="P161" s="298"/>
      <c r="Q161" s="297"/>
      <c r="R161" s="297"/>
    </row>
    <row r="162" spans="2:18">
      <c r="B162" s="302"/>
      <c r="C162" s="302"/>
      <c r="D162" s="302"/>
      <c r="E162" s="303"/>
      <c r="F162" s="304"/>
      <c r="G162" s="303"/>
      <c r="H162" s="301"/>
      <c r="I162" s="302"/>
      <c r="J162" s="302"/>
      <c r="K162" s="302"/>
      <c r="L162" s="302"/>
      <c r="M162" s="301"/>
      <c r="N162" s="300"/>
      <c r="O162" s="299"/>
      <c r="P162" s="298"/>
      <c r="Q162" s="297"/>
      <c r="R162" s="297"/>
    </row>
    <row r="163" spans="2:18">
      <c r="B163" s="302"/>
      <c r="C163" s="302"/>
      <c r="D163" s="302"/>
      <c r="E163" s="303"/>
      <c r="F163" s="304"/>
      <c r="G163" s="303"/>
      <c r="H163" s="301"/>
      <c r="I163" s="302"/>
      <c r="J163" s="302"/>
      <c r="K163" s="302"/>
      <c r="L163" s="302"/>
      <c r="M163" s="301"/>
      <c r="N163" s="300"/>
      <c r="O163" s="299"/>
      <c r="P163" s="298"/>
      <c r="Q163" s="297"/>
      <c r="R163" s="297"/>
    </row>
    <row r="164" spans="2:18">
      <c r="B164" s="302"/>
      <c r="C164" s="302"/>
      <c r="D164" s="302"/>
      <c r="E164" s="303"/>
      <c r="F164" s="304"/>
      <c r="G164" s="303"/>
      <c r="H164" s="301"/>
      <c r="I164" s="302"/>
      <c r="J164" s="302"/>
      <c r="K164" s="302"/>
      <c r="L164" s="302"/>
      <c r="M164" s="301"/>
      <c r="N164" s="300"/>
      <c r="O164" s="299"/>
      <c r="P164" s="298"/>
      <c r="Q164" s="297"/>
      <c r="R164" s="297"/>
    </row>
    <row r="165" spans="2:18">
      <c r="I165" s="302"/>
      <c r="J165" s="302"/>
      <c r="K165" s="302"/>
      <c r="L165" s="302"/>
      <c r="M165" s="301"/>
      <c r="N165" s="300"/>
      <c r="O165" s="299"/>
      <c r="P165" s="298"/>
      <c r="Q165" s="297"/>
      <c r="R165" s="297"/>
    </row>
    <row r="166" spans="2:18">
      <c r="B166" s="26"/>
      <c r="C166" s="26"/>
      <c r="D166" s="26"/>
      <c r="E166" s="296"/>
      <c r="F166" s="252"/>
      <c r="G166" s="296"/>
      <c r="H166" s="295"/>
      <c r="I166" s="302"/>
      <c r="J166" s="302"/>
      <c r="K166" s="302"/>
      <c r="L166" s="302"/>
      <c r="M166" s="301"/>
      <c r="N166" s="300"/>
      <c r="O166" s="299"/>
      <c r="P166" s="298"/>
      <c r="Q166" s="297"/>
      <c r="R166" s="297"/>
    </row>
    <row r="167" spans="2:18">
      <c r="B167" s="26"/>
      <c r="C167" s="26"/>
      <c r="D167" s="26"/>
      <c r="E167" s="296"/>
      <c r="F167" s="252"/>
      <c r="G167" s="296"/>
      <c r="H167" s="295"/>
      <c r="I167" s="302"/>
      <c r="J167" s="302"/>
      <c r="K167" s="302"/>
      <c r="L167" s="302"/>
      <c r="M167" s="301"/>
      <c r="N167" s="300"/>
      <c r="O167" s="299"/>
      <c r="P167" s="298"/>
      <c r="Q167" s="297"/>
      <c r="R167" s="297"/>
    </row>
    <row r="168" spans="2:18">
      <c r="B168" s="26"/>
      <c r="C168" s="26"/>
      <c r="D168" s="26"/>
      <c r="E168" s="296"/>
      <c r="F168" s="252"/>
      <c r="G168" s="296"/>
      <c r="H168" s="295"/>
      <c r="I168" s="26"/>
      <c r="J168" s="26"/>
      <c r="K168" s="26"/>
      <c r="L168" s="26"/>
      <c r="M168" s="295"/>
      <c r="N168" s="294"/>
      <c r="O168" s="288"/>
      <c r="P168" s="293"/>
      <c r="Q168" s="292"/>
      <c r="R168" s="292"/>
    </row>
    <row r="169" spans="2:18">
      <c r="I169" s="26"/>
      <c r="J169" s="26"/>
      <c r="K169" s="26"/>
      <c r="L169" s="26"/>
      <c r="M169" s="295"/>
      <c r="N169" s="294"/>
      <c r="O169" s="288"/>
      <c r="P169" s="293"/>
      <c r="Q169" s="292"/>
      <c r="R169" s="292"/>
    </row>
    <row r="170" spans="2:18">
      <c r="I170" s="26"/>
      <c r="J170" s="26"/>
      <c r="K170" s="26"/>
      <c r="L170" s="26"/>
      <c r="M170" s="295"/>
      <c r="N170" s="294"/>
      <c r="O170" s="288"/>
      <c r="P170" s="293"/>
      <c r="Q170" s="292"/>
      <c r="R170" s="292"/>
    </row>
    <row r="171" spans="2:18">
      <c r="B171" s="26"/>
      <c r="C171" s="26"/>
      <c r="D171" s="26"/>
      <c r="E171" s="296"/>
      <c r="F171" s="252"/>
      <c r="G171" s="296"/>
      <c r="H171" s="295"/>
      <c r="I171" s="26"/>
      <c r="J171" s="26"/>
      <c r="K171" s="26"/>
      <c r="L171" s="26"/>
      <c r="M171" s="295"/>
      <c r="N171" s="294"/>
      <c r="O171" s="288"/>
      <c r="P171" s="293"/>
      <c r="Q171" s="292"/>
      <c r="R171" s="292"/>
    </row>
    <row r="172" spans="2:18">
      <c r="B172" s="26"/>
      <c r="C172" s="26"/>
      <c r="D172" s="26"/>
      <c r="E172" s="296"/>
      <c r="F172" s="252"/>
      <c r="G172" s="296"/>
      <c r="H172" s="295"/>
      <c r="I172" s="26"/>
      <c r="J172" s="26"/>
      <c r="K172" s="26"/>
      <c r="L172" s="26"/>
      <c r="M172" s="295"/>
      <c r="N172" s="294"/>
      <c r="O172" s="288"/>
      <c r="P172" s="293"/>
      <c r="Q172" s="292"/>
      <c r="R172" s="292"/>
    </row>
    <row r="173" spans="2:18">
      <c r="B173" s="26"/>
      <c r="C173" s="26"/>
      <c r="D173" s="26"/>
      <c r="E173" s="296"/>
      <c r="F173" s="252"/>
      <c r="G173" s="296"/>
      <c r="H173" s="295"/>
      <c r="I173" s="26"/>
      <c r="J173" s="26"/>
      <c r="K173" s="26"/>
      <c r="L173" s="26"/>
      <c r="M173" s="295"/>
      <c r="N173" s="294"/>
      <c r="O173" s="288"/>
      <c r="P173" s="293"/>
      <c r="Q173" s="292"/>
      <c r="R173" s="292"/>
    </row>
    <row r="174" spans="2:18">
      <c r="B174" s="26"/>
      <c r="C174" s="26"/>
      <c r="D174" s="26"/>
      <c r="E174" s="296"/>
      <c r="F174" s="252"/>
      <c r="G174" s="296"/>
      <c r="H174" s="295"/>
      <c r="I174" s="26"/>
      <c r="J174" s="26"/>
      <c r="K174" s="26"/>
      <c r="L174" s="26"/>
      <c r="M174" s="295"/>
      <c r="N174" s="294"/>
      <c r="O174" s="288"/>
      <c r="P174" s="293"/>
      <c r="Q174" s="292"/>
      <c r="R174" s="292"/>
    </row>
    <row r="175" spans="2:18">
      <c r="B175" s="26"/>
      <c r="C175" s="26"/>
      <c r="D175" s="26"/>
      <c r="E175" s="296"/>
      <c r="F175" s="252"/>
      <c r="G175" s="296"/>
      <c r="H175" s="295"/>
      <c r="I175" s="26"/>
      <c r="J175" s="26"/>
      <c r="K175" s="26"/>
      <c r="L175" s="26"/>
      <c r="M175" s="295"/>
      <c r="N175" s="294"/>
      <c r="O175" s="288"/>
      <c r="P175" s="293"/>
      <c r="Q175" s="292"/>
      <c r="R175" s="292"/>
    </row>
    <row r="176" spans="2:18">
      <c r="B176" s="26"/>
      <c r="C176" s="26"/>
      <c r="D176" s="26"/>
      <c r="E176" s="296"/>
      <c r="F176" s="252"/>
      <c r="G176" s="296"/>
      <c r="H176" s="295"/>
      <c r="I176" s="26"/>
      <c r="J176" s="26"/>
      <c r="K176" s="26"/>
      <c r="L176" s="26"/>
      <c r="M176" s="295"/>
      <c r="N176" s="294"/>
      <c r="O176" s="288"/>
      <c r="P176" s="293"/>
      <c r="Q176" s="292"/>
      <c r="R176" s="292"/>
    </row>
    <row r="177" spans="2:18">
      <c r="B177" s="26"/>
      <c r="C177" s="26"/>
      <c r="D177" s="26"/>
      <c r="E177" s="296"/>
      <c r="F177" s="252"/>
      <c r="G177" s="296"/>
      <c r="H177" s="295"/>
      <c r="I177" s="26"/>
      <c r="J177" s="26"/>
      <c r="K177" s="26"/>
      <c r="L177" s="26"/>
      <c r="M177" s="295"/>
      <c r="N177" s="294"/>
      <c r="O177" s="288"/>
      <c r="P177" s="293"/>
      <c r="Q177" s="292"/>
      <c r="R177" s="292"/>
    </row>
    <row r="178" spans="2:18">
      <c r="B178" s="26"/>
      <c r="C178" s="26"/>
      <c r="D178" s="26"/>
      <c r="E178" s="296"/>
      <c r="F178" s="252"/>
      <c r="G178" s="296"/>
      <c r="H178" s="295"/>
      <c r="I178" s="26"/>
      <c r="J178" s="26"/>
      <c r="K178" s="26"/>
      <c r="L178" s="26"/>
      <c r="M178" s="295"/>
      <c r="N178" s="294"/>
      <c r="O178" s="288"/>
      <c r="P178" s="293"/>
      <c r="Q178" s="292"/>
      <c r="R178" s="292"/>
    </row>
    <row r="179" spans="2:18">
      <c r="B179" s="26"/>
      <c r="C179" s="26"/>
      <c r="D179" s="26"/>
      <c r="E179" s="296"/>
      <c r="F179" s="252"/>
      <c r="G179" s="296"/>
      <c r="H179" s="295"/>
      <c r="I179" s="26"/>
      <c r="J179" s="26"/>
      <c r="K179" s="26"/>
      <c r="L179" s="26"/>
      <c r="M179" s="295"/>
      <c r="N179" s="294"/>
      <c r="O179" s="288"/>
      <c r="P179" s="293"/>
      <c r="Q179" s="292"/>
      <c r="R179" s="292"/>
    </row>
    <row r="180" spans="2:18">
      <c r="B180" s="26"/>
      <c r="C180" s="26"/>
      <c r="D180" s="26"/>
      <c r="E180" s="296"/>
      <c r="F180" s="252"/>
      <c r="G180" s="296"/>
      <c r="H180" s="295"/>
      <c r="I180" s="26"/>
      <c r="J180" s="26"/>
      <c r="K180" s="26"/>
      <c r="L180" s="26"/>
      <c r="M180" s="295"/>
      <c r="N180" s="294"/>
      <c r="O180" s="288"/>
      <c r="P180" s="293"/>
      <c r="Q180" s="292"/>
      <c r="R180" s="292"/>
    </row>
    <row r="181" spans="2:18">
      <c r="B181" s="26"/>
      <c r="C181" s="26"/>
      <c r="D181" s="26"/>
      <c r="E181" s="296"/>
      <c r="F181" s="252"/>
      <c r="G181" s="296"/>
      <c r="H181" s="295"/>
      <c r="I181" s="26"/>
      <c r="J181" s="26"/>
      <c r="K181" s="26"/>
      <c r="L181" s="26"/>
      <c r="M181" s="295"/>
      <c r="N181" s="294"/>
      <c r="O181" s="288"/>
      <c r="P181" s="293"/>
      <c r="Q181" s="292"/>
      <c r="R181" s="292"/>
    </row>
    <row r="182" spans="2:18">
      <c r="B182" s="26"/>
      <c r="C182" s="26"/>
      <c r="D182" s="26"/>
      <c r="E182" s="296"/>
      <c r="F182" s="252"/>
      <c r="G182" s="296"/>
      <c r="H182" s="295"/>
      <c r="I182" s="26"/>
      <c r="J182" s="26"/>
      <c r="K182" s="26"/>
      <c r="L182" s="26"/>
      <c r="M182" s="295"/>
      <c r="N182" s="294"/>
      <c r="O182" s="288"/>
      <c r="P182" s="293"/>
      <c r="Q182" s="292"/>
      <c r="R182" s="292"/>
    </row>
    <row r="183" spans="2:18">
      <c r="B183" s="26"/>
      <c r="C183" s="26"/>
      <c r="D183" s="26"/>
      <c r="E183" s="296"/>
      <c r="F183" s="252"/>
      <c r="G183" s="296"/>
      <c r="H183" s="295"/>
      <c r="I183" s="26"/>
      <c r="J183" s="26"/>
      <c r="K183" s="26"/>
      <c r="L183" s="26"/>
      <c r="M183" s="295"/>
      <c r="N183" s="294"/>
      <c r="O183" s="288"/>
      <c r="P183" s="293"/>
      <c r="Q183" s="292"/>
      <c r="R183" s="292"/>
    </row>
    <row r="184" spans="2:18">
      <c r="B184" s="26"/>
      <c r="C184" s="26"/>
      <c r="D184" s="26"/>
      <c r="E184" s="296"/>
      <c r="F184" s="252"/>
      <c r="G184" s="296"/>
      <c r="H184" s="295"/>
      <c r="I184" s="26"/>
      <c r="J184" s="26"/>
      <c r="K184" s="26"/>
      <c r="L184" s="26"/>
      <c r="M184" s="295"/>
      <c r="N184" s="294"/>
      <c r="O184" s="288"/>
      <c r="P184" s="293"/>
      <c r="Q184" s="292"/>
      <c r="R184" s="292"/>
    </row>
    <row r="185" spans="2:18">
      <c r="B185" s="26"/>
      <c r="C185" s="26"/>
      <c r="D185" s="26"/>
      <c r="E185" s="296"/>
      <c r="F185" s="252"/>
      <c r="G185" s="296"/>
      <c r="H185" s="295"/>
      <c r="I185" s="26"/>
      <c r="J185" s="26"/>
      <c r="K185" s="26"/>
      <c r="L185" s="26"/>
      <c r="M185" s="295"/>
      <c r="N185" s="294"/>
      <c r="O185" s="288"/>
      <c r="P185" s="293"/>
      <c r="Q185" s="292"/>
      <c r="R185" s="292"/>
    </row>
    <row r="186" spans="2:18">
      <c r="B186" s="26"/>
      <c r="C186" s="26"/>
      <c r="D186" s="26"/>
      <c r="E186" s="296"/>
      <c r="F186" s="252"/>
      <c r="G186" s="296"/>
      <c r="H186" s="295"/>
      <c r="I186" s="26"/>
      <c r="J186" s="26"/>
      <c r="K186" s="26"/>
      <c r="L186" s="26"/>
      <c r="M186" s="295"/>
      <c r="N186" s="294"/>
      <c r="O186" s="288"/>
      <c r="P186" s="293"/>
      <c r="Q186" s="292"/>
      <c r="R186" s="292"/>
    </row>
    <row r="187" spans="2:18">
      <c r="B187" s="26"/>
      <c r="C187" s="26"/>
      <c r="D187" s="26"/>
      <c r="E187" s="296"/>
      <c r="F187" s="252"/>
      <c r="G187" s="296"/>
      <c r="H187" s="295"/>
      <c r="I187" s="26"/>
      <c r="J187" s="26"/>
      <c r="K187" s="26"/>
      <c r="L187" s="26"/>
      <c r="M187" s="295"/>
      <c r="N187" s="294"/>
      <c r="O187" s="288"/>
      <c r="P187" s="293"/>
      <c r="Q187" s="292"/>
      <c r="R187" s="292"/>
    </row>
    <row r="188" spans="2:18">
      <c r="B188" s="26"/>
      <c r="C188" s="26"/>
      <c r="D188" s="26"/>
      <c r="E188" s="296"/>
      <c r="F188" s="252"/>
      <c r="G188" s="296"/>
      <c r="H188" s="295"/>
      <c r="I188" s="26"/>
      <c r="J188" s="26"/>
      <c r="K188" s="26"/>
      <c r="L188" s="26"/>
      <c r="M188" s="295"/>
      <c r="N188" s="294"/>
      <c r="O188" s="288"/>
      <c r="P188" s="293"/>
      <c r="Q188" s="292"/>
      <c r="R188" s="292"/>
    </row>
    <row r="189" spans="2:18">
      <c r="B189" s="26"/>
      <c r="C189" s="26"/>
      <c r="D189" s="26"/>
      <c r="E189" s="296"/>
      <c r="F189" s="252"/>
      <c r="G189" s="296"/>
      <c r="H189" s="295"/>
      <c r="I189" s="26"/>
      <c r="J189" s="26"/>
      <c r="K189" s="26"/>
      <c r="L189" s="26"/>
      <c r="M189" s="295"/>
      <c r="N189" s="294"/>
      <c r="O189" s="288"/>
      <c r="P189" s="293"/>
      <c r="Q189" s="292"/>
      <c r="R189" s="292"/>
    </row>
    <row r="190" spans="2:18">
      <c r="B190" s="26"/>
      <c r="C190" s="26"/>
      <c r="D190" s="26"/>
      <c r="E190" s="296"/>
      <c r="F190" s="252"/>
      <c r="G190" s="296"/>
      <c r="H190" s="295"/>
      <c r="I190" s="26"/>
      <c r="J190" s="26"/>
      <c r="K190" s="26"/>
      <c r="L190" s="26"/>
      <c r="M190" s="295"/>
      <c r="N190" s="294"/>
      <c r="O190" s="288"/>
      <c r="P190" s="293"/>
      <c r="Q190" s="292"/>
      <c r="R190" s="292"/>
    </row>
    <row r="191" spans="2:18">
      <c r="B191" s="26"/>
      <c r="C191" s="26"/>
      <c r="D191" s="26"/>
      <c r="E191" s="296"/>
      <c r="F191" s="252"/>
      <c r="G191" s="296"/>
      <c r="H191" s="295"/>
      <c r="I191" s="26"/>
      <c r="J191" s="26"/>
      <c r="K191" s="26"/>
      <c r="L191" s="26"/>
      <c r="M191" s="295"/>
      <c r="N191" s="294"/>
      <c r="O191" s="288"/>
      <c r="P191" s="293"/>
      <c r="Q191" s="292"/>
      <c r="R191" s="292"/>
    </row>
    <row r="192" spans="2:18">
      <c r="B192" s="26"/>
      <c r="C192" s="26"/>
      <c r="D192" s="26"/>
      <c r="E192" s="296"/>
      <c r="F192" s="252"/>
      <c r="G192" s="296"/>
      <c r="H192" s="295"/>
      <c r="I192" s="26"/>
      <c r="J192" s="26"/>
      <c r="K192" s="26"/>
      <c r="L192" s="26"/>
      <c r="M192" s="295"/>
      <c r="N192" s="294"/>
      <c r="O192" s="288"/>
      <c r="P192" s="293"/>
      <c r="Q192" s="292"/>
      <c r="R192" s="292"/>
    </row>
    <row r="193" spans="2:18">
      <c r="B193" s="26"/>
      <c r="C193" s="26"/>
      <c r="D193" s="26"/>
      <c r="E193" s="296"/>
      <c r="F193" s="252"/>
      <c r="G193" s="296"/>
      <c r="H193" s="295"/>
      <c r="I193" s="26"/>
      <c r="J193" s="26"/>
      <c r="K193" s="26"/>
      <c r="L193" s="26"/>
      <c r="M193" s="295"/>
      <c r="N193" s="294"/>
      <c r="O193" s="288"/>
      <c r="P193" s="293"/>
      <c r="Q193" s="292"/>
      <c r="R193" s="292"/>
    </row>
    <row r="194" spans="2:18">
      <c r="B194" s="26"/>
      <c r="C194" s="26"/>
      <c r="D194" s="26"/>
      <c r="E194" s="296"/>
      <c r="F194" s="252"/>
      <c r="G194" s="296"/>
      <c r="H194" s="295"/>
      <c r="I194" s="26"/>
      <c r="J194" s="26"/>
      <c r="K194" s="26"/>
      <c r="L194" s="26"/>
      <c r="M194" s="295"/>
      <c r="N194" s="294"/>
      <c r="O194" s="288"/>
      <c r="P194" s="293"/>
      <c r="Q194" s="292"/>
      <c r="R194" s="292"/>
    </row>
    <row r="195" spans="2:18">
      <c r="B195" s="26"/>
      <c r="C195" s="26"/>
      <c r="D195" s="2"/>
      <c r="E195" s="291"/>
      <c r="F195" s="291"/>
      <c r="G195" s="291"/>
      <c r="H195" s="291"/>
      <c r="I195" s="291"/>
      <c r="J195" s="291"/>
      <c r="K195" s="291"/>
      <c r="L195" s="291"/>
      <c r="M195" s="291"/>
      <c r="N195" s="290"/>
      <c r="O195" s="288"/>
      <c r="P195" s="289"/>
      <c r="Q195" s="289"/>
      <c r="R195" s="288"/>
    </row>
    <row r="196" spans="2:18">
      <c r="B196" s="26"/>
      <c r="C196" s="26"/>
      <c r="D196" s="26"/>
      <c r="E196" s="26"/>
      <c r="F196" s="26"/>
      <c r="G196" s="26"/>
      <c r="H196" s="26"/>
      <c r="I196" s="26"/>
      <c r="J196" s="26"/>
      <c r="K196" s="26"/>
      <c r="L196" s="26"/>
      <c r="M196" s="26"/>
      <c r="N196" s="26"/>
      <c r="O196" s="26"/>
      <c r="P196" s="26"/>
      <c r="Q196" s="26"/>
      <c r="R196" s="27"/>
    </row>
    <row r="197" spans="2:18">
      <c r="B197" s="26"/>
      <c r="C197" s="26"/>
      <c r="D197" s="26"/>
      <c r="E197" s="26"/>
      <c r="F197" s="26"/>
      <c r="G197" s="26"/>
      <c r="H197" s="26"/>
      <c r="I197" s="26"/>
      <c r="J197" s="26"/>
      <c r="K197" s="26"/>
      <c r="L197" s="26"/>
      <c r="M197" s="26"/>
      <c r="N197" s="26"/>
      <c r="O197" s="26"/>
      <c r="P197" s="26"/>
      <c r="Q197" s="26"/>
      <c r="R197" s="27"/>
    </row>
    <row r="198" spans="2:18">
      <c r="B198" s="2"/>
      <c r="C198" s="26"/>
      <c r="D198" s="26"/>
      <c r="E198" s="26"/>
      <c r="F198" s="26"/>
      <c r="G198" s="26"/>
      <c r="H198" s="26"/>
      <c r="I198" s="26"/>
      <c r="J198" s="26"/>
      <c r="K198" s="26"/>
      <c r="L198" s="26"/>
      <c r="M198" s="26"/>
      <c r="N198" s="26"/>
      <c r="O198" s="26"/>
      <c r="P198" s="26"/>
      <c r="Q198" s="26"/>
      <c r="R198" s="27"/>
    </row>
    <row r="199" spans="2:18">
      <c r="B199" s="2"/>
      <c r="C199" s="2"/>
      <c r="D199" s="2"/>
      <c r="E199" s="26"/>
      <c r="F199" s="26"/>
      <c r="G199" s="26"/>
      <c r="H199" s="26"/>
      <c r="I199" s="26"/>
      <c r="J199" s="26"/>
      <c r="K199" s="26"/>
      <c r="L199" s="26"/>
      <c r="M199" s="26"/>
      <c r="N199" s="26"/>
      <c r="O199" s="26"/>
      <c r="P199" s="26"/>
      <c r="Q199" s="26"/>
      <c r="R199" s="27"/>
    </row>
    <row r="200" spans="2:18">
      <c r="B200" s="26"/>
      <c r="C200" s="287"/>
      <c r="D200" s="26"/>
      <c r="E200" s="26"/>
      <c r="F200" s="26"/>
      <c r="G200" s="26"/>
      <c r="H200" s="26"/>
      <c r="I200" s="26"/>
      <c r="J200" s="26"/>
      <c r="K200" s="26"/>
      <c r="L200" s="26"/>
      <c r="M200" s="26"/>
      <c r="N200" s="26"/>
      <c r="O200" s="26"/>
      <c r="P200" s="26"/>
      <c r="Q200" s="26"/>
      <c r="R200" s="27"/>
    </row>
    <row r="201" spans="2:18">
      <c r="B201" s="26"/>
      <c r="C201" s="287"/>
      <c r="D201" s="26"/>
      <c r="E201" s="26"/>
      <c r="F201" s="26"/>
      <c r="G201" s="26"/>
      <c r="H201" s="26"/>
      <c r="I201" s="26"/>
      <c r="J201" s="26"/>
      <c r="K201" s="26"/>
      <c r="L201" s="26"/>
      <c r="M201" s="26"/>
      <c r="N201" s="26"/>
      <c r="O201" s="26"/>
      <c r="P201" s="26"/>
      <c r="Q201" s="26"/>
      <c r="R201" s="27"/>
    </row>
    <row r="202" spans="2:18">
      <c r="B202" s="26"/>
      <c r="C202" s="287"/>
      <c r="D202" s="26"/>
      <c r="E202" s="26"/>
      <c r="F202" s="26"/>
      <c r="G202" s="26"/>
      <c r="H202" s="26"/>
      <c r="I202" s="26"/>
      <c r="J202" s="26"/>
      <c r="K202" s="26"/>
      <c r="L202" s="26"/>
      <c r="M202" s="26"/>
      <c r="N202" s="26"/>
      <c r="O202" s="26"/>
      <c r="P202" s="26"/>
      <c r="Q202" s="26"/>
      <c r="R202" s="27"/>
    </row>
  </sheetData>
  <dataValidations count="5">
    <dataValidation type="list" allowBlank="1" showInputMessage="1" showErrorMessage="1" sqref="C59:L59" xr:uid="{00000000-0002-0000-5900-000004000000}">
      <formula1>$N$19:$AQ$19</formula1>
    </dataValidation>
    <dataValidation type="list" allowBlank="1" showInputMessage="1" showErrorMessage="1" sqref="E11:E20" xr:uid="{00000000-0002-0000-5900-000003000000}">
      <formula1>$N$16:$O$16</formula1>
    </dataValidation>
    <dataValidation type="list" allowBlank="1" showInputMessage="1" showErrorMessage="1" sqref="D11:D20" xr:uid="{00000000-0002-0000-5900-000002000000}">
      <formula1>$N$22:$AE$22</formula1>
    </dataValidation>
    <dataValidation type="list" allowBlank="1" showInputMessage="1" showErrorMessage="1" sqref="B11:C20" xr:uid="{00000000-0002-0000-5900-000001000000}">
      <formula1>$N$7:$Q$7</formula1>
    </dataValidation>
    <dataValidation type="list" allowBlank="1" showInputMessage="1" showErrorMessage="1" sqref="D7" xr:uid="{00000000-0002-0000-5900-000000000000}">
      <formula1>$N$11:$O$11</formula1>
    </dataValidation>
  </dataValidations>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DE4F-9DBB-4F64-8810-E85539D8DA07}">
  <sheetPr codeName="Sheet171">
    <tabColor indexed="15"/>
  </sheetPr>
  <dimension ref="A1:AQ155"/>
  <sheetViews>
    <sheetView topLeftCell="A42"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2" style="1" customWidth="1"/>
    <col min="4" max="5" width="25.28515625" style="1" customWidth="1"/>
    <col min="6" max="6" width="21.42578125" style="1" customWidth="1"/>
    <col min="7" max="7" width="21.85546875" style="1" customWidth="1"/>
    <col min="8" max="8" width="22.7109375" style="1" customWidth="1"/>
    <col min="9" max="9" width="16"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Fryer</v>
      </c>
      <c r="C7" s="98" t="s">
        <v>985</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Fryer_CI, E - Cook (MD)</v>
      </c>
      <c r="J11" s="83" t="str">
        <f t="shared" ref="J11:J20" si="3">IF(B11="","",CONCATENATE($C$7,IF(C11="","",CONCATENATE(" with ",C11," Secondary Fuel"))))</f>
        <v>ENERGY STAR Fryers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ES Fryer_CI, P - Cook (MD)</v>
      </c>
      <c r="J12" s="83" t="str">
        <f t="shared" si="3"/>
        <v>ENERGY STAR Fryers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Fryer_CI, E - Cook (MD)</v>
      </c>
      <c r="D33" s="83" t="str">
        <f t="shared" ca="1" si="5"/>
        <v>CI ES Fryer_CI,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Fryer_CI, E - Cook (MD)</v>
      </c>
      <c r="N33" s="84" t="str">
        <f t="shared" ca="1" si="6"/>
        <v>CI ES Fryer_CI,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Fryers</v>
      </c>
      <c r="D34" s="83" t="str">
        <f t="shared" si="8"/>
        <v>ENERGY STAR Fryers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Fryer_CI, E - Cook (MD)</v>
      </c>
      <c r="D35" s="65" t="str">
        <f ca="1">D33</f>
        <v>CI ES Fryer_CI,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Fryers</v>
      </c>
      <c r="D36" s="65" t="str">
        <f>D34</f>
        <v>ENERGY STAR Fryers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988</v>
      </c>
      <c r="D38" s="82" t="s">
        <v>987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Fryers</v>
      </c>
      <c r="D52" s="66" t="str">
        <f t="shared" si="16"/>
        <v>ENERGY STAR Fryers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986</v>
      </c>
      <c r="D55" s="82" t="s">
        <v>986</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985</v>
      </c>
      <c r="D56" s="82" t="s">
        <v>985</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K147</f>
        <v>2357.4058381810978</v>
      </c>
      <c r="D64" s="372">
        <f>L152</f>
        <v>93.788149835780345</v>
      </c>
      <c r="E64" s="371"/>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M147</f>
        <v>0.11831625442708055</v>
      </c>
      <c r="D65" s="67">
        <f>M152</f>
        <v>0.97025881267906822</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N147</f>
        <v>1000</v>
      </c>
      <c r="D68" s="71">
        <f>N152</f>
        <v>1500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O147</f>
        <v>7.8715229542979971E-3</v>
      </c>
      <c r="D69" s="70">
        <f>O152</f>
        <v>16.134177520325331</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Fryers</v>
      </c>
      <c r="D71" s="66" t="str">
        <f t="shared" si="24"/>
        <v>ENERGY STAR Fryers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984</v>
      </c>
    </row>
    <row r="106" spans="1:22">
      <c r="B106" s="1" t="s">
        <v>983</v>
      </c>
    </row>
    <row r="107" spans="1:22">
      <c r="B107" s="1" t="s">
        <v>982</v>
      </c>
    </row>
    <row r="108" spans="1:22">
      <c r="B108" s="1" t="s">
        <v>981</v>
      </c>
    </row>
    <row r="109" spans="1:22">
      <c r="B109" s="1" t="s">
        <v>980</v>
      </c>
    </row>
    <row r="111" spans="1:22" s="63" customFormat="1" ht="15.75" thickBot="1">
      <c r="B111" s="63" t="s">
        <v>50</v>
      </c>
    </row>
    <row r="113" spans="2:7">
      <c r="B113" s="1" t="s">
        <v>305</v>
      </c>
      <c r="C113" s="1">
        <v>12</v>
      </c>
      <c r="D113" s="333" t="s">
        <v>964</v>
      </c>
      <c r="E113" s="1" t="s">
        <v>979</v>
      </c>
      <c r="G113" s="95"/>
    </row>
    <row r="114" spans="2:7">
      <c r="B114" s="1" t="s">
        <v>943</v>
      </c>
      <c r="C114" s="1" t="s">
        <v>35</v>
      </c>
      <c r="D114" s="333" t="s">
        <v>964</v>
      </c>
      <c r="E114" s="1" t="s">
        <v>978</v>
      </c>
    </row>
    <row r="115" spans="2:7">
      <c r="B115" s="302" t="s">
        <v>944</v>
      </c>
      <c r="C115" s="1" t="s">
        <v>35</v>
      </c>
      <c r="D115" s="333" t="s">
        <v>964</v>
      </c>
      <c r="E115" s="302" t="s">
        <v>977</v>
      </c>
    </row>
    <row r="116" spans="2:7">
      <c r="B116" s="1" t="s">
        <v>309</v>
      </c>
      <c r="C116" s="1" t="s">
        <v>35</v>
      </c>
      <c r="D116" s="333" t="s">
        <v>964</v>
      </c>
      <c r="E116" s="302" t="s">
        <v>976</v>
      </c>
    </row>
    <row r="117" spans="2:7">
      <c r="B117" s="347" t="s">
        <v>975</v>
      </c>
      <c r="C117" s="302">
        <v>15</v>
      </c>
      <c r="D117" s="333" t="s">
        <v>964</v>
      </c>
      <c r="E117" s="302" t="s">
        <v>974</v>
      </c>
      <c r="F117" s="302"/>
      <c r="G117" s="302"/>
    </row>
    <row r="118" spans="2:7">
      <c r="B118" s="347" t="s">
        <v>940</v>
      </c>
      <c r="C118" s="302">
        <v>150</v>
      </c>
      <c r="D118" s="333" t="s">
        <v>964</v>
      </c>
      <c r="E118" s="302" t="s">
        <v>973</v>
      </c>
      <c r="F118" s="302"/>
      <c r="G118" s="302"/>
    </row>
    <row r="119" spans="2:7">
      <c r="B119" s="347" t="s">
        <v>962</v>
      </c>
      <c r="C119" s="302" t="s">
        <v>35</v>
      </c>
      <c r="D119" s="333" t="s">
        <v>964</v>
      </c>
      <c r="E119" s="302" t="s">
        <v>972</v>
      </c>
      <c r="F119" s="302"/>
      <c r="G119" s="302"/>
    </row>
    <row r="120" spans="2:7">
      <c r="B120" s="347" t="s">
        <v>961</v>
      </c>
      <c r="C120" s="370" t="s">
        <v>35</v>
      </c>
      <c r="D120" s="333" t="s">
        <v>964</v>
      </c>
      <c r="E120" s="302" t="s">
        <v>971</v>
      </c>
      <c r="F120" s="302"/>
      <c r="G120" s="302"/>
    </row>
    <row r="121" spans="2:7">
      <c r="B121" s="347" t="s">
        <v>2100</v>
      </c>
      <c r="C121" s="370">
        <v>2.4</v>
      </c>
      <c r="D121" s="333" t="s">
        <v>964</v>
      </c>
      <c r="E121" s="302" t="s">
        <v>970</v>
      </c>
      <c r="F121" s="302"/>
      <c r="G121" s="302"/>
    </row>
    <row r="122" spans="2:7">
      <c r="B122" s="347" t="s">
        <v>2101</v>
      </c>
      <c r="C122" s="370">
        <v>18500</v>
      </c>
      <c r="D122" s="333" t="s">
        <v>964</v>
      </c>
      <c r="E122" s="302"/>
      <c r="F122" s="302"/>
      <c r="G122" s="302"/>
    </row>
    <row r="123" spans="2:7">
      <c r="B123" s="347" t="s">
        <v>2102</v>
      </c>
      <c r="C123" s="370">
        <v>1.9</v>
      </c>
      <c r="D123" s="333" t="s">
        <v>964</v>
      </c>
      <c r="E123" s="302" t="s">
        <v>968</v>
      </c>
      <c r="F123" s="302"/>
      <c r="G123" s="369"/>
    </row>
    <row r="124" spans="2:7">
      <c r="B124" s="347" t="s">
        <v>2103</v>
      </c>
      <c r="C124" s="370">
        <v>16000</v>
      </c>
      <c r="D124" s="333" t="s">
        <v>964</v>
      </c>
      <c r="E124" s="302"/>
      <c r="F124" s="302"/>
      <c r="G124" s="369"/>
    </row>
    <row r="125" spans="2:7">
      <c r="B125" s="1" t="s">
        <v>947</v>
      </c>
      <c r="C125" s="1">
        <v>167</v>
      </c>
      <c r="D125" s="333" t="s">
        <v>964</v>
      </c>
      <c r="E125" s="302" t="s">
        <v>967</v>
      </c>
      <c r="F125" s="302"/>
      <c r="G125" s="324"/>
    </row>
    <row r="126" spans="2:7">
      <c r="B126" s="1" t="s">
        <v>960</v>
      </c>
      <c r="C126" s="1" t="s">
        <v>35</v>
      </c>
      <c r="D126" s="333" t="s">
        <v>964</v>
      </c>
      <c r="E126" s="302" t="s">
        <v>966</v>
      </c>
      <c r="F126" s="302"/>
      <c r="G126" s="368"/>
    </row>
    <row r="127" spans="2:7">
      <c r="B127" s="1" t="s">
        <v>938</v>
      </c>
      <c r="C127" s="1" t="s">
        <v>35</v>
      </c>
      <c r="D127" s="333" t="s">
        <v>964</v>
      </c>
      <c r="E127" s="302" t="s">
        <v>965</v>
      </c>
      <c r="F127" s="302"/>
    </row>
    <row r="128" spans="2:7">
      <c r="B128" s="1" t="s">
        <v>408</v>
      </c>
      <c r="C128" s="1">
        <v>365.25</v>
      </c>
      <c r="D128" s="333" t="s">
        <v>964</v>
      </c>
      <c r="E128" s="302" t="s">
        <v>963</v>
      </c>
      <c r="F128" s="302"/>
      <c r="G128" s="367"/>
    </row>
    <row r="129" spans="2:16">
      <c r="D129" s="325"/>
      <c r="E129" s="302"/>
      <c r="F129" s="302"/>
      <c r="G129" s="366"/>
    </row>
    <row r="130" spans="2:16">
      <c r="B130" s="94" t="s">
        <v>588</v>
      </c>
      <c r="C130" s="94" t="s">
        <v>34</v>
      </c>
      <c r="E130" s="302"/>
      <c r="F130" s="302"/>
    </row>
    <row r="131" spans="2:16">
      <c r="B131" s="93" t="s">
        <v>884</v>
      </c>
      <c r="C131" s="93">
        <v>0.32</v>
      </c>
      <c r="E131" s="302"/>
      <c r="F131" s="302"/>
    </row>
    <row r="132" spans="2:16">
      <c r="B132" s="93" t="s">
        <v>883</v>
      </c>
      <c r="C132" s="93">
        <v>0.41</v>
      </c>
    </row>
    <row r="133" spans="2:16">
      <c r="B133" s="93" t="s">
        <v>882</v>
      </c>
      <c r="C133" s="93">
        <v>0.46</v>
      </c>
    </row>
    <row r="134" spans="2:16">
      <c r="B134" s="93" t="s">
        <v>881</v>
      </c>
      <c r="C134" s="93">
        <v>0.51</v>
      </c>
    </row>
    <row r="135" spans="2:16">
      <c r="B135" s="93" t="s">
        <v>880</v>
      </c>
      <c r="C135" s="93">
        <v>0.36</v>
      </c>
    </row>
    <row r="136" spans="2:16">
      <c r="B136" s="93" t="s">
        <v>879</v>
      </c>
      <c r="C136" s="93">
        <v>0.39</v>
      </c>
    </row>
    <row r="137" spans="2:16">
      <c r="D137" s="57"/>
      <c r="G137" s="95"/>
    </row>
    <row r="138" spans="2:16">
      <c r="B138" s="95" t="s">
        <v>959</v>
      </c>
      <c r="C138" s="95" t="s">
        <v>943</v>
      </c>
      <c r="D138" s="364" t="s">
        <v>944</v>
      </c>
      <c r="E138" s="365" t="s">
        <v>962</v>
      </c>
      <c r="F138" s="365" t="s">
        <v>961</v>
      </c>
      <c r="G138" s="95" t="s">
        <v>309</v>
      </c>
      <c r="H138" s="95" t="s">
        <v>960</v>
      </c>
      <c r="I138" s="95" t="s">
        <v>938</v>
      </c>
      <c r="J138" s="95" t="s">
        <v>9</v>
      </c>
    </row>
    <row r="139" spans="2:16">
      <c r="B139" s="364" t="s">
        <v>954</v>
      </c>
      <c r="C139" s="302">
        <v>1200</v>
      </c>
      <c r="D139" s="1">
        <v>800</v>
      </c>
      <c r="E139" s="1">
        <v>65</v>
      </c>
      <c r="F139" s="1">
        <v>70</v>
      </c>
      <c r="G139" s="1">
        <v>16</v>
      </c>
      <c r="H139" s="363">
        <v>0.75</v>
      </c>
      <c r="I139" s="363">
        <v>0.83</v>
      </c>
      <c r="J139" s="1">
        <v>1500</v>
      </c>
    </row>
    <row r="140" spans="2:16">
      <c r="B140" s="364" t="s">
        <v>953</v>
      </c>
      <c r="C140" s="302">
        <v>1350</v>
      </c>
      <c r="D140" s="1">
        <v>1100</v>
      </c>
      <c r="E140" s="1">
        <v>100</v>
      </c>
      <c r="F140" s="1">
        <v>110</v>
      </c>
      <c r="G140" s="1">
        <v>12</v>
      </c>
      <c r="H140" s="363">
        <v>0.7</v>
      </c>
      <c r="I140" s="363">
        <v>0.8</v>
      </c>
      <c r="J140" s="1">
        <v>500</v>
      </c>
    </row>
    <row r="141" spans="2:16">
      <c r="B141" s="95" t="s">
        <v>2098</v>
      </c>
      <c r="C141" s="1">
        <v>14000</v>
      </c>
      <c r="D141" s="57">
        <v>9000</v>
      </c>
      <c r="E141" s="1">
        <v>60</v>
      </c>
      <c r="F141" s="1">
        <v>65</v>
      </c>
      <c r="G141" s="95">
        <v>16</v>
      </c>
      <c r="H141" s="325">
        <v>0.35</v>
      </c>
      <c r="I141" s="325">
        <v>0.5</v>
      </c>
      <c r="J141" s="1">
        <v>1000</v>
      </c>
    </row>
    <row r="142" spans="2:16">
      <c r="B142" s="95" t="s">
        <v>2099</v>
      </c>
      <c r="C142" s="1">
        <v>16000</v>
      </c>
      <c r="D142" s="57">
        <v>12000</v>
      </c>
      <c r="E142" s="1">
        <v>100</v>
      </c>
      <c r="F142" s="1">
        <v>110</v>
      </c>
      <c r="G142" s="95">
        <v>12</v>
      </c>
      <c r="H142" s="325">
        <v>0.35</v>
      </c>
      <c r="I142" s="325">
        <v>0.5</v>
      </c>
      <c r="J142" s="1">
        <v>2000</v>
      </c>
    </row>
    <row r="143" spans="2:16" ht="15.75" thickBot="1">
      <c r="D143" s="57"/>
      <c r="G143" s="95"/>
    </row>
    <row r="144" spans="2:16">
      <c r="B144" s="94" t="s">
        <v>959</v>
      </c>
      <c r="C144" s="94" t="s">
        <v>932</v>
      </c>
      <c r="D144" s="94" t="s">
        <v>931</v>
      </c>
      <c r="E144" s="94" t="s">
        <v>930</v>
      </c>
      <c r="F144" s="94" t="s">
        <v>958</v>
      </c>
      <c r="G144" s="94" t="s">
        <v>957</v>
      </c>
      <c r="H144" s="94" t="s">
        <v>956</v>
      </c>
      <c r="I144" s="317" t="s">
        <v>926</v>
      </c>
      <c r="J144" s="316" t="s">
        <v>955</v>
      </c>
      <c r="K144" s="316" t="s">
        <v>500</v>
      </c>
      <c r="L144" s="316" t="s">
        <v>10</v>
      </c>
      <c r="M144" s="316" t="s">
        <v>244</v>
      </c>
      <c r="N144" s="316" t="s">
        <v>9</v>
      </c>
      <c r="O144" s="315" t="s">
        <v>8</v>
      </c>
      <c r="P144" s="629" t="s">
        <v>7</v>
      </c>
    </row>
    <row r="145" spans="2:16">
      <c r="B145" s="362" t="s">
        <v>954</v>
      </c>
      <c r="C145" s="356">
        <f>(VLOOKUP(B145,$B$138:$I$140,2, FALSE)*((VLOOKUP(B145,$B$138:$I$140,6, FALSE))-($C$117/60)))-($C$118/VLOOKUP(B145,$B$138:$I$140,4, FALSE))</f>
        <v>18897.692307692309</v>
      </c>
      <c r="D145" s="355">
        <f>($C$121)*1000</f>
        <v>2400</v>
      </c>
      <c r="E145" s="354">
        <f>$C$118*$C$125/VLOOKUP(B145,$B$138:$I$140,7, FALSE)</f>
        <v>33400</v>
      </c>
      <c r="F145" s="354">
        <f>(VLOOKUP(B145,$B$138:$I$140,3, FALSE)*((VLOOKUP(B145,$B$138:$I$140,6, FALSE))-($C$117/60)))-($C$118/VLOOKUP(B145,$B$138:$I$140,5, FALSE))</f>
        <v>12597.857142857143</v>
      </c>
      <c r="G145" s="354">
        <f>$C$123*1000</f>
        <v>1900</v>
      </c>
      <c r="H145" s="353">
        <f>$C$118*$C$125/VLOOKUP(B145,$B$138:$I$140,8, FALSE)</f>
        <v>30180.722891566267</v>
      </c>
      <c r="I145" s="361">
        <f>SUM(C145:E145)*$C$128/1000</f>
        <v>19978.332115384615</v>
      </c>
      <c r="J145" s="354">
        <f>SUM(F145:H145)*$C$128/1000</f>
        <v>16318.85135757315</v>
      </c>
      <c r="K145" s="360">
        <f>(I145-J145)</f>
        <v>3659.4807578114651</v>
      </c>
      <c r="L145" s="360">
        <f>K145*AVERAGE($C$131:$C$136)/(1000*VLOOKUP(B145,$B$138:$I$140,6, FALSE))</f>
        <v>9.3392998506646771E-2</v>
      </c>
      <c r="M145" s="360">
        <f>K145/I145</f>
        <v>0.18317248590503843</v>
      </c>
      <c r="N145" s="626">
        <f>J139</f>
        <v>1500</v>
      </c>
      <c r="O145" s="627">
        <f>VLOOKUP(B145,$B$138:$I$140,6,FALSE)/K145</f>
        <v>4.3722049817714369E-3</v>
      </c>
      <c r="P145" s="630">
        <f>1/COUNT($O$145:$O$146)</f>
        <v>0.5</v>
      </c>
    </row>
    <row r="146" spans="2:16" ht="15.75" thickBot="1">
      <c r="B146" s="357" t="s">
        <v>953</v>
      </c>
      <c r="C146" s="356">
        <f>(VLOOKUP(B146,$B$138:$I$140,2, FALSE)*((VLOOKUP(B146,$B$138:$I$140,6, FALSE))-($C$117/60)))-($C$118/VLOOKUP(B146,$B$138:$I$140,4, FALSE))</f>
        <v>15861</v>
      </c>
      <c r="D146" s="355">
        <f>($C$121)*1000</f>
        <v>2400</v>
      </c>
      <c r="E146" s="354">
        <f>$C$118*$C$125/VLOOKUP(B146,$B$138:$I$140,7, FALSE)</f>
        <v>35785.71428571429</v>
      </c>
      <c r="F146" s="354">
        <f>(VLOOKUP(B146,$B$138:$I$140,3, FALSE)*((VLOOKUP(B146,$B$138:$I$140,6, FALSE))-($C$117/60)))-($C$118/VLOOKUP(B146,$B$138:$I$140,5, FALSE))</f>
        <v>12923.636363636364</v>
      </c>
      <c r="G146" s="354">
        <f>$C$123*1000</f>
        <v>1900</v>
      </c>
      <c r="H146" s="353">
        <f>$C$118*$C$125/VLOOKUP(B146,$B$138:$I$140,8, FALSE)</f>
        <v>31312.5</v>
      </c>
      <c r="I146" s="352">
        <f>SUM(C146:E146)*$C$128/1000</f>
        <v>19740.562392857144</v>
      </c>
      <c r="J146" s="351">
        <f>SUM(F146:H146)*$C$128/1000</f>
        <v>16851.223806818183</v>
      </c>
      <c r="K146" s="350">
        <f>(I146-J146)*$C$128/1000</f>
        <v>1055.3309185507305</v>
      </c>
      <c r="L146" s="350">
        <f>K146*AVERAGE($C$131:$C$136)/(1000*VLOOKUP(B146,$B$138:$I$140,6, FALSE))</f>
        <v>3.5910565978462365E-2</v>
      </c>
      <c r="M146" s="350">
        <f>K146/I146</f>
        <v>5.3460022949122651E-2</v>
      </c>
      <c r="N146" s="350">
        <f>J140</f>
        <v>500</v>
      </c>
      <c r="O146" s="628">
        <f>VLOOKUP(B146,$B$138:$I$140,6,FALSE)/K146</f>
        <v>1.1370840926824556E-2</v>
      </c>
      <c r="P146" s="631">
        <f>1/COUNT($O$145:$O$146)</f>
        <v>0.5</v>
      </c>
    </row>
    <row r="147" spans="2:16">
      <c r="B147" s="7" t="s">
        <v>0</v>
      </c>
      <c r="C147" s="7"/>
      <c r="D147" s="7"/>
      <c r="E147" s="7"/>
      <c r="F147" s="7"/>
      <c r="G147" s="7"/>
      <c r="H147" s="7"/>
      <c r="I147" s="7"/>
      <c r="J147" s="7"/>
      <c r="K147" s="7">
        <f>SUMPRODUCT(K145:K146,$P$145:$P$146)</f>
        <v>2357.4058381810978</v>
      </c>
      <c r="L147" s="7">
        <f>SUMPRODUCT(L145:L146,$P$145:$P$146)</f>
        <v>6.4651782242554565E-2</v>
      </c>
      <c r="M147" s="7">
        <f>SUMPRODUCT(M145:M146,$P$145:$P$146)</f>
        <v>0.11831625442708055</v>
      </c>
      <c r="N147" s="7">
        <f>SUMPRODUCT(N145:N146,$P$145:$P$146)</f>
        <v>1000</v>
      </c>
      <c r="O147" s="7">
        <f>SUMPRODUCT(O145:O146,$P$145:$P$146)</f>
        <v>7.8715229542979971E-3</v>
      </c>
    </row>
    <row r="148" spans="2:16" ht="15.75" thickBot="1">
      <c r="H148" s="344"/>
      <c r="I148" s="302"/>
      <c r="J148" s="302"/>
      <c r="K148" s="304"/>
      <c r="L148" s="304"/>
      <c r="M148" s="343"/>
      <c r="N148" s="340"/>
    </row>
    <row r="149" spans="2:16">
      <c r="B149" s="94" t="s">
        <v>959</v>
      </c>
      <c r="C149" s="94" t="s">
        <v>932</v>
      </c>
      <c r="D149" s="94" t="s">
        <v>931</v>
      </c>
      <c r="E149" s="94" t="s">
        <v>930</v>
      </c>
      <c r="F149" s="94" t="s">
        <v>958</v>
      </c>
      <c r="G149" s="94" t="s">
        <v>957</v>
      </c>
      <c r="H149" s="94" t="s">
        <v>956</v>
      </c>
      <c r="I149" s="317" t="s">
        <v>2095</v>
      </c>
      <c r="J149" s="316" t="s">
        <v>2096</v>
      </c>
      <c r="K149" s="316" t="s">
        <v>2097</v>
      </c>
      <c r="L149" s="316" t="s">
        <v>2017</v>
      </c>
      <c r="M149" s="316" t="s">
        <v>244</v>
      </c>
      <c r="N149" s="316" t="s">
        <v>9</v>
      </c>
      <c r="O149" s="315" t="s">
        <v>2047</v>
      </c>
      <c r="P149" s="315" t="s">
        <v>7</v>
      </c>
    </row>
    <row r="150" spans="2:16">
      <c r="B150" s="362" t="s">
        <v>2098</v>
      </c>
      <c r="C150" s="356">
        <f>C141*(G141-($C$117/60)-($C$118/E141))</f>
        <v>185500</v>
      </c>
      <c r="D150" s="355">
        <f>($C$122)</f>
        <v>18500</v>
      </c>
      <c r="E150" s="354">
        <f>$C$118*$C$125/H141</f>
        <v>71571.42857142858</v>
      </c>
      <c r="F150" s="354">
        <f>D141*(G141-($C$117/60)-($C$118/F141))</f>
        <v>120980.76923076923</v>
      </c>
      <c r="G150" s="354">
        <f>$C$124</f>
        <v>16000</v>
      </c>
      <c r="H150" s="353">
        <f>$C$118*$C$125/I141</f>
        <v>50100</v>
      </c>
      <c r="I150" s="361">
        <f>SUM(C150:E150)*$C$128/1000000</f>
        <v>100.65246428571429</v>
      </c>
      <c r="J150" s="354">
        <f>SUM(F150:H150)*$C$128/1000000</f>
        <v>68.331250961538458</v>
      </c>
      <c r="K150" s="360">
        <f>(K145*3.412*$C$128/1000000)</f>
        <v>4.5605656832496555</v>
      </c>
      <c r="L150" s="360">
        <f>I150-K150</f>
        <v>96.091898602464639</v>
      </c>
      <c r="M150" s="360">
        <f>L150/I150</f>
        <v>0.95468997489913487</v>
      </c>
      <c r="N150" s="626">
        <f>J141</f>
        <v>1000</v>
      </c>
      <c r="O150" s="627">
        <f>N150/L150</f>
        <v>10.40670456660486</v>
      </c>
      <c r="P150" s="358">
        <f>1/COUNT($O$145:$O$146)</f>
        <v>0.5</v>
      </c>
    </row>
    <row r="151" spans="2:16" ht="15.75" thickBot="1">
      <c r="B151" s="357" t="s">
        <v>2099</v>
      </c>
      <c r="C151" s="356">
        <f>C142*(G142-($C$117/60)-($C$118/E142))</f>
        <v>164000</v>
      </c>
      <c r="D151" s="355">
        <f>($C$122)</f>
        <v>18500</v>
      </c>
      <c r="E151" s="354">
        <f>$C$118*$C$125/H142</f>
        <v>71571.42857142858</v>
      </c>
      <c r="F151" s="354">
        <f>D142*(G142-($C$117/60)-($C$118/F142))</f>
        <v>124636.36363636365</v>
      </c>
      <c r="G151" s="354">
        <f>$C$124</f>
        <v>16000</v>
      </c>
      <c r="H151" s="353">
        <f>$C$118*$C$125/I142</f>
        <v>50100</v>
      </c>
      <c r="I151" s="352">
        <f>SUM(C151:E151)*$C$128/1000000</f>
        <v>92.799589285714291</v>
      </c>
      <c r="J151" s="351">
        <f>SUM(F151:H151)*$C$128/1000000</f>
        <v>69.666456818181828</v>
      </c>
      <c r="K151" s="350">
        <f>(K146*3.412*$C$128/1000000)</f>
        <v>1.3151882166182325</v>
      </c>
      <c r="L151" s="350">
        <f>I151-K151</f>
        <v>91.484401069096052</v>
      </c>
      <c r="M151" s="350">
        <f>L151/I151</f>
        <v>0.98582765045900156</v>
      </c>
      <c r="N151" s="350">
        <f>J142</f>
        <v>2000</v>
      </c>
      <c r="O151" s="628">
        <f>N151/L151</f>
        <v>21.861650474045803</v>
      </c>
      <c r="P151" s="348">
        <f>1/COUNT($O$145:$O$146)</f>
        <v>0.5</v>
      </c>
    </row>
    <row r="152" spans="2:16">
      <c r="B152" s="7" t="s">
        <v>0</v>
      </c>
      <c r="C152" s="7"/>
      <c r="D152" s="7"/>
      <c r="E152" s="7"/>
      <c r="F152" s="7"/>
      <c r="G152" s="7"/>
      <c r="H152" s="7"/>
      <c r="I152" s="7"/>
      <c r="J152" s="7"/>
      <c r="K152" s="7">
        <f>SUMPRODUCT(K150:K151,$P$145:$P$146)</f>
        <v>2.9378769499339441</v>
      </c>
      <c r="L152" s="7">
        <f>SUMPRODUCT(L150:L151,$P$145:$P$146)</f>
        <v>93.788149835780345</v>
      </c>
      <c r="M152" s="7">
        <f>SUMPRODUCT(M150:M151,$P$145:$P$146)</f>
        <v>0.97025881267906822</v>
      </c>
      <c r="N152" s="7">
        <f>SUMPRODUCT(N150:N151,$P$145:$P$146)</f>
        <v>1500</v>
      </c>
      <c r="O152" s="7">
        <f>SUMPRODUCT(O150:O151,$P$145:$P$146)</f>
        <v>16.134177520325331</v>
      </c>
    </row>
    <row r="153" spans="2:16">
      <c r="H153" s="302"/>
      <c r="I153" s="302"/>
      <c r="J153" s="302"/>
      <c r="K153" s="302"/>
      <c r="L153" s="302"/>
      <c r="M153" s="302"/>
      <c r="N153" s="302"/>
    </row>
    <row r="154" spans="2:16">
      <c r="H154" s="302"/>
      <c r="I154" s="302"/>
      <c r="J154" s="302"/>
      <c r="K154" s="302"/>
      <c r="L154" s="302"/>
      <c r="M154" s="302"/>
      <c r="N154" s="302"/>
    </row>
    <row r="155" spans="2:16">
      <c r="H155" s="302"/>
      <c r="I155" s="302"/>
      <c r="J155" s="302"/>
      <c r="K155" s="302"/>
      <c r="L155" s="302"/>
      <c r="M155" s="302"/>
      <c r="N155" s="302"/>
    </row>
  </sheetData>
  <phoneticPr fontId="35" type="noConversion"/>
  <dataValidations count="5">
    <dataValidation type="list" allowBlank="1" showInputMessage="1" showErrorMessage="1" sqref="C59:L59" xr:uid="{00000000-0002-0000-5C00-000004000000}">
      <formula1>$N$19:$AQ$19</formula1>
    </dataValidation>
    <dataValidation type="list" allowBlank="1" showInputMessage="1" showErrorMessage="1" sqref="E11:E20" xr:uid="{00000000-0002-0000-5C00-000003000000}">
      <formula1>$N$16:$O$16</formula1>
    </dataValidation>
    <dataValidation type="list" allowBlank="1" showInputMessage="1" showErrorMessage="1" sqref="D11:D20" xr:uid="{00000000-0002-0000-5C00-000002000000}">
      <formula1>$N$22:$AE$22</formula1>
    </dataValidation>
    <dataValidation type="list" allowBlank="1" showInputMessage="1" showErrorMessage="1" sqref="B11:C20" xr:uid="{00000000-0002-0000-5C00-000001000000}">
      <formula1>$N$7:$Q$7</formula1>
    </dataValidation>
    <dataValidation type="list" allowBlank="1" showInputMessage="1" showErrorMessage="1" sqref="D7" xr:uid="{00000000-0002-0000-5C00-000000000000}">
      <formula1>$N$11:$O$11</formula1>
    </dataValidation>
  </dataValidation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C07BE-2896-4649-A626-20A1C30C43F0}">
  <sheetPr codeName="Sheet173">
    <tabColor rgb="FF00FFFF"/>
  </sheetPr>
  <dimension ref="A1:AQ159"/>
  <sheetViews>
    <sheetView topLeftCell="A21"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1" style="1" customWidth="1"/>
    <col min="4" max="4" width="24.85546875" style="1" customWidth="1"/>
    <col min="5" max="5" width="23.7109375" style="1" customWidth="1"/>
    <col min="6" max="6" width="21.42578125" style="1" customWidth="1"/>
    <col min="7" max="7" width="22.85546875" style="1" customWidth="1"/>
    <col min="8" max="8" width="20.8554687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2.140625" style="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Griddle</v>
      </c>
      <c r="C7" s="98" t="s">
        <v>1012</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Griddle_CI, E - Cook (MD)</v>
      </c>
      <c r="J11" s="83" t="str">
        <f t="shared" ref="J11:J20" si="3">IF(B11="","",CONCATENATE($C$7,IF(C11="","",CONCATENATE(" with ",C11," Secondary Fuel"))))</f>
        <v>ENERGY STAR Griddles</v>
      </c>
      <c r="K11" s="83"/>
      <c r="M11" s="94" t="s">
        <v>123</v>
      </c>
      <c r="N11" s="93" t="s">
        <v>212</v>
      </c>
      <c r="O11" s="93" t="s">
        <v>211</v>
      </c>
    </row>
    <row r="12" spans="1:17">
      <c r="A12" s="1">
        <v>2</v>
      </c>
      <c r="B12" s="98" t="s">
        <v>227</v>
      </c>
      <c r="C12" s="97"/>
      <c r="D12" s="97" t="s">
        <v>170</v>
      </c>
      <c r="E12" s="99" t="s">
        <v>202</v>
      </c>
      <c r="F12" s="99"/>
      <c r="G12" s="83" t="str">
        <f t="shared" si="0"/>
        <v>P</v>
      </c>
      <c r="H12" s="83" t="str">
        <f t="shared" si="1"/>
        <v>Cook</v>
      </c>
      <c r="I12" s="83" t="str">
        <f t="shared" ca="1" si="2"/>
        <v>CI ES Griddle_CI, P - Cook (MD)</v>
      </c>
      <c r="J12" s="83" t="str">
        <f t="shared" si="3"/>
        <v>ENERGY STAR Griddles</v>
      </c>
      <c r="K12" s="83"/>
      <c r="M12" s="94" t="s">
        <v>154</v>
      </c>
      <c r="N12" s="93" t="s">
        <v>210</v>
      </c>
      <c r="O12" s="93" t="s">
        <v>209</v>
      </c>
    </row>
    <row r="13" spans="1:17">
      <c r="A13" s="1">
        <v>3</v>
      </c>
      <c r="B13" s="98"/>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Griddle_CI, E - Cook (MD)</v>
      </c>
      <c r="D33" s="83" t="str">
        <f t="shared" ca="1" si="5"/>
        <v>CI ES Griddle_CI,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Griddle_CI, E - Cook (MD)</v>
      </c>
      <c r="N33" s="84" t="str">
        <f t="shared" ca="1" si="6"/>
        <v>CI ES Griddle_CI,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Griddles</v>
      </c>
      <c r="D34" s="83" t="str">
        <f t="shared" si="8"/>
        <v>ENERGY STAR Griddles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Griddle_CI, E - Cook (MD)</v>
      </c>
      <c r="D35" s="65" t="str">
        <f ca="1">D33</f>
        <v>CI ES Griddle_CI,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Griddles</v>
      </c>
      <c r="D36" s="65" t="str">
        <f>D34</f>
        <v>ENERGY STAR Griddles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1011</v>
      </c>
      <c r="D38" s="82" t="s">
        <v>1010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Griddles</v>
      </c>
      <c r="D52" s="66" t="str">
        <f t="shared" si="16"/>
        <v>ENERGY STAR Griddles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1009</v>
      </c>
      <c r="D55" s="82" t="s">
        <v>1009</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1008</v>
      </c>
      <c r="D56" s="82" t="s">
        <v>1008</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K155</f>
        <v>2597.0479120879099</v>
      </c>
      <c r="D64" s="372">
        <f>K158</f>
        <v>17.574692598684194</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M155</f>
        <v>0.15216593763228436</v>
      </c>
      <c r="D65" s="67">
        <f>M158</f>
        <v>0.19155764504568196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N155</f>
        <v>0</v>
      </c>
      <c r="D68" s="71">
        <f>N158</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O155</f>
        <v>0</v>
      </c>
      <c r="D69" s="70">
        <f>O158</f>
        <v>0</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Griddles</v>
      </c>
      <c r="D71" s="66" t="str">
        <f t="shared" si="24"/>
        <v>ENERGY STAR Griddles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1007</v>
      </c>
    </row>
    <row r="106" spans="1:22">
      <c r="B106" t="s">
        <v>1006</v>
      </c>
    </row>
    <row r="107" spans="1:22">
      <c r="B107" t="s">
        <v>1005</v>
      </c>
    </row>
    <row r="108" spans="1:22">
      <c r="B108" t="s">
        <v>949</v>
      </c>
    </row>
    <row r="109" spans="1:22">
      <c r="B109" s="1" t="s">
        <v>1004</v>
      </c>
    </row>
    <row r="111" spans="1:22" s="63" customFormat="1" ht="15.75" thickBot="1">
      <c r="B111" s="63" t="s">
        <v>50</v>
      </c>
    </row>
    <row r="113" spans="2:7">
      <c r="B113" s="1" t="s">
        <v>305</v>
      </c>
      <c r="C113" s="375">
        <v>12</v>
      </c>
      <c r="D113" s="333" t="s">
        <v>990</v>
      </c>
      <c r="E113" s="1" t="s">
        <v>979</v>
      </c>
      <c r="G113" s="95"/>
    </row>
    <row r="114" spans="2:7">
      <c r="B114" s="1" t="s">
        <v>2024</v>
      </c>
      <c r="C114" s="375">
        <v>400</v>
      </c>
      <c r="D114" s="333" t="s">
        <v>990</v>
      </c>
      <c r="E114" s="1" t="s">
        <v>1003</v>
      </c>
    </row>
    <row r="115" spans="2:7">
      <c r="B115" s="1" t="s">
        <v>2023</v>
      </c>
      <c r="C115" s="375">
        <v>3500</v>
      </c>
      <c r="D115" s="333" t="s">
        <v>990</v>
      </c>
    </row>
    <row r="116" spans="2:7">
      <c r="B116" s="302" t="s">
        <v>2025</v>
      </c>
      <c r="C116" s="375">
        <v>320</v>
      </c>
      <c r="D116" s="333" t="s">
        <v>990</v>
      </c>
      <c r="E116" s="302" t="s">
        <v>1002</v>
      </c>
    </row>
    <row r="117" spans="2:7">
      <c r="B117" s="302" t="s">
        <v>2026</v>
      </c>
      <c r="C117" s="375">
        <v>2650</v>
      </c>
      <c r="D117" s="333" t="s">
        <v>990</v>
      </c>
      <c r="E117" s="302"/>
    </row>
    <row r="118" spans="2:7">
      <c r="B118" s="1" t="s">
        <v>309</v>
      </c>
      <c r="C118" s="381" t="s">
        <v>35</v>
      </c>
      <c r="D118" s="333" t="s">
        <v>990</v>
      </c>
      <c r="E118" s="302" t="s">
        <v>976</v>
      </c>
    </row>
    <row r="119" spans="2:7">
      <c r="B119" s="347" t="s">
        <v>975</v>
      </c>
      <c r="C119" s="380">
        <v>15</v>
      </c>
      <c r="D119" s="333" t="s">
        <v>990</v>
      </c>
      <c r="E119" s="302" t="s">
        <v>974</v>
      </c>
      <c r="F119" s="302"/>
      <c r="G119" s="302"/>
    </row>
    <row r="120" spans="2:7">
      <c r="B120" s="347" t="s">
        <v>940</v>
      </c>
      <c r="C120" s="380">
        <v>100</v>
      </c>
      <c r="D120" s="333" t="s">
        <v>990</v>
      </c>
      <c r="E120" s="302" t="s">
        <v>973</v>
      </c>
      <c r="F120" s="302"/>
      <c r="G120" s="302"/>
    </row>
    <row r="121" spans="2:7">
      <c r="B121" s="347" t="s">
        <v>1001</v>
      </c>
      <c r="C121" s="380">
        <v>3</v>
      </c>
      <c r="D121" s="333" t="s">
        <v>990</v>
      </c>
      <c r="E121" s="302" t="s">
        <v>1000</v>
      </c>
      <c r="F121" s="302"/>
      <c r="G121" s="302"/>
    </row>
    <row r="122" spans="2:7">
      <c r="B122" s="347" t="s">
        <v>999</v>
      </c>
      <c r="C122" s="380">
        <v>2</v>
      </c>
      <c r="D122" s="333" t="s">
        <v>990</v>
      </c>
      <c r="E122" s="302" t="s">
        <v>998</v>
      </c>
      <c r="F122" s="302"/>
      <c r="G122" s="302"/>
    </row>
    <row r="123" spans="2:7">
      <c r="B123" s="347" t="s">
        <v>2028</v>
      </c>
      <c r="C123" s="380">
        <f>35/6</f>
        <v>5.833333333333333</v>
      </c>
      <c r="D123" s="333" t="s">
        <v>990</v>
      </c>
      <c r="E123" s="302" t="s">
        <v>972</v>
      </c>
      <c r="F123" s="302"/>
      <c r="G123" s="302"/>
    </row>
    <row r="124" spans="2:7">
      <c r="B124" s="347" t="s">
        <v>2027</v>
      </c>
      <c r="C124" s="380">
        <f>25/6</f>
        <v>4.166666666666667</v>
      </c>
      <c r="D124" s="333" t="s">
        <v>990</v>
      </c>
      <c r="E124" s="302"/>
      <c r="F124" s="302"/>
      <c r="G124" s="302"/>
    </row>
    <row r="125" spans="2:7">
      <c r="B125" s="347" t="s">
        <v>2029</v>
      </c>
      <c r="C125" s="379">
        <f>40/6</f>
        <v>6.666666666666667</v>
      </c>
      <c r="D125" s="333" t="s">
        <v>990</v>
      </c>
      <c r="E125" s="302" t="s">
        <v>971</v>
      </c>
      <c r="F125" s="302"/>
      <c r="G125" s="302"/>
    </row>
    <row r="126" spans="2:7">
      <c r="B126" s="347" t="s">
        <v>2030</v>
      </c>
      <c r="C126" s="379">
        <v>7.5</v>
      </c>
      <c r="D126" s="333" t="s">
        <v>990</v>
      </c>
      <c r="E126" s="302"/>
      <c r="F126" s="302"/>
      <c r="G126" s="302"/>
    </row>
    <row r="127" spans="2:7">
      <c r="B127" s="347" t="s">
        <v>2031</v>
      </c>
      <c r="C127" s="379">
        <v>1</v>
      </c>
      <c r="D127" s="333" t="s">
        <v>990</v>
      </c>
      <c r="E127" s="302" t="s">
        <v>970</v>
      </c>
      <c r="F127" s="302"/>
      <c r="G127" s="302"/>
    </row>
    <row r="128" spans="2:7">
      <c r="B128" s="347" t="s">
        <v>2032</v>
      </c>
      <c r="C128" s="379">
        <v>1</v>
      </c>
      <c r="D128" s="333" t="s">
        <v>990</v>
      </c>
      <c r="E128" s="302"/>
      <c r="F128" s="302"/>
      <c r="G128" s="302"/>
    </row>
    <row r="129" spans="2:7">
      <c r="B129" s="347" t="s">
        <v>2033</v>
      </c>
      <c r="C129" s="379">
        <v>1</v>
      </c>
      <c r="D129" s="333" t="s">
        <v>990</v>
      </c>
      <c r="E129" s="302" t="s">
        <v>968</v>
      </c>
      <c r="F129" s="302"/>
      <c r="G129" s="369"/>
    </row>
    <row r="130" spans="2:7">
      <c r="B130" s="347" t="s">
        <v>2034</v>
      </c>
      <c r="C130" s="379">
        <v>1</v>
      </c>
      <c r="D130" s="333" t="s">
        <v>990</v>
      </c>
      <c r="E130" s="302"/>
      <c r="F130" s="302"/>
      <c r="G130" s="369"/>
    </row>
    <row r="131" spans="2:7">
      <c r="B131" s="347" t="s">
        <v>997</v>
      </c>
      <c r="C131" s="379">
        <v>15</v>
      </c>
      <c r="D131" s="333" t="s">
        <v>990</v>
      </c>
      <c r="E131" t="s">
        <v>996</v>
      </c>
      <c r="F131" s="302"/>
      <c r="G131" s="369"/>
    </row>
    <row r="132" spans="2:7">
      <c r="B132" s="347" t="s">
        <v>934</v>
      </c>
      <c r="C132" s="379">
        <v>15</v>
      </c>
      <c r="D132" s="333" t="s">
        <v>990</v>
      </c>
      <c r="E132" t="s">
        <v>995</v>
      </c>
      <c r="F132" s="302"/>
      <c r="G132" s="369"/>
    </row>
    <row r="133" spans="2:7">
      <c r="B133" s="347" t="s">
        <v>2035</v>
      </c>
      <c r="C133" s="379">
        <f>16000/6</f>
        <v>2666.6666666666665</v>
      </c>
      <c r="D133" s="333" t="s">
        <v>990</v>
      </c>
      <c r="E133" s="378" t="s">
        <v>994</v>
      </c>
      <c r="F133" s="302"/>
      <c r="G133" s="369"/>
    </row>
    <row r="134" spans="2:7">
      <c r="B134" s="347" t="s">
        <v>2036</v>
      </c>
      <c r="C134" s="379">
        <v>14000</v>
      </c>
      <c r="D134" s="333" t="s">
        <v>990</v>
      </c>
      <c r="E134" s="378"/>
      <c r="F134" s="302"/>
      <c r="G134" s="369"/>
    </row>
    <row r="135" spans="2:7">
      <c r="B135" s="347" t="s">
        <v>2037</v>
      </c>
      <c r="C135" s="379">
        <f>8000/6</f>
        <v>1333.3333333333333</v>
      </c>
      <c r="D135" s="333" t="s">
        <v>990</v>
      </c>
      <c r="E135" s="378" t="s">
        <v>993</v>
      </c>
      <c r="F135" s="302"/>
      <c r="G135" s="369"/>
    </row>
    <row r="136" spans="2:7">
      <c r="B136" s="347" t="s">
        <v>2038</v>
      </c>
      <c r="C136" s="379">
        <v>10000</v>
      </c>
      <c r="D136" s="333" t="s">
        <v>990</v>
      </c>
      <c r="E136" s="378"/>
      <c r="F136" s="302"/>
      <c r="G136" s="369"/>
    </row>
    <row r="137" spans="2:7">
      <c r="B137" s="1" t="s">
        <v>947</v>
      </c>
      <c r="C137" s="375">
        <v>139</v>
      </c>
      <c r="D137" s="333" t="s">
        <v>990</v>
      </c>
      <c r="E137" s="302" t="s">
        <v>992</v>
      </c>
      <c r="F137" s="302"/>
      <c r="G137" s="324"/>
    </row>
    <row r="138" spans="2:7">
      <c r="B138" s="1" t="s">
        <v>2039</v>
      </c>
      <c r="C138" s="377">
        <v>0.65</v>
      </c>
      <c r="D138" s="333" t="s">
        <v>990</v>
      </c>
      <c r="E138" s="302" t="s">
        <v>966</v>
      </c>
      <c r="F138" s="302"/>
      <c r="G138" s="368"/>
    </row>
    <row r="139" spans="2:7">
      <c r="B139" s="1" t="s">
        <v>2040</v>
      </c>
      <c r="C139" s="377">
        <v>0.32</v>
      </c>
      <c r="D139" s="333" t="s">
        <v>990</v>
      </c>
      <c r="E139" s="302"/>
      <c r="F139" s="302"/>
      <c r="G139" s="368"/>
    </row>
    <row r="140" spans="2:7">
      <c r="B140" s="1" t="s">
        <v>2041</v>
      </c>
      <c r="C140" s="377">
        <v>0.7</v>
      </c>
      <c r="D140" s="333" t="s">
        <v>990</v>
      </c>
      <c r="E140" s="302" t="s">
        <v>965</v>
      </c>
      <c r="F140" s="302"/>
    </row>
    <row r="141" spans="2:7">
      <c r="B141" s="1" t="s">
        <v>2042</v>
      </c>
      <c r="C141" s="377">
        <v>0.38</v>
      </c>
      <c r="D141" s="333" t="s">
        <v>990</v>
      </c>
      <c r="E141" s="302"/>
      <c r="F141" s="302"/>
    </row>
    <row r="142" spans="2:7">
      <c r="B142" s="1" t="s">
        <v>309</v>
      </c>
      <c r="C142" s="376">
        <v>12</v>
      </c>
      <c r="D142" s="333" t="s">
        <v>990</v>
      </c>
      <c r="E142" t="s">
        <v>991</v>
      </c>
      <c r="F142" s="302"/>
    </row>
    <row r="143" spans="2:7">
      <c r="B143" s="1" t="s">
        <v>408</v>
      </c>
      <c r="C143" s="375">
        <v>365.25</v>
      </c>
      <c r="D143" s="333" t="s">
        <v>990</v>
      </c>
      <c r="E143" s="302" t="s">
        <v>963</v>
      </c>
      <c r="F143" s="302"/>
      <c r="G143" s="367"/>
    </row>
    <row r="144" spans="2:7">
      <c r="D144" s="325"/>
      <c r="E144" s="302"/>
      <c r="F144" s="302"/>
      <c r="G144" s="366"/>
    </row>
    <row r="145" spans="2:16">
      <c r="B145" s="94" t="s">
        <v>588</v>
      </c>
      <c r="C145" s="94" t="s">
        <v>34</v>
      </c>
      <c r="E145" s="302"/>
      <c r="F145" s="302"/>
    </row>
    <row r="146" spans="2:16">
      <c r="B146" s="93" t="s">
        <v>884</v>
      </c>
      <c r="C146" s="93">
        <v>0.32</v>
      </c>
      <c r="E146" s="302"/>
      <c r="F146" s="302"/>
    </row>
    <row r="147" spans="2:16">
      <c r="B147" s="93" t="s">
        <v>883</v>
      </c>
      <c r="C147" s="93">
        <v>0.41</v>
      </c>
    </row>
    <row r="148" spans="2:16">
      <c r="B148" s="93" t="s">
        <v>882</v>
      </c>
      <c r="C148" s="93">
        <v>0.46</v>
      </c>
    </row>
    <row r="149" spans="2:16">
      <c r="B149" s="93" t="s">
        <v>881</v>
      </c>
      <c r="C149" s="93">
        <v>0.51</v>
      </c>
    </row>
    <row r="150" spans="2:16">
      <c r="B150" s="93" t="s">
        <v>880</v>
      </c>
      <c r="C150" s="93">
        <v>0.36</v>
      </c>
    </row>
    <row r="151" spans="2:16">
      <c r="B151" s="93" t="s">
        <v>879</v>
      </c>
      <c r="C151" s="93">
        <v>0.39</v>
      </c>
    </row>
    <row r="152" spans="2:16">
      <c r="D152" s="57"/>
      <c r="G152" s="95"/>
    </row>
    <row r="153" spans="2:16" ht="15.75" thickBot="1">
      <c r="B153" s="1" t="s">
        <v>205</v>
      </c>
      <c r="D153" s="57"/>
      <c r="G153" s="95"/>
    </row>
    <row r="154" spans="2:16">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ht="15.75" thickBot="1">
      <c r="B155" s="362" t="s">
        <v>989</v>
      </c>
      <c r="C155" s="356">
        <f>(C114*C121*C122*(C142-(C120/(C123*C121*C122))-(C127*C131/60)))</f>
        <v>21342.857142857141</v>
      </c>
      <c r="D155" s="374">
        <f>C127*C133*C121*C122*C131/60</f>
        <v>4000</v>
      </c>
      <c r="E155" s="354">
        <f>C120*C137/C138</f>
        <v>21384.615384615383</v>
      </c>
      <c r="F155" s="354">
        <f>(C116*C121*C122*(C142-(C120/(C125*C121*C122))-(C129*C132/60)))</f>
        <v>17760</v>
      </c>
      <c r="G155" s="354">
        <f>C129*C135*C121*C122*C132/60</f>
        <v>2000</v>
      </c>
      <c r="H155" s="353">
        <f>C120*C137/C140</f>
        <v>19857.142857142859</v>
      </c>
      <c r="I155" s="352">
        <f>SUM(C155:E155)*C143/1000</f>
        <v>17067.209340659338</v>
      </c>
      <c r="J155" s="351">
        <f>SUM(F155:H155)*C143/1000</f>
        <v>14470.161428571428</v>
      </c>
      <c r="K155" s="350">
        <f>(I155-J155)</f>
        <v>2597.0479120879099</v>
      </c>
      <c r="L155" s="350">
        <f>K155*AVERAGE(C146:C151)/(1000*C142)</f>
        <v>8.837176923076917E-2</v>
      </c>
      <c r="M155" s="615">
        <f>K155/I155</f>
        <v>0.15216593763228436</v>
      </c>
      <c r="N155" s="373">
        <v>0</v>
      </c>
      <c r="O155" s="349">
        <f>N155/K155</f>
        <v>0</v>
      </c>
      <c r="P155" s="348"/>
    </row>
    <row r="156" spans="2:16" ht="15.75" thickBot="1">
      <c r="B156" s="347" t="s">
        <v>2347</v>
      </c>
      <c r="C156" s="346"/>
      <c r="D156" s="345"/>
      <c r="E156" s="302"/>
      <c r="F156" s="302"/>
      <c r="G156" s="302"/>
      <c r="H156" s="344"/>
      <c r="I156" s="302"/>
      <c r="J156" s="302"/>
      <c r="K156" s="304"/>
      <c r="L156" s="304"/>
      <c r="M156" s="343"/>
      <c r="N156" s="342"/>
    </row>
    <row r="157" spans="2:16">
      <c r="B157" s="94" t="s">
        <v>959</v>
      </c>
      <c r="C157" s="94" t="s">
        <v>932</v>
      </c>
      <c r="D157" s="94" t="s">
        <v>931</v>
      </c>
      <c r="E157" s="94" t="s">
        <v>930</v>
      </c>
      <c r="F157" s="94" t="s">
        <v>958</v>
      </c>
      <c r="G157" s="94" t="s">
        <v>957</v>
      </c>
      <c r="H157" s="94" t="s">
        <v>956</v>
      </c>
      <c r="I157" s="317" t="s">
        <v>2348</v>
      </c>
      <c r="J157" s="316" t="s">
        <v>2349</v>
      </c>
      <c r="K157" s="316" t="s">
        <v>2017</v>
      </c>
      <c r="L157" s="316"/>
      <c r="M157" s="316" t="s">
        <v>244</v>
      </c>
      <c r="N157" s="316" t="s">
        <v>9</v>
      </c>
      <c r="O157" s="316" t="s">
        <v>2047</v>
      </c>
      <c r="P157" s="315" t="s">
        <v>7</v>
      </c>
    </row>
    <row r="158" spans="2:16" ht="15.75" thickBot="1">
      <c r="B158" s="362" t="s">
        <v>989</v>
      </c>
      <c r="C158" s="356">
        <f>(C115*C121*C122*(C142-(C120/(C123*C121*C122))-(C128*C131/60)))</f>
        <v>186750</v>
      </c>
      <c r="D158" s="374">
        <f>C128*C134*C121*C122*C131/60</f>
        <v>21000</v>
      </c>
      <c r="E158" s="354">
        <f>C120*C137/C139</f>
        <v>43437.5</v>
      </c>
      <c r="F158" s="354">
        <f>(C117*C121*C122*(C142-(C120/(C126*C121*C122))-(C130*C132/60)))</f>
        <v>151491.66666666669</v>
      </c>
      <c r="G158" s="354">
        <f>C130*C136*C121*C122*C132/60</f>
        <v>15000</v>
      </c>
      <c r="H158" s="353">
        <f>C120*C137/C141</f>
        <v>36578.947368421053</v>
      </c>
      <c r="I158" s="352">
        <f>SUM(C158:E158)*C143/1000000</f>
        <v>91.746234375</v>
      </c>
      <c r="J158" s="351">
        <f>SUM(F158:H158)*C143/1000000</f>
        <v>74.171541776315806</v>
      </c>
      <c r="K158" s="350">
        <f>(I158-J158)</f>
        <v>17.574692598684194</v>
      </c>
      <c r="L158" s="350"/>
      <c r="M158" s="615">
        <f>K158/I158</f>
        <v>0.19155764504568196</v>
      </c>
      <c r="N158" s="373">
        <v>0</v>
      </c>
      <c r="O158" s="349">
        <f>N158/K158</f>
        <v>0</v>
      </c>
      <c r="P158" s="348"/>
    </row>
    <row r="159" spans="2:16">
      <c r="B159" s="26"/>
      <c r="C159" s="26"/>
      <c r="D159" s="26"/>
      <c r="E159" s="296"/>
      <c r="F159" s="252"/>
      <c r="G159" s="296"/>
      <c r="H159" s="295"/>
      <c r="I159" s="26"/>
      <c r="J159" s="295"/>
      <c r="K159" s="294"/>
      <c r="L159" s="288"/>
      <c r="M159" s="293"/>
      <c r="N159" s="292"/>
    </row>
  </sheetData>
  <phoneticPr fontId="35" type="noConversion"/>
  <dataValidations count="5">
    <dataValidation type="list" allowBlank="1" showInputMessage="1" showErrorMessage="1" sqref="C59:L59" xr:uid="{00000000-0002-0000-5A00-000004000000}">
      <formula1>$N$19:$AQ$19</formula1>
    </dataValidation>
    <dataValidation type="list" allowBlank="1" showInputMessage="1" showErrorMessage="1" sqref="E11:E20" xr:uid="{00000000-0002-0000-5A00-000003000000}">
      <formula1>$N$16:$O$16</formula1>
    </dataValidation>
    <dataValidation type="list" allowBlank="1" showInputMessage="1" showErrorMessage="1" sqref="D11:D20" xr:uid="{00000000-0002-0000-5A00-000002000000}">
      <formula1>$N$22:$AE$22</formula1>
    </dataValidation>
    <dataValidation type="list" allowBlank="1" showInputMessage="1" showErrorMessage="1" sqref="B11:C20" xr:uid="{00000000-0002-0000-5A00-000001000000}">
      <formula1>$N$7:$Q$7</formula1>
    </dataValidation>
    <dataValidation type="list" allowBlank="1" showInputMessage="1" showErrorMessage="1" sqref="D7" xr:uid="{00000000-0002-0000-5A00-000000000000}">
      <formula1>$N$11:$O$11</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BB5A-D84C-46CD-AEF9-E6853CCB4245}">
  <sheetPr codeName="Sheet174">
    <tabColor indexed="15"/>
  </sheetPr>
  <dimension ref="A1:AQ136"/>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Hot Food Holding Cabinet</v>
      </c>
      <c r="C7" s="98" t="s">
        <v>1036</v>
      </c>
      <c r="D7" s="97" t="s">
        <v>211</v>
      </c>
      <c r="E7" s="97">
        <f>C110</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Hot Food Holding Cabinet_CI, E - Cook (MD)</v>
      </c>
      <c r="J11" s="83" t="str">
        <f t="shared" ref="J11:J20" si="3">IF(B11="","",CONCATENATE($C$7,IF(C11="","",CONCATENATE(" with ",C11," Secondary Fuel"))))</f>
        <v>Hot Food Holding Cabinet</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Hot Food Holding Cabinet_CI, E - Cook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Hot Food Holding Cabinet_CI, E - Cook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Hot Food Holding Cabinet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Hot Food Holding Cabinet_CI, E - Cook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Hot Food Holding Cabinet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1035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Hot Food Holding Cabinet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1034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1033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F136</f>
        <v>1124.129925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H136</f>
        <v>0.71004083656840555</v>
      </c>
      <c r="D65" s="67"/>
      <c r="E65" s="67"/>
      <c r="F65" s="65"/>
      <c r="G65" s="65"/>
      <c r="H65" s="65"/>
      <c r="I65" s="65"/>
      <c r="J65" s="65"/>
      <c r="K65" s="65"/>
      <c r="L65" s="65"/>
      <c r="M65" s="27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C116</f>
        <v>1000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J136</f>
        <v>1.6840551552945207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Hot Food Holding Cabinet</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1007</v>
      </c>
    </row>
    <row r="106" spans="1:22">
      <c r="B106" s="1" t="s">
        <v>1004</v>
      </c>
    </row>
    <row r="108" spans="1:22" s="63" customFormat="1" ht="15.75" thickBot="1">
      <c r="B108" s="63" t="s">
        <v>50</v>
      </c>
    </row>
    <row r="110" spans="1:22">
      <c r="B110" s="1" t="s">
        <v>305</v>
      </c>
      <c r="C110" s="1">
        <v>12</v>
      </c>
      <c r="D110" s="333" t="s">
        <v>1026</v>
      </c>
      <c r="E110" s="381" t="s">
        <v>1032</v>
      </c>
    </row>
    <row r="111" spans="1:22">
      <c r="B111" t="s">
        <v>1017</v>
      </c>
      <c r="C111" s="1" t="s">
        <v>1031</v>
      </c>
      <c r="D111" s="333" t="s">
        <v>1026</v>
      </c>
      <c r="E111" s="381" t="s">
        <v>1030</v>
      </c>
    </row>
    <row r="112" spans="1:22">
      <c r="B112" s="1" t="s">
        <v>1019</v>
      </c>
      <c r="C112" s="1">
        <v>15</v>
      </c>
      <c r="D112" s="333" t="s">
        <v>1026</v>
      </c>
      <c r="E112" s="381" t="s">
        <v>1029</v>
      </c>
    </row>
    <row r="113" spans="2:10">
      <c r="B113" s="1" t="s">
        <v>1028</v>
      </c>
      <c r="C113" s="1">
        <v>9</v>
      </c>
      <c r="D113" s="333" t="s">
        <v>1026</v>
      </c>
      <c r="E113" s="381" t="s">
        <v>991</v>
      </c>
    </row>
    <row r="114" spans="2:10">
      <c r="B114" s="1" t="s">
        <v>408</v>
      </c>
      <c r="C114" s="375">
        <v>365.25</v>
      </c>
      <c r="D114" s="333" t="s">
        <v>1026</v>
      </c>
      <c r="E114" s="381" t="s">
        <v>963</v>
      </c>
    </row>
    <row r="115" spans="2:10">
      <c r="B115" s="1" t="s">
        <v>1016</v>
      </c>
      <c r="C115" s="1" t="s">
        <v>35</v>
      </c>
      <c r="D115" s="333" t="s">
        <v>1026</v>
      </c>
      <c r="E115" s="381" t="s">
        <v>1027</v>
      </c>
    </row>
    <row r="116" spans="2:10">
      <c r="B116" s="1" t="s">
        <v>9</v>
      </c>
      <c r="C116" s="397">
        <v>1000</v>
      </c>
      <c r="D116" s="333" t="s">
        <v>1026</v>
      </c>
      <c r="E116" s="381" t="s">
        <v>1025</v>
      </c>
    </row>
    <row r="117" spans="2:10">
      <c r="C117" s="368"/>
    </row>
    <row r="118" spans="2:10">
      <c r="J118" s="302"/>
    </row>
    <row r="119" spans="2:10">
      <c r="B119" s="396" t="s">
        <v>1024</v>
      </c>
      <c r="C119" s="391" t="s">
        <v>1023</v>
      </c>
      <c r="J119" s="302"/>
    </row>
    <row r="120" spans="2:10">
      <c r="B120" s="387" t="s">
        <v>1015</v>
      </c>
      <c r="C120" s="395" t="s">
        <v>1022</v>
      </c>
      <c r="G120" s="95"/>
      <c r="H120" s="302"/>
      <c r="I120" s="302"/>
      <c r="J120" s="302"/>
    </row>
    <row r="121" spans="2:10">
      <c r="B121" s="86" t="s">
        <v>1014</v>
      </c>
      <c r="C121" s="86" t="s">
        <v>1021</v>
      </c>
      <c r="G121" s="302"/>
      <c r="H121" s="393"/>
      <c r="I121" s="302"/>
      <c r="J121" s="302"/>
    </row>
    <row r="122" spans="2:10">
      <c r="B122" s="86" t="s">
        <v>1013</v>
      </c>
      <c r="C122" s="86" t="s">
        <v>1020</v>
      </c>
      <c r="D122" s="394"/>
      <c r="E122" s="394"/>
      <c r="G122" s="302"/>
      <c r="H122" s="393"/>
      <c r="I122" s="302"/>
      <c r="J122" s="302"/>
    </row>
    <row r="123" spans="2:10">
      <c r="E123" s="302"/>
      <c r="F123" s="302"/>
      <c r="G123" s="302"/>
      <c r="H123" s="344"/>
      <c r="I123" s="302"/>
      <c r="J123" s="302"/>
    </row>
    <row r="124" spans="2:10">
      <c r="B124" s="94" t="s">
        <v>588</v>
      </c>
      <c r="C124" s="94" t="s">
        <v>34</v>
      </c>
      <c r="E124" s="302"/>
      <c r="F124" s="302"/>
      <c r="G124" s="302"/>
      <c r="H124" s="344"/>
      <c r="I124" s="302"/>
      <c r="J124" s="302"/>
    </row>
    <row r="125" spans="2:10">
      <c r="B125" s="93" t="s">
        <v>884</v>
      </c>
      <c r="C125" s="93">
        <v>0.32</v>
      </c>
      <c r="E125" s="302"/>
      <c r="F125" s="302"/>
      <c r="G125" s="302"/>
      <c r="H125" s="344"/>
      <c r="I125" s="302"/>
      <c r="J125" s="302"/>
    </row>
    <row r="126" spans="2:10">
      <c r="B126" s="93" t="s">
        <v>883</v>
      </c>
      <c r="C126" s="93">
        <v>0.41</v>
      </c>
      <c r="E126" s="302"/>
      <c r="F126" s="302"/>
      <c r="G126" s="302"/>
      <c r="H126" s="344"/>
      <c r="I126" s="302"/>
      <c r="J126" s="302"/>
    </row>
    <row r="127" spans="2:10">
      <c r="B127" s="93" t="s">
        <v>882</v>
      </c>
      <c r="C127" s="93">
        <v>0.46</v>
      </c>
      <c r="E127" s="302"/>
      <c r="F127" s="302"/>
      <c r="G127" s="302"/>
      <c r="H127" s="344"/>
      <c r="I127" s="302"/>
      <c r="J127" s="302"/>
    </row>
    <row r="128" spans="2:10">
      <c r="B128" s="93" t="s">
        <v>881</v>
      </c>
      <c r="C128" s="93">
        <v>0.51</v>
      </c>
      <c r="E128" s="302"/>
      <c r="F128" s="302"/>
      <c r="G128" s="302"/>
      <c r="H128" s="344"/>
      <c r="I128" s="302"/>
      <c r="J128" s="302"/>
    </row>
    <row r="129" spans="2:11">
      <c r="B129" s="93" t="s">
        <v>880</v>
      </c>
      <c r="C129" s="93">
        <v>0.36</v>
      </c>
      <c r="E129" s="302"/>
      <c r="F129" s="302"/>
      <c r="G129" s="302"/>
      <c r="H129" s="344"/>
      <c r="I129" s="302"/>
      <c r="J129" s="302"/>
    </row>
    <row r="130" spans="2:11">
      <c r="B130" s="93" t="s">
        <v>879</v>
      </c>
      <c r="C130" s="93">
        <v>0.39</v>
      </c>
      <c r="E130" s="302"/>
      <c r="F130" s="302"/>
      <c r="G130" s="302"/>
      <c r="H130" s="344"/>
      <c r="I130" s="302"/>
      <c r="J130" s="302"/>
    </row>
    <row r="131" spans="2:11">
      <c r="B131" s="347"/>
      <c r="C131" s="370"/>
      <c r="D131" s="345"/>
      <c r="E131" s="302"/>
      <c r="F131" s="302"/>
      <c r="G131" s="302"/>
      <c r="H131" s="302"/>
      <c r="I131" s="302"/>
      <c r="J131" s="302"/>
    </row>
    <row r="132" spans="2:11" ht="30">
      <c r="B132" s="392" t="s">
        <v>1019</v>
      </c>
      <c r="C132" s="391" t="s">
        <v>1018</v>
      </c>
      <c r="D132" s="390" t="s">
        <v>1017</v>
      </c>
      <c r="E132" s="389" t="s">
        <v>1016</v>
      </c>
      <c r="F132" s="389" t="s">
        <v>500</v>
      </c>
      <c r="G132" s="389" t="s">
        <v>10</v>
      </c>
      <c r="H132" s="389" t="s">
        <v>244</v>
      </c>
      <c r="I132" s="389" t="s">
        <v>9</v>
      </c>
      <c r="J132" s="389" t="s">
        <v>8</v>
      </c>
      <c r="K132" s="389" t="s">
        <v>7</v>
      </c>
    </row>
    <row r="133" spans="2:11">
      <c r="B133" s="388">
        <v>10</v>
      </c>
      <c r="C133" s="387" t="s">
        <v>1015</v>
      </c>
      <c r="D133" s="385">
        <f>30*B133</f>
        <v>300</v>
      </c>
      <c r="E133" s="383">
        <f>21.5*B133</f>
        <v>215</v>
      </c>
      <c r="F133" s="383">
        <f>(D133-E133)*$C$113*$C$114/1000</f>
        <v>279.41624999999999</v>
      </c>
      <c r="G133" s="383">
        <f>F133*AVERAGE(C125:C130)/($C$113*$C$114)</f>
        <v>3.4708333333333334E-2</v>
      </c>
      <c r="H133" s="383">
        <f>D133/F133</f>
        <v>1.073666975345922</v>
      </c>
      <c r="I133" s="383"/>
      <c r="J133" s="384">
        <f>$C$116/F133</f>
        <v>3.5788899178197404</v>
      </c>
      <c r="K133" s="383">
        <f>1/COUNT($J$133:$J$135)</f>
        <v>0.33333333333333331</v>
      </c>
    </row>
    <row r="134" spans="2:11">
      <c r="B134" s="386">
        <v>20</v>
      </c>
      <c r="C134" s="86" t="s">
        <v>1014</v>
      </c>
      <c r="D134" s="385">
        <f>30*B134</f>
        <v>600</v>
      </c>
      <c r="E134" s="86">
        <f>(2*B134)+254</f>
        <v>294</v>
      </c>
      <c r="F134" s="383">
        <f>(D134-E134)*$C$113*$C$114/1000</f>
        <v>1005.8985</v>
      </c>
      <c r="G134" s="383">
        <f>F134*AVERAGE(C126:C131)/($C$113*$C$114)</f>
        <v>0.130356</v>
      </c>
      <c r="H134" s="383">
        <f>D134/F134</f>
        <v>0.5964816529699567</v>
      </c>
      <c r="I134" s="86"/>
      <c r="J134" s="384">
        <f>$C$116/F134</f>
        <v>0.99413608828326117</v>
      </c>
      <c r="K134" s="383">
        <f>1/COUNT($J$133:$J$135)</f>
        <v>0.33333333333333331</v>
      </c>
    </row>
    <row r="135" spans="2:11">
      <c r="B135" s="386">
        <v>32</v>
      </c>
      <c r="C135" s="86" t="s">
        <v>1013</v>
      </c>
      <c r="D135" s="385">
        <f>30*B135</f>
        <v>960</v>
      </c>
      <c r="E135" s="86">
        <f>(3.8*B135)+203.5</f>
        <v>325.10000000000002</v>
      </c>
      <c r="F135" s="383">
        <f>(D135-E135)*$C$113*$C$114/1000</f>
        <v>2087.0750250000001</v>
      </c>
      <c r="G135" s="383">
        <f>F135*AVERAGE(C127:C132)/($C$113*$C$114)</f>
        <v>0.27300700000000006</v>
      </c>
      <c r="H135" s="383">
        <f>D135/F135</f>
        <v>0.45997388138933815</v>
      </c>
      <c r="I135" s="86"/>
      <c r="J135" s="384">
        <f>$C$116/F135</f>
        <v>0.47913945978056055</v>
      </c>
      <c r="K135" s="383">
        <f>1/COUNT($J$133:$J$135)</f>
        <v>0.33333333333333331</v>
      </c>
    </row>
    <row r="136" spans="2:11">
      <c r="B136" s="7" t="s">
        <v>0</v>
      </c>
      <c r="C136" s="7"/>
      <c r="D136" s="7"/>
      <c r="E136" s="7"/>
      <c r="F136" s="7">
        <f>SUMPRODUCT(F133:F135,$K$133:$K$135)</f>
        <v>1124.129925</v>
      </c>
      <c r="G136" s="7">
        <f>SUMPRODUCT(G133:G135,$K$133:$K$135)</f>
        <v>0.14602377777777781</v>
      </c>
      <c r="H136" s="7">
        <f>SUMPRODUCT(H133:H135,$K$133:$K$135)</f>
        <v>0.71004083656840555</v>
      </c>
      <c r="I136" s="7">
        <f>SUMPRODUCT(I133:I135,$K$133:$K$135)</f>
        <v>0</v>
      </c>
      <c r="J136" s="7">
        <f>SUMPRODUCT(J133:J135,$K$133:$K$135)</f>
        <v>1.6840551552945207</v>
      </c>
      <c r="K136" s="382"/>
    </row>
  </sheetData>
  <phoneticPr fontId="35" type="noConversion"/>
  <dataValidations count="5">
    <dataValidation type="list" allowBlank="1" showInputMessage="1" showErrorMessage="1" sqref="C59:L59" xr:uid="{00000000-0002-0000-5D00-000004000000}">
      <formula1>$N$19:$AQ$19</formula1>
    </dataValidation>
    <dataValidation type="list" allowBlank="1" showInputMessage="1" showErrorMessage="1" sqref="E11:E20" xr:uid="{00000000-0002-0000-5D00-000003000000}">
      <formula1>$N$16:$O$16</formula1>
    </dataValidation>
    <dataValidation type="list" allowBlank="1" showInputMessage="1" showErrorMessage="1" sqref="D11:D20" xr:uid="{00000000-0002-0000-5D00-000002000000}">
      <formula1>$N$22:$AE$22</formula1>
    </dataValidation>
    <dataValidation type="list" allowBlank="1" showInputMessage="1" showErrorMessage="1" sqref="B11:C20" xr:uid="{00000000-0002-0000-5D00-000001000000}">
      <formula1>$N$7:$Q$7</formula1>
    </dataValidation>
    <dataValidation type="list" allowBlank="1" showInputMessage="1" showErrorMessage="1" sqref="D7" xr:uid="{00000000-0002-0000-5D00-000000000000}">
      <formula1>$N$11:$O$11</formula1>
    </dataValidation>
  </dataValidations>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7EB27-5C36-4CC5-BB9F-7977FF09C9D5}">
  <sheetPr codeName="Sheet172">
    <tabColor indexed="15"/>
  </sheetPr>
  <dimension ref="A1:AQ169"/>
  <sheetViews>
    <sheetView topLeftCell="A57" zoomScale="90" zoomScaleNormal="90" workbookViewId="0">
      <selection activeCell="C54" sqref="C54"/>
    </sheetView>
  </sheetViews>
  <sheetFormatPr defaultColWidth="8.85546875" defaultRowHeight="15"/>
  <cols>
    <col min="1" max="1" width="3.5703125" style="1" customWidth="1"/>
    <col min="2" max="2" width="33" style="1" bestFit="1" customWidth="1"/>
    <col min="3" max="3" width="21.140625" style="1" customWidth="1"/>
    <col min="4" max="4" width="24.7109375" style="1" customWidth="1"/>
    <col min="5" max="5" width="23.140625" style="1" customWidth="1"/>
    <col min="6" max="6" width="21.42578125" style="1" customWidth="1"/>
    <col min="7" max="7" width="22.5703125" style="1" customWidth="1"/>
    <col min="8" max="8" width="22.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Steamers</v>
      </c>
      <c r="C7" s="98" t="s">
        <v>1044</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Steamers_CI, E - Cook (MD)</v>
      </c>
      <c r="J11" s="83" t="str">
        <f t="shared" ref="J11:J20" si="3">IF(B11="","",CONCATENATE($C$7,IF(C11="","",CONCATENATE(" with ",C11," Secondary Fuel"))))</f>
        <v>ENERGY STAR Steamers</v>
      </c>
      <c r="K11" s="83"/>
      <c r="M11" s="94" t="s">
        <v>123</v>
      </c>
      <c r="N11" s="93" t="s">
        <v>212</v>
      </c>
      <c r="O11" s="93" t="s">
        <v>211</v>
      </c>
    </row>
    <row r="12" spans="1:17">
      <c r="A12" s="1">
        <v>2</v>
      </c>
      <c r="B12" s="98" t="s">
        <v>227</v>
      </c>
      <c r="C12" s="97"/>
      <c r="D12" s="97" t="s">
        <v>170</v>
      </c>
      <c r="E12" s="99" t="s">
        <v>202</v>
      </c>
      <c r="F12" s="99"/>
      <c r="G12" s="83" t="str">
        <f t="shared" si="0"/>
        <v>P</v>
      </c>
      <c r="H12" s="83" t="str">
        <f t="shared" si="1"/>
        <v>Cook</v>
      </c>
      <c r="I12" s="83" t="str">
        <f t="shared" ca="1" si="2"/>
        <v>CI Steamers_CI, P - Cook (MD)</v>
      </c>
      <c r="J12" s="83" t="str">
        <f t="shared" si="3"/>
        <v>ENERGY STAR Steamers</v>
      </c>
      <c r="K12" s="83"/>
      <c r="M12" s="94" t="s">
        <v>154</v>
      </c>
      <c r="N12" s="93" t="s">
        <v>210</v>
      </c>
      <c r="O12" s="93" t="s">
        <v>209</v>
      </c>
    </row>
    <row r="13" spans="1:17">
      <c r="A13" s="1">
        <v>3</v>
      </c>
      <c r="B13" s="98"/>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Steamers_CI, E - Cook (MD)</v>
      </c>
      <c r="D33" s="83" t="str">
        <f t="shared" ca="1" si="5"/>
        <v>CI Steamers_CI,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Steamers_CI, E - Cook (MD)</v>
      </c>
      <c r="N33" s="84" t="str">
        <f t="shared" ca="1" si="6"/>
        <v>CI Steamers_CI,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Steamers</v>
      </c>
      <c r="D34" s="83" t="str">
        <f t="shared" si="8"/>
        <v>ENERGY STAR Steamers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Steamers_CI, E - Cook (MD)</v>
      </c>
      <c r="D35" s="65" t="str">
        <f ca="1">D33</f>
        <v>CI Steamers_CI,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Steamers</v>
      </c>
      <c r="D36" s="65" t="str">
        <f>D34</f>
        <v>ENERGY STAR Steamers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1043</v>
      </c>
      <c r="D38" s="82" t="s">
        <v>1042</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Steamers</v>
      </c>
      <c r="D52" s="66" t="str">
        <f t="shared" si="16"/>
        <v>ENERGY STAR Steamers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1041</v>
      </c>
      <c r="D55" s="82" t="s">
        <v>1041</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1040</v>
      </c>
      <c r="D56" s="82" t="s">
        <v>1040</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K160</f>
        <v>10.739316145423366</v>
      </c>
      <c r="D64" s="372">
        <f>L168</f>
        <v>154.21421612899749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M160</f>
        <v>0.32625237656670669</v>
      </c>
      <c r="D65" s="74">
        <f>M168</f>
        <v>0.85428842958431506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N160</f>
        <v>2758</v>
      </c>
      <c r="D68" s="71">
        <f>N168</f>
        <v>2059</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O160</f>
        <v>348.78812955851981</v>
      </c>
      <c r="D69" s="70">
        <f>O168</f>
        <v>15.875460438284199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4</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Steamers</v>
      </c>
      <c r="D71" s="66" t="str">
        <f t="shared" si="24"/>
        <v>ENERGY STAR Steamers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984</v>
      </c>
    </row>
    <row r="106" spans="1:22">
      <c r="B106" s="1" t="s">
        <v>1039</v>
      </c>
    </row>
    <row r="107" spans="1:22">
      <c r="B107" s="1" t="s">
        <v>1038</v>
      </c>
    </row>
    <row r="108" spans="1:22">
      <c r="B108" s="1" t="s">
        <v>1037</v>
      </c>
    </row>
    <row r="109" spans="1:22">
      <c r="B109" s="1" t="s">
        <v>980</v>
      </c>
    </row>
    <row r="111" spans="1:22" s="63" customFormat="1" ht="15.75" thickBot="1">
      <c r="B111" s="63" t="s">
        <v>50</v>
      </c>
    </row>
    <row r="113" spans="2:9">
      <c r="B113" s="1" t="s">
        <v>305</v>
      </c>
      <c r="C113" s="1">
        <v>12</v>
      </c>
      <c r="D113" s="333"/>
      <c r="E113" s="1" t="s">
        <v>2105</v>
      </c>
      <c r="G113" s="95"/>
    </row>
    <row r="114" spans="2:9">
      <c r="B114" s="1" t="s">
        <v>943</v>
      </c>
      <c r="C114" s="1" t="s">
        <v>35</v>
      </c>
      <c r="D114" s="333"/>
      <c r="E114" s="1" t="s">
        <v>2106</v>
      </c>
    </row>
    <row r="115" spans="2:9">
      <c r="B115" s="302" t="s">
        <v>944</v>
      </c>
      <c r="C115" s="1" t="s">
        <v>35</v>
      </c>
      <c r="D115" s="333"/>
      <c r="E115" s="302" t="s">
        <v>2107</v>
      </c>
    </row>
    <row r="116" spans="2:9">
      <c r="B116" s="1" t="s">
        <v>309</v>
      </c>
      <c r="C116" s="1" t="s">
        <v>35</v>
      </c>
      <c r="D116" s="333"/>
      <c r="E116" s="302" t="s">
        <v>976</v>
      </c>
    </row>
    <row r="117" spans="2:9">
      <c r="B117" s="347" t="s">
        <v>975</v>
      </c>
      <c r="C117" s="302">
        <v>15</v>
      </c>
      <c r="D117" s="333"/>
      <c r="E117" s="302" t="s">
        <v>2108</v>
      </c>
      <c r="F117" s="302"/>
      <c r="G117" s="302"/>
    </row>
    <row r="118" spans="2:9">
      <c r="B118" s="347" t="s">
        <v>940</v>
      </c>
      <c r="C118" s="302">
        <v>150</v>
      </c>
      <c r="D118" s="333"/>
      <c r="E118" s="302" t="s">
        <v>973</v>
      </c>
      <c r="F118" s="302"/>
      <c r="G118" s="302"/>
    </row>
    <row r="119" spans="2:9">
      <c r="B119" s="347" t="s">
        <v>962</v>
      </c>
      <c r="C119" s="302" t="s">
        <v>35</v>
      </c>
      <c r="D119" s="333"/>
      <c r="E119" s="302" t="s">
        <v>2109</v>
      </c>
      <c r="F119" s="302"/>
      <c r="G119" s="302"/>
    </row>
    <row r="120" spans="2:9">
      <c r="B120" s="347" t="s">
        <v>961</v>
      </c>
      <c r="C120" s="370" t="s">
        <v>35</v>
      </c>
      <c r="D120" s="333"/>
      <c r="E120" s="302" t="s">
        <v>2110</v>
      </c>
      <c r="F120" s="302"/>
      <c r="G120" s="302"/>
    </row>
    <row r="121" spans="2:9">
      <c r="B121" s="1" t="s">
        <v>408</v>
      </c>
      <c r="C121" s="1">
        <v>365.25</v>
      </c>
      <c r="D121" s="333"/>
      <c r="E121" s="302" t="s">
        <v>2111</v>
      </c>
      <c r="F121" s="302"/>
      <c r="G121" s="302"/>
    </row>
    <row r="122" spans="2:9">
      <c r="B122" s="1" t="s">
        <v>2104</v>
      </c>
      <c r="C122" s="325">
        <v>0.9</v>
      </c>
      <c r="D122" s="333"/>
      <c r="E122" s="302"/>
      <c r="F122" s="302"/>
      <c r="G122" s="302"/>
    </row>
    <row r="123" spans="2:9">
      <c r="B123" s="1" t="s">
        <v>2113</v>
      </c>
      <c r="C123" s="325">
        <v>0</v>
      </c>
      <c r="D123" s="333"/>
      <c r="E123" s="302" t="s">
        <v>2112</v>
      </c>
      <c r="F123" s="302"/>
      <c r="G123" s="369"/>
    </row>
    <row r="124" spans="2:9">
      <c r="B124" s="1" t="s">
        <v>1028</v>
      </c>
      <c r="C124" s="1">
        <v>6</v>
      </c>
      <c r="D124" s="333"/>
      <c r="E124" s="302"/>
      <c r="F124" s="302"/>
      <c r="G124" s="369"/>
    </row>
    <row r="125" spans="2:9">
      <c r="B125" s="1" t="s">
        <v>576</v>
      </c>
      <c r="C125" s="1">
        <v>100</v>
      </c>
      <c r="D125" s="333"/>
      <c r="E125" s="302"/>
      <c r="F125" s="302"/>
      <c r="G125" s="369"/>
    </row>
    <row r="126" spans="2:9">
      <c r="B126" s="1" t="s">
        <v>2120</v>
      </c>
      <c r="C126" s="1">
        <v>1</v>
      </c>
      <c r="D126" s="333"/>
      <c r="E126" s="302"/>
      <c r="F126" s="302"/>
      <c r="G126" s="369"/>
    </row>
    <row r="127" spans="2:9">
      <c r="D127" s="333"/>
      <c r="E127" s="302"/>
      <c r="F127" s="302"/>
      <c r="G127" s="324"/>
    </row>
    <row r="128" spans="2:9">
      <c r="B128" s="93"/>
      <c r="C128" s="94" t="s">
        <v>2116</v>
      </c>
      <c r="D128" s="318" t="s">
        <v>969</v>
      </c>
      <c r="E128" s="591" t="s">
        <v>947</v>
      </c>
      <c r="F128" s="591" t="s">
        <v>960</v>
      </c>
      <c r="G128" s="632" t="s">
        <v>938</v>
      </c>
      <c r="H128" s="94" t="s">
        <v>2114</v>
      </c>
      <c r="I128" s="94" t="s">
        <v>2117</v>
      </c>
    </row>
    <row r="129" spans="2:9">
      <c r="B129" s="94" t="s">
        <v>2115</v>
      </c>
      <c r="C129" s="93">
        <v>1.78</v>
      </c>
      <c r="D129" s="332">
        <v>11.9</v>
      </c>
      <c r="E129" s="354">
        <v>3.0800000000000001E-2</v>
      </c>
      <c r="F129" s="633">
        <v>0.26</v>
      </c>
      <c r="G129" s="285">
        <v>0.38</v>
      </c>
      <c r="H129" s="93">
        <v>11.9</v>
      </c>
      <c r="I129" s="93">
        <v>13.2</v>
      </c>
    </row>
    <row r="130" spans="2:9">
      <c r="B130" s="94" t="s">
        <v>203</v>
      </c>
      <c r="C130" s="93">
        <v>18832.7</v>
      </c>
      <c r="D130" s="332">
        <v>10293.9</v>
      </c>
      <c r="E130" s="354">
        <v>105</v>
      </c>
      <c r="F130" s="633">
        <v>0.15</v>
      </c>
      <c r="G130" s="285">
        <v>0.5</v>
      </c>
      <c r="H130" s="93">
        <v>10.9</v>
      </c>
      <c r="I130" s="93">
        <v>13.4</v>
      </c>
    </row>
    <row r="131" spans="2:9">
      <c r="D131" s="325"/>
      <c r="E131" s="302"/>
      <c r="F131" s="302"/>
      <c r="G131" s="366"/>
    </row>
    <row r="132" spans="2:9">
      <c r="B132" s="94" t="s">
        <v>588</v>
      </c>
      <c r="C132" s="94" t="s">
        <v>34</v>
      </c>
      <c r="E132" s="302"/>
      <c r="F132" s="302"/>
    </row>
    <row r="133" spans="2:9">
      <c r="B133" s="93" t="s">
        <v>884</v>
      </c>
      <c r="C133" s="93">
        <v>0.32</v>
      </c>
      <c r="E133" s="302"/>
      <c r="F133" s="302"/>
    </row>
    <row r="134" spans="2:9">
      <c r="B134" s="93" t="s">
        <v>883</v>
      </c>
      <c r="C134" s="93">
        <v>0.41</v>
      </c>
    </row>
    <row r="135" spans="2:9">
      <c r="B135" s="93" t="s">
        <v>882</v>
      </c>
      <c r="C135" s="93">
        <v>0.46</v>
      </c>
    </row>
    <row r="136" spans="2:9">
      <c r="B136" s="93" t="s">
        <v>881</v>
      </c>
      <c r="C136" s="93">
        <v>0.51</v>
      </c>
    </row>
    <row r="137" spans="2:9">
      <c r="B137" s="93" t="s">
        <v>880</v>
      </c>
      <c r="C137" s="93">
        <v>0.36</v>
      </c>
    </row>
    <row r="138" spans="2:9">
      <c r="B138" s="93" t="s">
        <v>879</v>
      </c>
      <c r="C138" s="93">
        <v>0.39</v>
      </c>
    </row>
    <row r="139" spans="2:9">
      <c r="D139" s="57"/>
      <c r="G139" s="95"/>
    </row>
    <row r="140" spans="2:9">
      <c r="B140" s="95" t="s">
        <v>2118</v>
      </c>
      <c r="C140" s="95" t="s">
        <v>943</v>
      </c>
      <c r="D140" s="364" t="s">
        <v>944</v>
      </c>
      <c r="E140" s="365" t="s">
        <v>962</v>
      </c>
      <c r="F140" s="365" t="s">
        <v>961</v>
      </c>
      <c r="G140" s="95" t="s">
        <v>9</v>
      </c>
      <c r="H140" s="95"/>
      <c r="I140" s="95"/>
    </row>
    <row r="141" spans="2:9">
      <c r="B141" s="364">
        <v>3</v>
      </c>
      <c r="C141" s="302">
        <v>1</v>
      </c>
      <c r="D141" s="1">
        <v>0.4</v>
      </c>
      <c r="E141" s="1">
        <v>70</v>
      </c>
      <c r="F141" s="1">
        <v>50</v>
      </c>
      <c r="G141" s="1">
        <v>2758</v>
      </c>
      <c r="H141" s="363"/>
      <c r="I141" s="636"/>
    </row>
    <row r="142" spans="2:9">
      <c r="B142" s="364">
        <v>4</v>
      </c>
      <c r="C142" s="302">
        <v>1.33</v>
      </c>
      <c r="D142" s="1">
        <v>0.53</v>
      </c>
      <c r="E142" s="1">
        <v>93</v>
      </c>
      <c r="F142" s="1">
        <v>67</v>
      </c>
      <c r="G142" s="1">
        <v>2758</v>
      </c>
      <c r="H142" s="363"/>
      <c r="I142" s="363"/>
    </row>
    <row r="143" spans="2:9">
      <c r="B143" s="95">
        <v>5</v>
      </c>
      <c r="C143" s="1">
        <v>1.67</v>
      </c>
      <c r="D143" s="57">
        <v>0.67</v>
      </c>
      <c r="E143" s="1">
        <v>117</v>
      </c>
      <c r="F143" s="1">
        <v>83</v>
      </c>
      <c r="G143" s="1">
        <v>2758</v>
      </c>
      <c r="H143" s="325"/>
      <c r="I143" s="325"/>
    </row>
    <row r="144" spans="2:9">
      <c r="B144" s="95">
        <v>6</v>
      </c>
      <c r="C144" s="1">
        <v>2</v>
      </c>
      <c r="D144" s="57">
        <v>0.8</v>
      </c>
      <c r="E144" s="1">
        <v>140</v>
      </c>
      <c r="F144" s="1">
        <v>100</v>
      </c>
      <c r="G144" s="1">
        <v>2758</v>
      </c>
      <c r="H144" s="325"/>
      <c r="I144" s="325"/>
    </row>
    <row r="145" spans="2:16">
      <c r="B145" s="95">
        <v>10</v>
      </c>
      <c r="C145" s="1">
        <v>1.2</v>
      </c>
      <c r="D145" s="57">
        <v>0.8</v>
      </c>
      <c r="E145" s="1">
        <v>233</v>
      </c>
      <c r="F145" s="1">
        <v>167</v>
      </c>
      <c r="G145" s="1">
        <v>2758</v>
      </c>
      <c r="H145" s="325"/>
      <c r="I145" s="325"/>
    </row>
    <row r="146" spans="2:16">
      <c r="D146" s="57"/>
    </row>
    <row r="147" spans="2:16">
      <c r="B147" s="95" t="s">
        <v>2119</v>
      </c>
      <c r="C147" s="95" t="s">
        <v>943</v>
      </c>
      <c r="D147" s="364" t="s">
        <v>944</v>
      </c>
      <c r="E147" s="365" t="s">
        <v>962</v>
      </c>
      <c r="F147" s="365" t="s">
        <v>961</v>
      </c>
      <c r="G147" s="95" t="s">
        <v>9</v>
      </c>
      <c r="H147" s="95"/>
      <c r="I147" s="95"/>
    </row>
    <row r="148" spans="2:16">
      <c r="B148" s="364">
        <v>3</v>
      </c>
      <c r="C148" s="302">
        <v>11000</v>
      </c>
      <c r="D148" s="1">
        <v>6250</v>
      </c>
      <c r="E148" s="1">
        <v>65</v>
      </c>
      <c r="F148" s="1">
        <v>55</v>
      </c>
      <c r="G148" s="1">
        <v>2059</v>
      </c>
      <c r="H148" s="363"/>
      <c r="I148" s="363"/>
    </row>
    <row r="149" spans="2:16">
      <c r="B149" s="364">
        <v>4</v>
      </c>
      <c r="C149" s="302">
        <v>14667</v>
      </c>
      <c r="D149" s="1">
        <v>8333</v>
      </c>
      <c r="E149" s="1">
        <v>87</v>
      </c>
      <c r="F149" s="1">
        <v>73</v>
      </c>
      <c r="G149" s="1">
        <v>2059</v>
      </c>
      <c r="H149" s="363"/>
      <c r="I149" s="363"/>
    </row>
    <row r="150" spans="2:16">
      <c r="B150" s="95">
        <v>5</v>
      </c>
      <c r="C150" s="1">
        <v>18333</v>
      </c>
      <c r="D150" s="57">
        <v>10417</v>
      </c>
      <c r="E150" s="1">
        <v>108</v>
      </c>
      <c r="F150" s="1">
        <v>92</v>
      </c>
      <c r="G150" s="1">
        <v>2059</v>
      </c>
      <c r="H150" s="325"/>
      <c r="I150" s="325"/>
    </row>
    <row r="151" spans="2:16">
      <c r="B151" s="95">
        <v>6</v>
      </c>
      <c r="C151" s="1">
        <v>22000</v>
      </c>
      <c r="D151" s="57">
        <v>12500</v>
      </c>
      <c r="E151" s="1">
        <v>130</v>
      </c>
      <c r="F151" s="1">
        <v>110</v>
      </c>
      <c r="G151" s="1">
        <v>2059</v>
      </c>
      <c r="H151" s="325"/>
      <c r="I151" s="325"/>
    </row>
    <row r="152" spans="2:16">
      <c r="B152" s="95">
        <v>10</v>
      </c>
      <c r="C152" s="1">
        <v>18000</v>
      </c>
      <c r="D152" s="57">
        <v>12500</v>
      </c>
      <c r="E152" s="1">
        <v>233</v>
      </c>
      <c r="F152" s="1">
        <v>200</v>
      </c>
      <c r="G152" s="1">
        <v>2059</v>
      </c>
      <c r="H152" s="325"/>
      <c r="I152" s="325"/>
    </row>
    <row r="153" spans="2:16" ht="15.75" thickBot="1">
      <c r="D153" s="57"/>
      <c r="G153" s="95"/>
    </row>
    <row r="154" spans="2:16">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c r="B155" s="634">
        <v>3</v>
      </c>
      <c r="C155" s="356">
        <f>((((1-$C$122)*C141)+($C$122*E141*$E$129/$F$129)))*(($C$124-($C$125/E141)-($C$126*$H$129/60)))</f>
        <v>33.074055677655679</v>
      </c>
      <c r="D155" s="355">
        <f>$C$126*$C$129</f>
        <v>1.78</v>
      </c>
      <c r="E155" s="354">
        <f>$C$125*$E$129/$F$129</f>
        <v>11.846153846153847</v>
      </c>
      <c r="F155" s="354">
        <f>((((1-$C$123)*D141)+($C$122*F141*$E$129/$G$129)))*(($C$124-($C$125/F141)-($C$126*$I$129/60)))</f>
        <v>15.299052631578949</v>
      </c>
      <c r="G155" s="354">
        <f>$C$126*$D$129</f>
        <v>11.9</v>
      </c>
      <c r="H155" s="354">
        <f>$C$125*$E$129/$G$129</f>
        <v>8.1052631578947363</v>
      </c>
      <c r="I155" s="361">
        <f>SUM(C155:E155)*$C$121/1000</f>
        <v>17.057251528571427</v>
      </c>
      <c r="J155" s="354">
        <f>SUM(F155:H155)*$C$121/1000</f>
        <v>12.894901342105266</v>
      </c>
      <c r="K155" s="360">
        <f>I155-J155</f>
        <v>4.1623501864661616</v>
      </c>
      <c r="L155" s="360"/>
      <c r="M155" s="360">
        <f>K155/I155</f>
        <v>0.24402232560703555</v>
      </c>
      <c r="N155" s="586">
        <f>G141</f>
        <v>2758</v>
      </c>
      <c r="O155" s="359">
        <f>N155/K155</f>
        <v>662.60643060922848</v>
      </c>
      <c r="P155" s="358">
        <f>1/COUNT($O$155:$O$159)</f>
        <v>0.2</v>
      </c>
    </row>
    <row r="156" spans="2:16">
      <c r="B156" s="634">
        <v>4</v>
      </c>
      <c r="C156" s="356">
        <f>((((1-$C$122)*C142)+($C$122*E142*$E$129/$F$129)))*(($C$124-($C$125/E142)-($C$126*$H$129/60)))</f>
        <v>47.491936298593878</v>
      </c>
      <c r="D156" s="355">
        <f>$C$126*$C$129</f>
        <v>1.78</v>
      </c>
      <c r="E156" s="354">
        <f>$C$125*$E$129/$F$129</f>
        <v>11.846153846153847</v>
      </c>
      <c r="F156" s="354">
        <f>((((1-$C$123)*D142)+($C$122*F142*$E$129/$G$129)))*(($C$124-($C$125/F142)-($C$126*$I$129/60)))</f>
        <v>23.227216276512181</v>
      </c>
      <c r="G156" s="354">
        <f>$C$126*$D$129</f>
        <v>11.9</v>
      </c>
      <c r="H156" s="354">
        <f>$C$125*$E$129/$G$129</f>
        <v>8.1052631578947363</v>
      </c>
      <c r="I156" s="361">
        <f>SUM(C156:E156)*$C$121/1000</f>
        <v>22.323382425369104</v>
      </c>
      <c r="J156" s="354">
        <f>SUM(F156:H156)*$C$121/1000</f>
        <v>15.790663113417123</v>
      </c>
      <c r="K156" s="360">
        <f>I156-J156</f>
        <v>6.5327193119519809</v>
      </c>
      <c r="L156" s="360"/>
      <c r="M156" s="360">
        <f>K156/I156</f>
        <v>0.2926402096004932</v>
      </c>
      <c r="N156" s="586">
        <f>G142</f>
        <v>2758</v>
      </c>
      <c r="O156" s="359">
        <f>N156/K156</f>
        <v>422.18253506684152</v>
      </c>
      <c r="P156" s="358">
        <f>1/COUNT($O$155:$O$159)</f>
        <v>0.2</v>
      </c>
    </row>
    <row r="157" spans="2:16">
      <c r="B157" s="635">
        <v>5</v>
      </c>
      <c r="C157" s="356">
        <f>((((1-$C$122)*C143)+($C$122*E143*$E$129/$F$129)))*(($C$124-($C$125/E143)-($C$126*$H$129/60)))</f>
        <v>62.534594829059834</v>
      </c>
      <c r="D157" s="355">
        <f>$C$126*$C$129</f>
        <v>1.78</v>
      </c>
      <c r="E157" s="354">
        <f>$C$125*$E$129/$F$129</f>
        <v>11.846153846153847</v>
      </c>
      <c r="F157" s="354">
        <f>((((1-$C$123)*D143)+($C$122*F143*$E$129/$G$129)))*(($C$124-($C$125/F143)-($C$126*$I$129/60)))</f>
        <v>30.766404768547883</v>
      </c>
      <c r="G157" s="354">
        <f>$C$126*$D$129</f>
        <v>11.9</v>
      </c>
      <c r="H157" s="354">
        <f>$C$125*$E$129/$G$129</f>
        <v>8.1052631578947363</v>
      </c>
      <c r="I157" s="361">
        <f>SUM(C157:E157)*$C$121/1000</f>
        <v>27.817713453621796</v>
      </c>
      <c r="J157" s="354">
        <f>SUM(F157:H157)*$C$121/1000</f>
        <v>18.544351710133167</v>
      </c>
      <c r="K157" s="360">
        <f>I157-J157</f>
        <v>9.2733617434886284</v>
      </c>
      <c r="L157" s="360"/>
      <c r="M157" s="360">
        <f>K157/I157</f>
        <v>0.33336175379580885</v>
      </c>
      <c r="N157" s="586">
        <f>G143</f>
        <v>2758</v>
      </c>
      <c r="O157" s="359">
        <f>N157/K157</f>
        <v>297.4110227002148</v>
      </c>
      <c r="P157" s="358">
        <f>1/COUNT($O$155:$O$159)</f>
        <v>0.2</v>
      </c>
    </row>
    <row r="158" spans="2:16">
      <c r="B158" s="635">
        <v>6</v>
      </c>
      <c r="C158" s="356">
        <f>((((1-$C$122)*C144)+($C$122*E144*$E$129/$F$129)))*(($C$124-($C$125/E144)-($C$126*$H$129/60)))</f>
        <v>76.952506959706952</v>
      </c>
      <c r="D158" s="355">
        <f>$C$126*$C$129</f>
        <v>1.78</v>
      </c>
      <c r="E158" s="354">
        <f>$C$125*$E$129/$F$129</f>
        <v>11.846153846153847</v>
      </c>
      <c r="F158" s="354">
        <f>((((1-$C$123)*D144)+($C$122*F144*$E$129/$G$129)))*(($C$124-($C$125/F144)-($C$126*$I$129/60)))</f>
        <v>38.692842105263168</v>
      </c>
      <c r="G158" s="354">
        <f>$C$126*$D$129</f>
        <v>11.9</v>
      </c>
      <c r="H158" s="354">
        <f>$C$125*$E$129/$G$129</f>
        <v>8.1052631578947363</v>
      </c>
      <c r="I158" s="361">
        <f>SUM(C158:E158)*$C$121/1000</f>
        <v>33.083855859340659</v>
      </c>
      <c r="J158" s="354">
        <f>SUM(F158:H158)*$C$121/1000</f>
        <v>21.439482947368422</v>
      </c>
      <c r="K158" s="360">
        <f>I158-J158</f>
        <v>11.644372911972237</v>
      </c>
      <c r="L158" s="360"/>
      <c r="M158" s="360">
        <f>K158/I158</f>
        <v>0.35196541060629266</v>
      </c>
      <c r="N158" s="586">
        <f>G144</f>
        <v>2758</v>
      </c>
      <c r="O158" s="359">
        <f>N158/K158</f>
        <v>236.85260003691093</v>
      </c>
      <c r="P158" s="358">
        <f>1/COUNT($O$155:$O$159)</f>
        <v>0.2</v>
      </c>
    </row>
    <row r="159" spans="2:16" ht="15.75" thickBot="1">
      <c r="B159" s="635">
        <v>10</v>
      </c>
      <c r="C159" s="356">
        <f>((((1-$C$122)*C145)+($C$122*E145*$E$129/$F$129)))*(($C$124-($C$125/E145)-($C$126*$H$129/60)))</f>
        <v>134.10459246946189</v>
      </c>
      <c r="D159" s="355">
        <f>$C$126*$C$129</f>
        <v>1.78</v>
      </c>
      <c r="E159" s="354">
        <f>$C$125*$E$129/$F$129</f>
        <v>11.846153846153847</v>
      </c>
      <c r="F159" s="354">
        <f>((((1-$C$123)*D145)+($C$122*F145*$E$129/$G$129)))*(($C$124-($C$125/F145)-($C$126*$I$129/60)))</f>
        <v>67.263398083832357</v>
      </c>
      <c r="G159" s="354">
        <f>$C$126*$D$129</f>
        <v>11.9</v>
      </c>
      <c r="H159" s="354">
        <f>$C$125*$E$129/$G$129</f>
        <v>8.1052631578947363</v>
      </c>
      <c r="I159" s="352">
        <f>SUM(C159:E159)*$C$121/1000</f>
        <v>53.958655091778645</v>
      </c>
      <c r="J159" s="351">
        <f>SUM(F159:H159)*$C$121/1000</f>
        <v>31.874878518540822</v>
      </c>
      <c r="K159" s="350">
        <f>I159-J159</f>
        <v>22.083776573237824</v>
      </c>
      <c r="L159" s="350"/>
      <c r="M159" s="350">
        <f>K159/I159</f>
        <v>0.40927218322390313</v>
      </c>
      <c r="N159" s="658">
        <f>G145</f>
        <v>2758</v>
      </c>
      <c r="O159" s="349">
        <f>N159/K159</f>
        <v>124.88805937940326</v>
      </c>
      <c r="P159" s="348">
        <f>1/COUNT($O$155:$O$159)</f>
        <v>0.2</v>
      </c>
    </row>
    <row r="160" spans="2:16">
      <c r="B160" s="7" t="s">
        <v>0</v>
      </c>
      <c r="C160" s="7"/>
      <c r="D160" s="7"/>
      <c r="E160" s="7"/>
      <c r="F160" s="7"/>
      <c r="G160" s="7"/>
      <c r="H160" s="7"/>
      <c r="I160" s="7"/>
      <c r="J160" s="7"/>
      <c r="K160" s="7">
        <f>SUMPRODUCT(K155:K159,$P$155:$P$159)</f>
        <v>10.739316145423366</v>
      </c>
      <c r="L160" s="7">
        <f>SUMPRODUCT(L155:L159,$P$155:$P$159)</f>
        <v>0</v>
      </c>
      <c r="M160" s="7">
        <f>SUMPRODUCT(M155:M159,$P$155:$P$159)</f>
        <v>0.32625237656670669</v>
      </c>
      <c r="N160" s="7">
        <f>SUMPRODUCT(N155:N159,$P$155:$P$159)</f>
        <v>2758</v>
      </c>
      <c r="O160" s="7">
        <f>SUMPRODUCT(O155:O159,$P$155:$P$159)</f>
        <v>348.78812955851981</v>
      </c>
    </row>
    <row r="161" spans="2:16" ht="15.75" thickBot="1">
      <c r="H161" s="344"/>
      <c r="I161" s="302"/>
      <c r="J161" s="302"/>
      <c r="K161" s="304"/>
      <c r="L161" s="304"/>
      <c r="M161" s="343"/>
      <c r="N161" s="340"/>
    </row>
    <row r="162" spans="2:16">
      <c r="B162" s="94" t="s">
        <v>959</v>
      </c>
      <c r="C162" s="94" t="s">
        <v>932</v>
      </c>
      <c r="D162" s="94" t="s">
        <v>931</v>
      </c>
      <c r="E162" s="94" t="s">
        <v>930</v>
      </c>
      <c r="F162" s="94" t="s">
        <v>958</v>
      </c>
      <c r="G162" s="94" t="s">
        <v>957</v>
      </c>
      <c r="H162" s="94" t="s">
        <v>956</v>
      </c>
      <c r="I162" s="317" t="s">
        <v>2095</v>
      </c>
      <c r="J162" s="316" t="s">
        <v>2096</v>
      </c>
      <c r="K162" s="316" t="s">
        <v>2097</v>
      </c>
      <c r="L162" s="316" t="s">
        <v>2017</v>
      </c>
      <c r="M162" s="316" t="s">
        <v>244</v>
      </c>
      <c r="N162" s="316" t="s">
        <v>9</v>
      </c>
      <c r="O162" s="316" t="s">
        <v>2047</v>
      </c>
      <c r="P162" s="315" t="s">
        <v>7</v>
      </c>
    </row>
    <row r="163" spans="2:16">
      <c r="B163" s="634">
        <v>3</v>
      </c>
      <c r="C163" s="356">
        <f>((((1-$C$122)*C148)+($C$122*E148*$E$130/$F$130)))*(($C$124-($C$125/E148)-($C$126*$H$130/60)))</f>
        <v>179968.60897435897</v>
      </c>
      <c r="D163" s="355">
        <f>$C$126*$C$130</f>
        <v>18832.7</v>
      </c>
      <c r="E163" s="354">
        <f>$C$125*$E$130/$F$130</f>
        <v>70000</v>
      </c>
      <c r="F163" s="354">
        <f>((((1-$C$123)*D148)+($C$122*F148*$E$130/$G$130)))*(($C$124-($C$125/F148)-($C$126*$I$130/60)))</f>
        <v>65888.980303030301</v>
      </c>
      <c r="G163" s="354">
        <f>$C$126*$D$130</f>
        <v>10293.9</v>
      </c>
      <c r="H163" s="354">
        <f>$C$125*$E$130/$G$130</f>
        <v>21000</v>
      </c>
      <c r="I163" s="314">
        <f>SUM(C163:E163)*$C$121/1000000</f>
        <v>98.179678102884608</v>
      </c>
      <c r="J163" s="93">
        <f>SUM(F163:H163)*$C$121/1000000</f>
        <v>35.496047030681815</v>
      </c>
      <c r="K163" s="93">
        <f>J155*3.412*$C$121*1000/1000000</f>
        <v>16.07005158427587</v>
      </c>
      <c r="L163" s="93">
        <f>I163-K163</f>
        <v>82.109626518608735</v>
      </c>
      <c r="M163" s="93">
        <f>L163/I163</f>
        <v>0.83631998092888715</v>
      </c>
      <c r="N163" s="93">
        <f>G148</f>
        <v>2059</v>
      </c>
      <c r="O163" s="93">
        <f>N163/L163</f>
        <v>25.07623146396072</v>
      </c>
      <c r="P163" s="358">
        <f>1/COUNT($O$155:$O$159)</f>
        <v>0.2</v>
      </c>
    </row>
    <row r="164" spans="2:16">
      <c r="B164" s="634">
        <v>4</v>
      </c>
      <c r="C164" s="356">
        <f>((((1-$C$122)*C149)+($C$122*E149*$E$130/$F$130)))*(($C$124-($C$125/E149)-($C$126*$H$130/60)))</f>
        <v>262750.73743103445</v>
      </c>
      <c r="D164" s="355">
        <f>$C$126*$C$130</f>
        <v>18832.7</v>
      </c>
      <c r="E164" s="354">
        <f>$C$125*$E$130/$F$130</f>
        <v>70000</v>
      </c>
      <c r="F164" s="354">
        <f>((((1-$C$123)*D149)+($C$122*F149*$E$130/$G$130)))*(($C$124-($C$125/F149)-($C$126*$I$130/60)))</f>
        <v>97522.564840182633</v>
      </c>
      <c r="G164" s="354">
        <f>$C$126*$D$130</f>
        <v>10293.9</v>
      </c>
      <c r="H164" s="354">
        <f>$C$125*$E$130/$G$130</f>
        <v>21000</v>
      </c>
      <c r="I164" s="314">
        <f>SUM(C164:E164)*$C$121/1000000</f>
        <v>128.41585052168534</v>
      </c>
      <c r="J164" s="93">
        <f>SUM(F164:H164)*$C$121/1000000</f>
        <v>47.05021378287671</v>
      </c>
      <c r="K164" s="93">
        <f>J156*3.412*$C$121*1000/1000000</f>
        <v>19.678845463823158</v>
      </c>
      <c r="L164" s="93">
        <f>I164-K164</f>
        <v>108.73700505786218</v>
      </c>
      <c r="M164" s="93">
        <f>L164/I164</f>
        <v>0.8467568809934406</v>
      </c>
      <c r="N164" s="93">
        <f>G149</f>
        <v>2059</v>
      </c>
      <c r="O164" s="93">
        <f>N164/L164</f>
        <v>18.935596018157252</v>
      </c>
      <c r="P164" s="358">
        <f>1/COUNT($O$155:$O$159)</f>
        <v>0.2</v>
      </c>
    </row>
    <row r="165" spans="2:16">
      <c r="B165" s="635">
        <v>5</v>
      </c>
      <c r="C165" s="356">
        <f>((((1-$C$122)*C150)+($C$122*E150*$E$130/$F$130)))*(($C$124-($C$125/E150)-($C$126*$H$130/60)))</f>
        <v>341848.65050000005</v>
      </c>
      <c r="D165" s="355">
        <f>$C$126*$C$130</f>
        <v>18832.7</v>
      </c>
      <c r="E165" s="354">
        <f>$C$125*$E$130/$F$130</f>
        <v>70000</v>
      </c>
      <c r="F165" s="354">
        <f>((((1-$C$123)*D150)+($C$122*F150*$E$130/$G$130)))*(($C$124-($C$125/F150)-($C$126*$I$130/60)))</f>
        <v>130397.39057971013</v>
      </c>
      <c r="G165" s="354">
        <f>$C$126*$D$130</f>
        <v>10293.9</v>
      </c>
      <c r="H165" s="354">
        <f>$C$125*$E$130/$G$130</f>
        <v>21000</v>
      </c>
      <c r="I165" s="314">
        <f>SUM(C165:E165)*$C$121/1000000</f>
        <v>157.30636327012502</v>
      </c>
      <c r="J165" s="93">
        <f>SUM(F165:H165)*$C$121/1000000</f>
        <v>59.057743884239123</v>
      </c>
      <c r="K165" s="93">
        <f>J157*3.412*$C$121*1000/1000000</f>
        <v>23.110583064774385</v>
      </c>
      <c r="L165" s="93">
        <f>I165-K165</f>
        <v>134.19578020535064</v>
      </c>
      <c r="M165" s="93">
        <f>L165/I165</f>
        <v>0.85308551679445355</v>
      </c>
      <c r="N165" s="93">
        <f>G150</f>
        <v>2059</v>
      </c>
      <c r="O165" s="93">
        <f>N165/L165</f>
        <v>15.343254436534837</v>
      </c>
      <c r="P165" s="358">
        <f>1/COUNT($O$155:$O$159)</f>
        <v>0.2</v>
      </c>
    </row>
    <row r="166" spans="2:16">
      <c r="B166" s="635">
        <v>6</v>
      </c>
      <c r="C166" s="356">
        <f>((((1-$C$122)*C151)+($C$122*E151*$E$130/$F$130)))*(($C$124-($C$125/E151)-($C$126*$H$130/60)))</f>
        <v>424629.52564102563</v>
      </c>
      <c r="D166" s="355">
        <f>$C$126*$C$130</f>
        <v>18832.7</v>
      </c>
      <c r="E166" s="354">
        <f>$C$125*$E$130/$F$130</f>
        <v>70000</v>
      </c>
      <c r="F166" s="354">
        <f>((((1-$C$123)*D151)+($C$122*F151*$E$130/$G$130)))*(($C$124-($C$125/F151)-($C$126*$I$130/60)))</f>
        <v>162041.59696969696</v>
      </c>
      <c r="G166" s="354">
        <f>$C$126*$D$130</f>
        <v>10293.9</v>
      </c>
      <c r="H166" s="354">
        <f>$C$125*$E$130/$G$130</f>
        <v>21000</v>
      </c>
      <c r="I166" s="314">
        <f>SUM(C166:E166)*$C$121/1000000</f>
        <v>187.54207791538462</v>
      </c>
      <c r="J166" s="93">
        <f>SUM(F166:H166)*$C$121/1000000</f>
        <v>70.615790268181811</v>
      </c>
      <c r="K166" s="93">
        <f>J158*3.412*$C$121*1000/1000000</f>
        <v>26.718591151947788</v>
      </c>
      <c r="L166" s="93">
        <f>I166-K166</f>
        <v>160.82348676343685</v>
      </c>
      <c r="M166" s="93">
        <f>L166/I166</f>
        <v>0.85753281904020129</v>
      </c>
      <c r="N166" s="93">
        <f>G151</f>
        <v>2059</v>
      </c>
      <c r="O166" s="93">
        <f>N166/L166</f>
        <v>12.802856357844574</v>
      </c>
      <c r="P166" s="358">
        <f>1/COUNT($O$155:$O$159)</f>
        <v>0.2</v>
      </c>
    </row>
    <row r="167" spans="2:16" ht="15.75" thickBot="1">
      <c r="B167" s="635">
        <v>10</v>
      </c>
      <c r="C167" s="356">
        <f>((((1-$C$122)*C152)+($C$122*E152*$E$130/$F$130)))*(($C$124-($C$125/E152)-($C$126*$H$130/60)))</f>
        <v>800773.61781115888</v>
      </c>
      <c r="D167" s="355">
        <f>$C$126*$C$130</f>
        <v>18832.7</v>
      </c>
      <c r="E167" s="354">
        <f>$C$125*$E$130/$F$130</f>
        <v>70000</v>
      </c>
      <c r="F167" s="354">
        <f>((((1-$C$123)*D152)+($C$122*F152*$E$130/$G$130)))*(($C$124-($C$125/F152)-($C$126*$I$130/60)))</f>
        <v>265416.33333333331</v>
      </c>
      <c r="G167" s="354">
        <f>$C$126*$D$130</f>
        <v>10293.9</v>
      </c>
      <c r="H167" s="354">
        <f>$C$125*$E$130/$G$130</f>
        <v>21000</v>
      </c>
      <c r="I167" s="310">
        <f>SUM(C167:E167)*$C$121/1000000</f>
        <v>324.92870758052578</v>
      </c>
      <c r="J167" s="308">
        <f>SUM(F167:H167)*$C$121/1000000</f>
        <v>108.37341272499999</v>
      </c>
      <c r="K167" s="308">
        <f>J159*3.412*$C$121*1000/1000000</f>
        <v>39.723525480796688</v>
      </c>
      <c r="L167" s="308">
        <f>I167-K167</f>
        <v>285.20518209972909</v>
      </c>
      <c r="M167" s="308">
        <f>L167/I167</f>
        <v>0.87774695016459214</v>
      </c>
      <c r="N167" s="308">
        <f>G152</f>
        <v>2059</v>
      </c>
      <c r="O167" s="308">
        <f>N167/L167</f>
        <v>7.2193639149236057</v>
      </c>
      <c r="P167" s="348">
        <f>1/COUNT($O$155:$O$159)</f>
        <v>0.2</v>
      </c>
    </row>
    <row r="168" spans="2:16">
      <c r="B168" s="7" t="s">
        <v>0</v>
      </c>
      <c r="C168" s="7"/>
      <c r="D168" s="7"/>
      <c r="E168" s="7"/>
      <c r="F168" s="7"/>
      <c r="G168" s="7"/>
      <c r="H168" s="7"/>
      <c r="I168" s="7"/>
      <c r="J168" s="7"/>
      <c r="K168" s="7">
        <f>SUMPRODUCT(K163:K167,$P$163:$P$167)</f>
        <v>25.060319349123581</v>
      </c>
      <c r="L168" s="7">
        <f>SUMPRODUCT(L163:L167,$P$163:$P$167)</f>
        <v>154.21421612899749</v>
      </c>
      <c r="M168" s="7">
        <f>SUMPRODUCT(M163:M167,$P$163:$P$167)</f>
        <v>0.85428842958431506</v>
      </c>
      <c r="N168" s="7">
        <f>SUMPRODUCT(N163:N167,$P$163:$P$167)</f>
        <v>2059</v>
      </c>
      <c r="O168" s="7">
        <f>SUMPRODUCT(O163:O167,$P$163:$P$167)</f>
        <v>15.875460438284199</v>
      </c>
    </row>
    <row r="169" spans="2:16">
      <c r="H169" s="302"/>
      <c r="I169" s="302"/>
      <c r="J169" s="302"/>
      <c r="K169" s="302"/>
      <c r="L169" s="302"/>
      <c r="M169" s="302"/>
      <c r="N169" s="302"/>
    </row>
  </sheetData>
  <phoneticPr fontId="35" type="noConversion"/>
  <dataValidations disablePrompts="1" count="5">
    <dataValidation type="list" allowBlank="1" showInputMessage="1" showErrorMessage="1" sqref="C59:L59" xr:uid="{00000000-0002-0000-5B00-000004000000}">
      <formula1>$N$19:$AQ$19</formula1>
    </dataValidation>
    <dataValidation type="list" allowBlank="1" showInputMessage="1" showErrorMessage="1" sqref="E11:E20" xr:uid="{00000000-0002-0000-5B00-000003000000}">
      <formula1>$N$16:$O$16</formula1>
    </dataValidation>
    <dataValidation type="list" allowBlank="1" showInputMessage="1" showErrorMessage="1" sqref="D11:D20" xr:uid="{00000000-0002-0000-5B00-000002000000}">
      <formula1>$N$22:$AE$22</formula1>
    </dataValidation>
    <dataValidation type="list" allowBlank="1" showInputMessage="1" showErrorMessage="1" sqref="B11:C20" xr:uid="{00000000-0002-0000-5B00-000001000000}">
      <formula1>$N$7:$Q$7</formula1>
    </dataValidation>
    <dataValidation type="list" allowBlank="1" showInputMessage="1" showErrorMessage="1" sqref="D7" xr:uid="{00000000-0002-0000-5B00-000000000000}">
      <formula1>$N$11:$O$11</formula1>
    </dataValidation>
  </dataValidations>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849F-ED1F-403C-8AB2-32DA8DBA9633}">
  <sheetPr codeName="Sheet15">
    <tabColor indexed="27"/>
  </sheetPr>
  <dimension ref="A1:AQ128"/>
  <sheetViews>
    <sheetView topLeftCell="A87" zoomScale="80" zoomScaleNormal="80" workbookViewId="0">
      <selection activeCell="D43" sqref="D43"/>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Circulators CW</v>
      </c>
      <c r="C7" s="98" t="s">
        <v>2350</v>
      </c>
      <c r="D7" s="97" t="s">
        <v>211</v>
      </c>
      <c r="E7" s="97">
        <f>15</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CW_CI, E - Oth (MD)</v>
      </c>
      <c r="J11" s="83" t="str">
        <f t="shared" ref="J11:J20" si="3">IF(B11="","",CONCATENATE($C$7,IF(C11="","",CONCATENATE(" with ",C11," Secondary Fuel"))))</f>
        <v>ECM Circulators, CW</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Circulators CW_CI,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CW_CI,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Circulators, CW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Circulators CW_CI,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Circulators, CW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Circulators, CW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Circulators, CW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2353</v>
      </c>
      <c r="E112"/>
    </row>
    <row r="113" spans="2:17">
      <c r="B113" s="57" t="s">
        <v>2172</v>
      </c>
      <c r="C113" s="57" t="s">
        <v>1955</v>
      </c>
      <c r="D113" s="57" t="s">
        <v>2353</v>
      </c>
      <c r="E113"/>
    </row>
    <row r="114" spans="2:17">
      <c r="B114" s="57" t="s">
        <v>2191</v>
      </c>
      <c r="C114" s="181">
        <v>2208</v>
      </c>
      <c r="D114" s="57" t="s">
        <v>2353</v>
      </c>
      <c r="E114" s="57"/>
    </row>
    <row r="115" spans="2:17">
      <c r="B115" s="57" t="s">
        <v>2192</v>
      </c>
      <c r="C115" s="181">
        <v>5256</v>
      </c>
      <c r="D115" s="57" t="s">
        <v>2353</v>
      </c>
      <c r="E115" s="57"/>
    </row>
    <row r="116" spans="2:17">
      <c r="B116" s="57" t="s">
        <v>34</v>
      </c>
      <c r="C116" s="57">
        <v>0.8</v>
      </c>
      <c r="D116" s="57" t="s">
        <v>2353</v>
      </c>
      <c r="E116"/>
    </row>
    <row r="117" spans="2:17">
      <c r="B117" s="57" t="s">
        <v>438</v>
      </c>
      <c r="C117" s="57"/>
      <c r="D117" s="57"/>
      <c r="E117"/>
    </row>
    <row r="118" spans="2:17">
      <c r="B118" s="58"/>
      <c r="C118" s="58"/>
      <c r="D118" s="58"/>
      <c r="E118" s="540"/>
    </row>
    <row r="119" spans="2:17">
      <c r="B119" s="215" t="s">
        <v>2174</v>
      </c>
      <c r="C119" s="215" t="s">
        <v>2175</v>
      </c>
      <c r="D119" s="215" t="s">
        <v>2171</v>
      </c>
      <c r="E119" s="215" t="s">
        <v>2172</v>
      </c>
      <c r="F119" s="94" t="s">
        <v>500</v>
      </c>
      <c r="G119" s="94" t="s">
        <v>499</v>
      </c>
      <c r="H119" s="94" t="s">
        <v>2007</v>
      </c>
      <c r="I119" s="94" t="s">
        <v>7</v>
      </c>
    </row>
    <row r="120" spans="2:17">
      <c r="B120" s="305">
        <v>2E-3</v>
      </c>
      <c r="C120" s="642" t="s">
        <v>2176</v>
      </c>
      <c r="D120" s="305">
        <v>60</v>
      </c>
      <c r="E120" s="286">
        <v>15</v>
      </c>
      <c r="F120" s="93">
        <f>(D120-E120)*$C$114/1000</f>
        <v>99.36</v>
      </c>
      <c r="G120" s="643">
        <f>(D120-E120)*$C$116/1000</f>
        <v>3.5999999999999997E-2</v>
      </c>
      <c r="H120" s="93">
        <f>(D120-E120)/D120</f>
        <v>0.75</v>
      </c>
      <c r="I120" s="93">
        <f>1/COUNT($E$120:$E$127)</f>
        <v>0.125</v>
      </c>
    </row>
    <row r="121" spans="2:17">
      <c r="B121" s="305">
        <v>8.9999999999999993E-3</v>
      </c>
      <c r="C121" s="642" t="s">
        <v>2176</v>
      </c>
      <c r="D121" s="305">
        <v>77</v>
      </c>
      <c r="E121" s="286">
        <v>29</v>
      </c>
      <c r="F121" s="93">
        <f t="shared" ref="F121:F127" si="26">(D121-E121)*$C$114/1000</f>
        <v>105.98399999999999</v>
      </c>
      <c r="G121" s="643">
        <f t="shared" ref="G121:G127" si="27">(D121-E121)*$C$116/1000</f>
        <v>3.8400000000000004E-2</v>
      </c>
      <c r="H121" s="93">
        <f t="shared" ref="H121:H127" si="28">(D121-E121)/D121</f>
        <v>0.62337662337662336</v>
      </c>
      <c r="I121" s="93">
        <f t="shared" ref="I121:I127" si="29">1/COUNT($E$120:$E$127)</f>
        <v>0.125</v>
      </c>
    </row>
    <row r="122" spans="2:17">
      <c r="B122" s="305">
        <v>1.6E-2</v>
      </c>
      <c r="C122" s="642" t="s">
        <v>2177</v>
      </c>
      <c r="D122" s="305">
        <v>96</v>
      </c>
      <c r="E122" s="286">
        <v>40</v>
      </c>
      <c r="F122" s="93">
        <f t="shared" si="26"/>
        <v>123.648</v>
      </c>
      <c r="G122" s="643">
        <f t="shared" si="27"/>
        <v>4.4800000000000006E-2</v>
      </c>
      <c r="H122" s="93">
        <f t="shared" si="28"/>
        <v>0.58333333333333337</v>
      </c>
      <c r="I122" s="93">
        <f t="shared" si="29"/>
        <v>0.125</v>
      </c>
    </row>
    <row r="123" spans="2:17">
      <c r="B123" s="305">
        <v>2.3E-2</v>
      </c>
      <c r="C123" s="642" t="s">
        <v>2177</v>
      </c>
      <c r="D123" s="305">
        <v>124</v>
      </c>
      <c r="E123" s="305">
        <v>53</v>
      </c>
      <c r="F123" s="93">
        <f t="shared" si="26"/>
        <v>156.768</v>
      </c>
      <c r="G123" s="643">
        <f t="shared" si="27"/>
        <v>5.6800000000000003E-2</v>
      </c>
      <c r="H123" s="93">
        <f t="shared" si="28"/>
        <v>0.57258064516129037</v>
      </c>
      <c r="I123" s="93">
        <f t="shared" si="29"/>
        <v>0.125</v>
      </c>
    </row>
    <row r="124" spans="2:17">
      <c r="B124" s="305">
        <v>0.03</v>
      </c>
      <c r="C124" s="642" t="s">
        <v>2178</v>
      </c>
      <c r="D124" s="305">
        <v>132</v>
      </c>
      <c r="E124" s="305">
        <v>58</v>
      </c>
      <c r="F124" s="93">
        <f t="shared" si="26"/>
        <v>163.392</v>
      </c>
      <c r="G124" s="643">
        <f t="shared" si="27"/>
        <v>5.9200000000000003E-2</v>
      </c>
      <c r="H124" s="93">
        <f t="shared" si="28"/>
        <v>0.56060606060606055</v>
      </c>
      <c r="I124" s="93">
        <f t="shared" si="29"/>
        <v>0.125</v>
      </c>
    </row>
    <row r="125" spans="2:17">
      <c r="B125" s="305">
        <v>9.7000000000000003E-2</v>
      </c>
      <c r="C125" s="642" t="s">
        <v>2179</v>
      </c>
      <c r="D125" s="215">
        <v>269</v>
      </c>
      <c r="E125" s="215">
        <v>138</v>
      </c>
      <c r="F125" s="93">
        <f t="shared" si="26"/>
        <v>289.24799999999999</v>
      </c>
      <c r="G125" s="643">
        <f t="shared" si="27"/>
        <v>0.10480000000000002</v>
      </c>
      <c r="H125" s="93">
        <f t="shared" si="28"/>
        <v>0.48698884758364314</v>
      </c>
      <c r="I125" s="93">
        <f t="shared" si="29"/>
        <v>0.125</v>
      </c>
    </row>
    <row r="126" spans="2:17">
      <c r="B126" s="177">
        <v>9.9000000000000005E-2</v>
      </c>
      <c r="C126" s="642" t="s">
        <v>2179</v>
      </c>
      <c r="D126" s="177">
        <v>282</v>
      </c>
      <c r="E126" s="177">
        <v>145</v>
      </c>
      <c r="F126" s="93">
        <f t="shared" si="26"/>
        <v>302.49599999999998</v>
      </c>
      <c r="G126" s="643">
        <f t="shared" si="27"/>
        <v>0.1096</v>
      </c>
      <c r="H126" s="93">
        <f t="shared" si="28"/>
        <v>0.48581560283687941</v>
      </c>
      <c r="I126" s="93">
        <f t="shared" si="29"/>
        <v>0.125</v>
      </c>
      <c r="J126" s="26"/>
      <c r="K126" s="26"/>
      <c r="L126" s="26"/>
      <c r="M126" s="26"/>
      <c r="N126" s="26"/>
      <c r="O126" s="27"/>
      <c r="P126" s="27"/>
      <c r="Q126" s="27"/>
    </row>
    <row r="127" spans="2:17">
      <c r="B127" s="177">
        <v>0.56999999999999995</v>
      </c>
      <c r="C127" s="642" t="s">
        <v>2180</v>
      </c>
      <c r="D127" s="177">
        <v>962</v>
      </c>
      <c r="E127" s="559">
        <v>555</v>
      </c>
      <c r="F127" s="93">
        <f t="shared" si="26"/>
        <v>898.65599999999995</v>
      </c>
      <c r="G127" s="643">
        <f t="shared" si="27"/>
        <v>0.3256</v>
      </c>
      <c r="H127" s="93">
        <f t="shared" si="28"/>
        <v>0.42307692307692307</v>
      </c>
      <c r="I127" s="93">
        <f t="shared" si="29"/>
        <v>0.125</v>
      </c>
      <c r="J127" s="26"/>
      <c r="K127" s="26"/>
      <c r="L127" s="26"/>
      <c r="M127" s="26"/>
      <c r="N127" s="26"/>
      <c r="O127" s="27"/>
      <c r="P127" s="27"/>
      <c r="Q127" s="27"/>
    </row>
    <row r="128" spans="2:17">
      <c r="B128" s="26"/>
      <c r="C128" s="641"/>
      <c r="D128" s="26"/>
      <c r="E128" s="223"/>
      <c r="F128" s="2">
        <f>SUMPRODUCT(F120:F127,$I$120:$I$127)</f>
        <v>267.44400000000002</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C59:L59" xr:uid="{4D6398AE-D311-4F9C-83D9-A21BB591018A}">
      <formula1>$N$19:$AQ$19</formula1>
    </dataValidation>
    <dataValidation type="list" allowBlank="1" showInputMessage="1" showErrorMessage="1" sqref="E11:E20" xr:uid="{5D525583-5C16-43EF-BBF8-A2AF0545DC65}">
      <formula1>$N$16:$O$16</formula1>
    </dataValidation>
    <dataValidation type="list" allowBlank="1" showInputMessage="1" showErrorMessage="1" sqref="D11:D20" xr:uid="{CD892789-2D5D-4B7A-96BF-D91B8F37AD1E}">
      <formula1>$N$22:$AE$22</formula1>
    </dataValidation>
    <dataValidation type="list" allowBlank="1" showInputMessage="1" showErrorMessage="1" sqref="B11:C20" xr:uid="{5DBBCE43-4B29-419A-AE8F-99756DCFA22A}">
      <formula1>$N$7:$Q$7</formula1>
    </dataValidation>
    <dataValidation type="list" allowBlank="1" showInputMessage="1" showErrorMessage="1" sqref="D7" xr:uid="{03B4ABC0-4D59-461B-ABBB-F8763203F273}">
      <formula1>$N$11:$O$11</formula1>
    </dataValidation>
  </dataValidations>
  <pageMargins left="0.7" right="0.7" top="0.75" bottom="0.75" header="0.3" footer="0.3"/>
  <pageSetup orientation="portrait" r:id="rId1"/>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F0048-F95A-45E9-908B-E384BB6488D5}">
  <sheetPr codeName="Sheet16">
    <tabColor indexed="27"/>
  </sheetPr>
  <dimension ref="A1:AQ128"/>
  <sheetViews>
    <sheetView zoomScale="80" zoomScaleNormal="80" workbookViewId="0">
      <selection activeCell="C38" sqref="C3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Circulators DHW</v>
      </c>
      <c r="C7" s="98" t="s">
        <v>2352</v>
      </c>
      <c r="D7" s="97" t="s">
        <v>211</v>
      </c>
      <c r="E7" s="97">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DHW_CI, E - Oth (MD)</v>
      </c>
      <c r="J11" s="83" t="str">
        <f t="shared" ref="J11:J20" si="3">IF(B11="","",CONCATENATE($C$7,IF(C11="","",CONCATENATE(" with ",C11," Secondary Fuel"))))</f>
        <v>ECM Circulators, DHW</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Circulators DHW_CI,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DHW_CI,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Circulators, DHW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Circulators DHW_CI,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Circulators, DHW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Circulators, DHW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Circulators, DHW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2353</v>
      </c>
      <c r="E112"/>
    </row>
    <row r="113" spans="2:17">
      <c r="B113" s="57" t="s">
        <v>2172</v>
      </c>
      <c r="C113" s="57" t="s">
        <v>1955</v>
      </c>
      <c r="D113" s="57" t="s">
        <v>2353</v>
      </c>
      <c r="E113"/>
    </row>
    <row r="114" spans="2:17">
      <c r="B114" s="57" t="s">
        <v>2191</v>
      </c>
      <c r="C114" s="181">
        <v>2208</v>
      </c>
      <c r="D114" s="57" t="s">
        <v>2353</v>
      </c>
      <c r="E114" s="57"/>
    </row>
    <row r="115" spans="2:17">
      <c r="B115" s="57" t="s">
        <v>2192</v>
      </c>
      <c r="C115" s="181">
        <v>5256</v>
      </c>
      <c r="D115" s="57" t="s">
        <v>2353</v>
      </c>
      <c r="E115" s="57"/>
    </row>
    <row r="116" spans="2:17">
      <c r="B116" s="57" t="s">
        <v>34</v>
      </c>
      <c r="C116" s="57">
        <v>0.8</v>
      </c>
      <c r="D116" s="57" t="s">
        <v>2353</v>
      </c>
      <c r="E116"/>
    </row>
    <row r="117" spans="2:17">
      <c r="B117" s="57" t="s">
        <v>438</v>
      </c>
      <c r="C117" s="57"/>
      <c r="D117" s="57"/>
      <c r="E117"/>
    </row>
    <row r="118" spans="2:17">
      <c r="B118" s="58"/>
      <c r="C118" s="58"/>
      <c r="D118" s="58"/>
      <c r="E118" s="540"/>
    </row>
    <row r="119" spans="2:17">
      <c r="B119" s="215" t="s">
        <v>2174</v>
      </c>
      <c r="C119" s="215" t="s">
        <v>2175</v>
      </c>
      <c r="D119" s="215" t="s">
        <v>2171</v>
      </c>
      <c r="E119" s="215" t="s">
        <v>2172</v>
      </c>
      <c r="F119" s="94" t="s">
        <v>500</v>
      </c>
      <c r="G119" s="94" t="s">
        <v>499</v>
      </c>
      <c r="H119" s="94" t="s">
        <v>2007</v>
      </c>
      <c r="I119" s="94" t="s">
        <v>7</v>
      </c>
    </row>
    <row r="120" spans="2:17">
      <c r="B120" s="305">
        <v>2E-3</v>
      </c>
      <c r="C120" s="642" t="s">
        <v>2176</v>
      </c>
      <c r="D120" s="305">
        <v>60</v>
      </c>
      <c r="E120" s="286">
        <v>15</v>
      </c>
      <c r="F120" s="93">
        <f>(D120-E120)*$C$115/1000</f>
        <v>236.52</v>
      </c>
      <c r="G120" s="643">
        <f>(D120-E120)*$C$116/1000</f>
        <v>3.5999999999999997E-2</v>
      </c>
      <c r="H120" s="93">
        <f>(D120-E120)/D120</f>
        <v>0.75</v>
      </c>
      <c r="I120" s="93">
        <f>1/COUNT($E$120:$E$127)</f>
        <v>0.125</v>
      </c>
    </row>
    <row r="121" spans="2:17">
      <c r="B121" s="305">
        <v>8.9999999999999993E-3</v>
      </c>
      <c r="C121" s="642" t="s">
        <v>2176</v>
      </c>
      <c r="D121" s="305">
        <v>77</v>
      </c>
      <c r="E121" s="286">
        <v>29</v>
      </c>
      <c r="F121" s="93">
        <f t="shared" ref="F121:F127" si="26">(D121-E121)*$C$115/1000</f>
        <v>252.28800000000001</v>
      </c>
      <c r="G121" s="643">
        <f t="shared" ref="G121:G127" si="27">(D121-E121)*$C$116/1000</f>
        <v>3.8400000000000004E-2</v>
      </c>
      <c r="H121" s="93">
        <f t="shared" ref="H121:H127" si="28">(D121-E121)/D121</f>
        <v>0.62337662337662336</v>
      </c>
      <c r="I121" s="93">
        <f t="shared" ref="I121:I127" si="29">1/COUNT($E$120:$E$127)</f>
        <v>0.125</v>
      </c>
    </row>
    <row r="122" spans="2:17">
      <c r="B122" s="305">
        <v>1.6E-2</v>
      </c>
      <c r="C122" s="642" t="s">
        <v>2177</v>
      </c>
      <c r="D122" s="305">
        <v>96</v>
      </c>
      <c r="E122" s="286">
        <v>40</v>
      </c>
      <c r="F122" s="93">
        <f t="shared" si="26"/>
        <v>294.33600000000001</v>
      </c>
      <c r="G122" s="643">
        <f t="shared" si="27"/>
        <v>4.4800000000000006E-2</v>
      </c>
      <c r="H122" s="93">
        <f t="shared" si="28"/>
        <v>0.58333333333333337</v>
      </c>
      <c r="I122" s="93">
        <f t="shared" si="29"/>
        <v>0.125</v>
      </c>
    </row>
    <row r="123" spans="2:17">
      <c r="B123" s="305">
        <v>2.3E-2</v>
      </c>
      <c r="C123" s="642" t="s">
        <v>2177</v>
      </c>
      <c r="D123" s="305">
        <v>124</v>
      </c>
      <c r="E123" s="305">
        <v>53</v>
      </c>
      <c r="F123" s="93">
        <f t="shared" si="26"/>
        <v>373.17599999999999</v>
      </c>
      <c r="G123" s="643">
        <f t="shared" si="27"/>
        <v>5.6800000000000003E-2</v>
      </c>
      <c r="H123" s="93">
        <f t="shared" si="28"/>
        <v>0.57258064516129037</v>
      </c>
      <c r="I123" s="93">
        <f t="shared" si="29"/>
        <v>0.125</v>
      </c>
    </row>
    <row r="124" spans="2:17">
      <c r="B124" s="305">
        <v>0.03</v>
      </c>
      <c r="C124" s="642" t="s">
        <v>2178</v>
      </c>
      <c r="D124" s="305">
        <v>132</v>
      </c>
      <c r="E124" s="305">
        <v>58</v>
      </c>
      <c r="F124" s="93">
        <f t="shared" si="26"/>
        <v>388.94400000000002</v>
      </c>
      <c r="G124" s="643">
        <f t="shared" si="27"/>
        <v>5.9200000000000003E-2</v>
      </c>
      <c r="H124" s="93">
        <f t="shared" si="28"/>
        <v>0.56060606060606055</v>
      </c>
      <c r="I124" s="93">
        <f t="shared" si="29"/>
        <v>0.125</v>
      </c>
    </row>
    <row r="125" spans="2:17">
      <c r="B125" s="305">
        <v>9.7000000000000003E-2</v>
      </c>
      <c r="C125" s="642" t="s">
        <v>2179</v>
      </c>
      <c r="D125" s="215">
        <v>269</v>
      </c>
      <c r="E125" s="215">
        <v>138</v>
      </c>
      <c r="F125" s="93">
        <f t="shared" si="26"/>
        <v>688.53599999999994</v>
      </c>
      <c r="G125" s="643">
        <f t="shared" si="27"/>
        <v>0.10480000000000002</v>
      </c>
      <c r="H125" s="93">
        <f t="shared" si="28"/>
        <v>0.48698884758364314</v>
      </c>
      <c r="I125" s="93">
        <f t="shared" si="29"/>
        <v>0.125</v>
      </c>
    </row>
    <row r="126" spans="2:17">
      <c r="B126" s="177">
        <v>9.9000000000000005E-2</v>
      </c>
      <c r="C126" s="642" t="s">
        <v>2179</v>
      </c>
      <c r="D126" s="177">
        <v>282</v>
      </c>
      <c r="E126" s="177">
        <v>145</v>
      </c>
      <c r="F126" s="93">
        <f t="shared" si="26"/>
        <v>720.072</v>
      </c>
      <c r="G126" s="643">
        <f t="shared" si="27"/>
        <v>0.1096</v>
      </c>
      <c r="H126" s="93">
        <f t="shared" si="28"/>
        <v>0.48581560283687941</v>
      </c>
      <c r="I126" s="93">
        <f t="shared" si="29"/>
        <v>0.125</v>
      </c>
      <c r="J126" s="26"/>
      <c r="K126" s="26"/>
      <c r="L126" s="26"/>
      <c r="M126" s="26"/>
      <c r="N126" s="26"/>
      <c r="O126" s="27"/>
      <c r="P126" s="27"/>
      <c r="Q126" s="27"/>
    </row>
    <row r="127" spans="2:17">
      <c r="B127" s="177">
        <v>0.56999999999999995</v>
      </c>
      <c r="C127" s="642" t="s">
        <v>2180</v>
      </c>
      <c r="D127" s="177">
        <v>962</v>
      </c>
      <c r="E127" s="559">
        <v>555</v>
      </c>
      <c r="F127" s="93">
        <f t="shared" si="26"/>
        <v>2139.192</v>
      </c>
      <c r="G127" s="643">
        <f t="shared" si="27"/>
        <v>0.3256</v>
      </c>
      <c r="H127" s="93">
        <f t="shared" si="28"/>
        <v>0.42307692307692307</v>
      </c>
      <c r="I127" s="93">
        <f t="shared" si="29"/>
        <v>0.125</v>
      </c>
      <c r="J127" s="26"/>
      <c r="K127" s="26"/>
      <c r="L127" s="26"/>
      <c r="M127" s="26"/>
      <c r="N127" s="26"/>
      <c r="O127" s="27"/>
      <c r="P127" s="27"/>
      <c r="Q127" s="27"/>
    </row>
    <row r="128" spans="2:17">
      <c r="B128" s="26"/>
      <c r="C128" s="641"/>
      <c r="D128" s="26"/>
      <c r="E128" s="223"/>
      <c r="F128" s="2">
        <f>SUMPRODUCT(F120:F127,$I$120:$I$127)</f>
        <v>636.63300000000004</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D7" xr:uid="{F1519DD2-FB2D-4E40-A828-BA19C2E7F704}">
      <formula1>$N$11:$O$11</formula1>
    </dataValidation>
    <dataValidation type="list" allowBlank="1" showInputMessage="1" showErrorMessage="1" sqref="B11:C20" xr:uid="{69372B68-6C16-4C04-AB24-00542A772A80}">
      <formula1>$N$7:$Q$7</formula1>
    </dataValidation>
    <dataValidation type="list" allowBlank="1" showInputMessage="1" showErrorMessage="1" sqref="D11:D20" xr:uid="{5E2D9D06-AA12-446F-9BFC-B421D6F9843F}">
      <formula1>$N$22:$AE$22</formula1>
    </dataValidation>
    <dataValidation type="list" allowBlank="1" showInputMessage="1" showErrorMessage="1" sqref="E11:E20" xr:uid="{8A7FD006-F3DD-4307-B6A0-00081BBECC85}">
      <formula1>$N$16:$O$16</formula1>
    </dataValidation>
    <dataValidation type="list" allowBlank="1" showInputMessage="1" showErrorMessage="1" sqref="C59:L59" xr:uid="{E1723B2B-95ED-4CB9-A7BF-D8999D2625CB}">
      <formula1>$N$19:$AQ$19</formula1>
    </dataValidation>
  </dataValidations>
  <pageMargins left="0.7" right="0.7" top="0.75" bottom="0.75" header="0.3" footer="0.3"/>
  <pageSetup orientation="portrait" r:id="rId1"/>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79AD-C33B-4734-9A38-5620BD7AABAC}">
  <sheetPr codeName="Sheet17">
    <tabColor indexed="27"/>
  </sheetPr>
  <dimension ref="A1:AQ128"/>
  <sheetViews>
    <sheetView zoomScale="80" zoomScaleNormal="80" workbookViewId="0">
      <selection activeCell="E11" sqref="E11"/>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Compressed Air Improv</v>
      </c>
      <c r="C7" s="98" t="s">
        <v>2431</v>
      </c>
      <c r="D7" s="97" t="s">
        <v>211</v>
      </c>
      <c r="E7" s="97">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Compressed Air Improv_CI, E - Oth (RET)</v>
      </c>
      <c r="J11" s="83" t="str">
        <f t="shared" ref="J11:J20" si="3">IF(B11="","",CONCATENATE($C$7,IF(C11="","",CONCATENATE(" with ",C11," Secondary Fuel"))))</f>
        <v>Commercial Compressed Air Improvements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Compressed Air Improv_CI,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Compressed Air Improv_CI,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Commercial Compressed Air Improvements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Compressed Air Improv_CI,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Commercial Compressed Air Improvements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Compressed Air Improvements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Commercial Compressed Air Improvements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181"/>
      <c r="D114" s="57"/>
      <c r="E114" s="57"/>
    </row>
    <row r="115" spans="2:17">
      <c r="B115" s="57"/>
      <c r="C115" s="181"/>
      <c r="D115" s="57"/>
      <c r="E115" s="57"/>
    </row>
    <row r="116" spans="2:17">
      <c r="B116" s="57"/>
      <c r="C116" s="57"/>
      <c r="D116" s="57"/>
      <c r="E116"/>
    </row>
    <row r="117" spans="2:17">
      <c r="B117" s="57"/>
      <c r="C117" s="57"/>
      <c r="D117" s="57"/>
      <c r="E117"/>
    </row>
    <row r="118" spans="2:17">
      <c r="B118" s="58"/>
      <c r="C118" s="58"/>
      <c r="D118" s="58"/>
      <c r="E118" s="540"/>
    </row>
    <row r="119" spans="2:17">
      <c r="B119" s="215"/>
      <c r="C119" s="215"/>
      <c r="D119" s="215"/>
      <c r="E119" s="215"/>
      <c r="F119" s="94"/>
      <c r="G119" s="94"/>
      <c r="H119" s="94"/>
      <c r="I119" s="94"/>
    </row>
    <row r="120" spans="2:17">
      <c r="B120" s="305"/>
      <c r="C120" s="642"/>
      <c r="D120" s="305"/>
      <c r="E120" s="286"/>
      <c r="F120" s="93"/>
      <c r="G120" s="643"/>
      <c r="H120" s="93"/>
      <c r="I120" s="93"/>
    </row>
    <row r="121" spans="2:17">
      <c r="B121" s="305"/>
      <c r="C121" s="642"/>
      <c r="D121" s="305"/>
      <c r="E121" s="286"/>
      <c r="F121" s="93"/>
      <c r="G121" s="643"/>
      <c r="H121" s="93"/>
      <c r="I121" s="93"/>
    </row>
    <row r="122" spans="2:17">
      <c r="B122" s="305"/>
      <c r="C122" s="642"/>
      <c r="D122" s="305"/>
      <c r="E122" s="286"/>
      <c r="F122" s="93"/>
      <c r="G122" s="643"/>
      <c r="H122" s="93"/>
      <c r="I122" s="93"/>
    </row>
    <row r="123" spans="2:17">
      <c r="B123" s="305"/>
      <c r="C123" s="642"/>
      <c r="D123" s="305"/>
      <c r="E123" s="305"/>
      <c r="F123" s="93"/>
      <c r="G123" s="643"/>
      <c r="H123" s="93"/>
      <c r="I123" s="93"/>
    </row>
    <row r="124" spans="2:17">
      <c r="B124" s="305"/>
      <c r="C124" s="642"/>
      <c r="D124" s="305"/>
      <c r="E124" s="305"/>
      <c r="F124" s="93"/>
      <c r="G124" s="643"/>
      <c r="H124" s="93"/>
      <c r="I124" s="93"/>
    </row>
    <row r="125" spans="2:17">
      <c r="B125" s="305"/>
      <c r="C125" s="642"/>
      <c r="D125" s="215"/>
      <c r="E125" s="215"/>
      <c r="F125" s="93"/>
      <c r="G125" s="643"/>
      <c r="H125" s="93"/>
      <c r="I125" s="93"/>
    </row>
    <row r="126" spans="2:17">
      <c r="B126" s="177"/>
      <c r="C126" s="642"/>
      <c r="D126" s="177"/>
      <c r="E126" s="177"/>
      <c r="F126" s="93"/>
      <c r="G126" s="643"/>
      <c r="H126" s="93"/>
      <c r="I126" s="93"/>
      <c r="J126" s="26"/>
      <c r="K126" s="26"/>
      <c r="L126" s="26"/>
      <c r="M126" s="26"/>
      <c r="N126" s="26"/>
      <c r="O126" s="27"/>
      <c r="P126" s="27"/>
      <c r="Q126" s="27"/>
    </row>
    <row r="127" spans="2:17">
      <c r="B127" s="177"/>
      <c r="C127" s="642"/>
      <c r="D127" s="177"/>
      <c r="E127" s="559"/>
      <c r="F127" s="93"/>
      <c r="G127" s="643"/>
      <c r="H127" s="93"/>
      <c r="I127" s="93"/>
      <c r="J127" s="26"/>
      <c r="K127" s="26"/>
      <c r="L127" s="26"/>
      <c r="M127" s="26"/>
      <c r="N127" s="26"/>
      <c r="O127" s="27"/>
      <c r="P127" s="27"/>
      <c r="Q127" s="27"/>
    </row>
    <row r="128" spans="2:17">
      <c r="B128" s="26"/>
      <c r="C128" s="641"/>
      <c r="D128" s="26"/>
      <c r="E128" s="223"/>
      <c r="F128" s="2"/>
      <c r="G128" s="2"/>
      <c r="H128" s="290"/>
      <c r="I128" s="26"/>
      <c r="J128" s="26"/>
      <c r="K128" s="26"/>
      <c r="L128" s="26"/>
      <c r="M128" s="26"/>
      <c r="N128" s="26"/>
      <c r="O128" s="27"/>
      <c r="P128" s="27"/>
      <c r="Q128" s="27"/>
    </row>
  </sheetData>
  <dataValidations count="5">
    <dataValidation type="list" allowBlank="1" showInputMessage="1" showErrorMessage="1" sqref="C59:L59" xr:uid="{C2769EB6-4FB4-4477-A661-72BF45177927}">
      <formula1>$N$19:$AQ$19</formula1>
    </dataValidation>
    <dataValidation type="list" allowBlank="1" showInputMessage="1" showErrorMessage="1" sqref="E11:E20" xr:uid="{417340F4-2D37-4032-823C-ACF867C8A66F}">
      <formula1>$N$16:$O$16</formula1>
    </dataValidation>
    <dataValidation type="list" allowBlank="1" showInputMessage="1" showErrorMessage="1" sqref="D11:D20" xr:uid="{35047DA6-F0F0-43A3-AA33-A9B8A373C440}">
      <formula1>$N$22:$AE$22</formula1>
    </dataValidation>
    <dataValidation type="list" allowBlank="1" showInputMessage="1" showErrorMessage="1" sqref="B11:C20" xr:uid="{06791C6A-DAFC-4844-8624-D97C5D4B03F9}">
      <formula1>$N$7:$Q$7</formula1>
    </dataValidation>
    <dataValidation type="list" allowBlank="1" showInputMessage="1" showErrorMessage="1" sqref="D7" xr:uid="{4FE659AD-47C5-429F-AE28-3A58431FD47C}">
      <formula1>$N$11:$O$11</formula1>
    </dataValidation>
  </dataValidations>
  <pageMargins left="0.7" right="0.7" top="0.75" bottom="0.75" header="0.3" footer="0.3"/>
  <pageSetup orientation="portrait" r:id="rId1"/>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8BB4-A431-4E57-B4A0-6A1C59E033A5}">
  <sheetPr codeName="Sheet18">
    <tabColor indexed="27"/>
  </sheetPr>
  <dimension ref="A1:AQ135"/>
  <sheetViews>
    <sheetView topLeftCell="A45" zoomScale="80" zoomScaleNormal="80" workbookViewId="0">
      <selection activeCell="D76" sqref="D76:D80"/>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Pool Pumps</v>
      </c>
      <c r="C7" s="98" t="s">
        <v>2355</v>
      </c>
      <c r="D7" s="97" t="s">
        <v>211</v>
      </c>
      <c r="E7" s="97">
        <f>C118</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ES Pool Pumps_CI, E - Oth (MD)</v>
      </c>
      <c r="J11" s="83" t="str">
        <f t="shared" ref="J11:J20" si="3">IF(B11="","",CONCATENATE($C$7,IF(C11="","",CONCATENATE(" with ",C11," Secondary Fuel"))))</f>
        <v>ENERGY STAR Pool Pump</v>
      </c>
      <c r="K11" s="83"/>
      <c r="M11" s="94" t="s">
        <v>123</v>
      </c>
      <c r="N11" s="93" t="s">
        <v>212</v>
      </c>
      <c r="O11" s="93" t="s">
        <v>211</v>
      </c>
    </row>
    <row r="12" spans="1:17">
      <c r="A12" s="1">
        <v>2</v>
      </c>
      <c r="B12" s="97" t="s">
        <v>205</v>
      </c>
      <c r="C12" s="97"/>
      <c r="D12" s="97" t="s">
        <v>166</v>
      </c>
      <c r="E12" s="99" t="s">
        <v>204</v>
      </c>
      <c r="F12" s="99"/>
      <c r="G12" s="83" t="str">
        <f t="shared" si="0"/>
        <v>E</v>
      </c>
      <c r="H12" s="91" t="str">
        <f t="shared" si="1"/>
        <v>Oth</v>
      </c>
      <c r="I12" s="83" t="str">
        <f t="shared" ca="1" si="2"/>
        <v>CI ES Pool Pumps_CI, E - Oth (RET)</v>
      </c>
      <c r="J12" s="83" t="str">
        <f t="shared" si="3"/>
        <v>ENERGY STAR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Pool Pumps_CI, E - Oth (MD)</v>
      </c>
      <c r="D33" s="83" t="str">
        <f t="shared" ca="1" si="5"/>
        <v>CI ES Pool Pumps_CI,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Pool Pumps_CI, E - Oth (MD)</v>
      </c>
      <c r="N33" s="84" t="str">
        <f t="shared" ca="1" si="6"/>
        <v>CI ES Pool Pumps_CI,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Pool Pump</v>
      </c>
      <c r="D34" s="83" t="str">
        <f t="shared" si="8"/>
        <v>ENERGY STAR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ES Pool Pumps_CI, E - Oth (MD)</v>
      </c>
      <c r="D35" s="82" t="str">
        <f ca="1">D33</f>
        <v>CI ES Pool Pumps_CI,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Pool Pump</v>
      </c>
      <c r="D36" s="82" t="str">
        <f>D34</f>
        <v>ENERGY STAR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2356</v>
      </c>
      <c r="D38" s="65" t="s">
        <v>2356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10</v>
      </c>
      <c r="D39" s="83">
        <f t="shared" ref="D39:L39" si="11">IF(VLOOKUP(D$31,$A$11:$K$20,2,FALSE)="","",IF($E$7="","",$E$7))</f>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Pool Pump</v>
      </c>
      <c r="D52" s="66" t="str">
        <f t="shared" si="16"/>
        <v>ENERGY STAR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2366</v>
      </c>
      <c r="D55" s="65" t="s">
        <v>2366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2355</v>
      </c>
      <c r="D56" s="65" t="s">
        <v>2355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1202.8336953628927</v>
      </c>
      <c r="D64" s="67">
        <f>G131</f>
        <v>1202.8336953628927</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0.22943564121610696</v>
      </c>
      <c r="D65" s="67">
        <f>I131</f>
        <v>0.22943564121610696</v>
      </c>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IFERROR(C68/C64,"")</f>
        <v>0</v>
      </c>
      <c r="D69" s="70">
        <f>IFERROR(D68/D64,"")</f>
        <v>0</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Pool Pump</v>
      </c>
      <c r="D71" s="66" t="str">
        <f t="shared" si="21"/>
        <v>ENERGY STAR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f>D78/D64</f>
        <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2357</v>
      </c>
      <c r="E112"/>
    </row>
    <row r="113" spans="2:17">
      <c r="B113" s="57" t="s">
        <v>2172</v>
      </c>
      <c r="C113" s="57" t="s">
        <v>1955</v>
      </c>
      <c r="D113" s="57" t="s">
        <v>2357</v>
      </c>
      <c r="E113"/>
      <c r="G113" s="57"/>
    </row>
    <row r="114" spans="2:17">
      <c r="B114" s="57" t="s">
        <v>2358</v>
      </c>
      <c r="C114" s="1">
        <v>365</v>
      </c>
      <c r="D114" s="57" t="s">
        <v>2353</v>
      </c>
      <c r="E114" s="57"/>
      <c r="G114" s="57"/>
    </row>
    <row r="115" spans="2:17">
      <c r="B115" s="57" t="s">
        <v>2359</v>
      </c>
      <c r="C115" s="1">
        <v>22400</v>
      </c>
      <c r="D115" s="57" t="s">
        <v>2353</v>
      </c>
      <c r="E115" s="57"/>
    </row>
    <row r="116" spans="2:17">
      <c r="B116" s="57" t="s">
        <v>2360</v>
      </c>
      <c r="C116" s="57">
        <v>4</v>
      </c>
      <c r="D116" s="57" t="s">
        <v>2353</v>
      </c>
      <c r="E116"/>
    </row>
    <row r="117" spans="2:17">
      <c r="B117" s="57" t="s">
        <v>438</v>
      </c>
      <c r="C117" s="57"/>
      <c r="D117" s="57"/>
      <c r="E117"/>
    </row>
    <row r="118" spans="2:17">
      <c r="B118" s="57" t="s">
        <v>518</v>
      </c>
      <c r="C118" s="57">
        <v>10</v>
      </c>
      <c r="D118" s="57" t="s">
        <v>2353</v>
      </c>
      <c r="E118"/>
    </row>
    <row r="119" spans="2:17">
      <c r="B119" s="58"/>
      <c r="C119" s="58"/>
      <c r="D119" s="58"/>
      <c r="E119" s="540"/>
    </row>
    <row r="120" spans="2:17">
      <c r="B120" s="215" t="s">
        <v>2361</v>
      </c>
      <c r="C120" s="215" t="s">
        <v>510</v>
      </c>
      <c r="D120" s="215" t="s">
        <v>2171</v>
      </c>
      <c r="E120" s="215" t="s">
        <v>2364</v>
      </c>
      <c r="F120" s="215" t="s">
        <v>487</v>
      </c>
      <c r="G120" s="215" t="s">
        <v>500</v>
      </c>
      <c r="H120" s="215" t="s">
        <v>499</v>
      </c>
      <c r="I120" s="215" t="s">
        <v>2007</v>
      </c>
      <c r="J120" s="215" t="s">
        <v>438</v>
      </c>
      <c r="K120" s="215" t="s">
        <v>498</v>
      </c>
      <c r="L120" s="215" t="s">
        <v>497</v>
      </c>
    </row>
    <row r="121" spans="2:17">
      <c r="B121" s="305" t="s">
        <v>2362</v>
      </c>
      <c r="C121" s="305">
        <v>0.72</v>
      </c>
      <c r="D121" s="659">
        <f>(-2.3*LN(C121))+6.59</f>
        <v>7.3455593540356832</v>
      </c>
      <c r="E121" s="305" t="s">
        <v>2365</v>
      </c>
      <c r="F121" s="305">
        <v>8.6999999999999993</v>
      </c>
      <c r="G121" s="640">
        <f>$C$114*$C$115*$C$116*((1/D121)-(1/F121))/1000</f>
        <v>693.13324156391252</v>
      </c>
      <c r="H121" s="305"/>
      <c r="I121" s="305">
        <f>G121/($C$114*$C$115*$C$116*(1/D121)/1000)</f>
        <v>0.15568283286946161</v>
      </c>
      <c r="J121" s="305"/>
      <c r="K121" s="305"/>
      <c r="L121" s="305">
        <f>1/COUNT($C$121:$C$130)</f>
        <v>0.1</v>
      </c>
    </row>
    <row r="122" spans="2:17">
      <c r="B122" s="305" t="s">
        <v>2362</v>
      </c>
      <c r="C122" s="305">
        <v>0.95</v>
      </c>
      <c r="D122" s="659">
        <f t="shared" ref="D122:D130" si="26">(-2.3*LN(C122))+6.59</f>
        <v>6.7079745770913659</v>
      </c>
      <c r="E122" s="305">
        <v>1.65</v>
      </c>
      <c r="F122" s="305">
        <v>8.9</v>
      </c>
      <c r="G122" s="640">
        <f t="shared" ref="G122:G130" si="27">$C$114*$C$115*$C$116*((1/D122)-(1/F122))/1000</f>
        <v>1200.7844251866841</v>
      </c>
      <c r="H122" s="305"/>
      <c r="I122" s="305">
        <f t="shared" ref="I122:I130" si="28">G122/($C$114*$C$115*$C$116*(1/D122)/1000)</f>
        <v>0.24629499133804872</v>
      </c>
      <c r="J122" s="305"/>
      <c r="K122" s="305"/>
      <c r="L122" s="305">
        <f t="shared" ref="L122:L130" si="29">1/COUNT($C$121:$C$130)</f>
        <v>0.1</v>
      </c>
    </row>
    <row r="123" spans="2:17">
      <c r="B123" s="305" t="s">
        <v>2362</v>
      </c>
      <c r="C123" s="305">
        <v>1.18</v>
      </c>
      <c r="D123" s="659">
        <f t="shared" si="26"/>
        <v>6.209316791501581</v>
      </c>
      <c r="E123" s="305">
        <v>2</v>
      </c>
      <c r="F123" s="305">
        <v>9.3000000000000007</v>
      </c>
      <c r="G123" s="640">
        <f t="shared" si="27"/>
        <v>1750.364919358007</v>
      </c>
      <c r="H123" s="305"/>
      <c r="I123" s="305">
        <f t="shared" si="28"/>
        <v>0.3323315277955291</v>
      </c>
      <c r="J123" s="305"/>
      <c r="K123" s="305"/>
      <c r="L123" s="305">
        <f t="shared" si="29"/>
        <v>0.1</v>
      </c>
    </row>
    <row r="124" spans="2:17">
      <c r="B124" s="305" t="s">
        <v>2362</v>
      </c>
      <c r="C124" s="305">
        <v>1.25</v>
      </c>
      <c r="D124" s="659">
        <f t="shared" si="26"/>
        <v>6.0767698319773178</v>
      </c>
      <c r="E124" s="305">
        <v>2.5</v>
      </c>
      <c r="F124" s="305">
        <v>7.4</v>
      </c>
      <c r="G124" s="640">
        <f t="shared" si="27"/>
        <v>962.34714244674763</v>
      </c>
      <c r="H124" s="305"/>
      <c r="I124" s="305">
        <f t="shared" si="28"/>
        <v>0.1788148875706328</v>
      </c>
      <c r="J124" s="305"/>
      <c r="K124" s="305"/>
      <c r="L124" s="305">
        <f t="shared" si="29"/>
        <v>0.1</v>
      </c>
    </row>
    <row r="125" spans="2:17">
      <c r="B125" s="305" t="s">
        <v>2362</v>
      </c>
      <c r="C125" s="305">
        <v>1.65</v>
      </c>
      <c r="D125" s="659">
        <f t="shared" si="26"/>
        <v>5.4382168378012752</v>
      </c>
      <c r="E125" s="305">
        <v>3</v>
      </c>
      <c r="F125" s="305">
        <v>7.1</v>
      </c>
      <c r="G125" s="640">
        <f t="shared" si="27"/>
        <v>1407.5387482591123</v>
      </c>
      <c r="H125" s="305"/>
      <c r="I125" s="305">
        <f t="shared" si="28"/>
        <v>0.23405396650686258</v>
      </c>
      <c r="J125" s="305"/>
      <c r="K125" s="305"/>
      <c r="L125" s="305">
        <f t="shared" si="29"/>
        <v>0.1</v>
      </c>
    </row>
    <row r="126" spans="2:17">
      <c r="B126" s="305" t="s">
        <v>2363</v>
      </c>
      <c r="C126" s="305">
        <v>0.72</v>
      </c>
      <c r="D126" s="659">
        <f t="shared" si="26"/>
        <v>7.3455593540356832</v>
      </c>
      <c r="E126" s="305" t="s">
        <v>2365</v>
      </c>
      <c r="F126" s="305">
        <v>8.6999999999999993</v>
      </c>
      <c r="G126" s="640">
        <f t="shared" si="27"/>
        <v>693.13324156391252</v>
      </c>
      <c r="H126" s="305"/>
      <c r="I126" s="305">
        <f t="shared" si="28"/>
        <v>0.15568283286946161</v>
      </c>
      <c r="J126" s="305"/>
      <c r="K126" s="305"/>
      <c r="L126" s="305">
        <f t="shared" si="29"/>
        <v>0.1</v>
      </c>
    </row>
    <row r="127" spans="2:17">
      <c r="B127" s="305" t="s">
        <v>2363</v>
      </c>
      <c r="C127" s="305">
        <v>0.95</v>
      </c>
      <c r="D127" s="659">
        <f t="shared" si="26"/>
        <v>6.7079745770913659</v>
      </c>
      <c r="E127" s="305">
        <v>1.65</v>
      </c>
      <c r="F127" s="305">
        <v>8.9</v>
      </c>
      <c r="G127" s="640">
        <f t="shared" si="27"/>
        <v>1200.7844251866841</v>
      </c>
      <c r="H127" s="305"/>
      <c r="I127" s="305">
        <f t="shared" si="28"/>
        <v>0.24629499133804872</v>
      </c>
      <c r="J127" s="305"/>
      <c r="K127" s="305"/>
      <c r="L127" s="305">
        <f t="shared" si="29"/>
        <v>0.1</v>
      </c>
      <c r="M127" s="26"/>
      <c r="N127" s="26"/>
      <c r="O127" s="27"/>
      <c r="P127" s="27"/>
      <c r="Q127" s="27"/>
    </row>
    <row r="128" spans="2:17">
      <c r="B128" s="305" t="s">
        <v>2363</v>
      </c>
      <c r="C128" s="305">
        <v>1.18</v>
      </c>
      <c r="D128" s="659">
        <f t="shared" si="26"/>
        <v>6.209316791501581</v>
      </c>
      <c r="E128" s="305">
        <v>2</v>
      </c>
      <c r="F128" s="305">
        <v>9.3000000000000007</v>
      </c>
      <c r="G128" s="640">
        <f t="shared" si="27"/>
        <v>1750.364919358007</v>
      </c>
      <c r="H128" s="305"/>
      <c r="I128" s="305">
        <f t="shared" si="28"/>
        <v>0.3323315277955291</v>
      </c>
      <c r="J128" s="305"/>
      <c r="K128" s="305"/>
      <c r="L128" s="305">
        <f t="shared" si="29"/>
        <v>0.1</v>
      </c>
      <c r="M128" s="26"/>
      <c r="N128" s="26"/>
      <c r="O128" s="27"/>
      <c r="P128" s="27"/>
      <c r="Q128" s="27"/>
    </row>
    <row r="129" spans="2:17">
      <c r="B129" s="305" t="s">
        <v>2363</v>
      </c>
      <c r="C129" s="305">
        <v>1.25</v>
      </c>
      <c r="D129" s="659">
        <f t="shared" si="26"/>
        <v>6.0767698319773178</v>
      </c>
      <c r="E129" s="305">
        <v>2.5</v>
      </c>
      <c r="F129" s="305">
        <v>7.4</v>
      </c>
      <c r="G129" s="640">
        <f t="shared" si="27"/>
        <v>962.34714244674763</v>
      </c>
      <c r="H129" s="305"/>
      <c r="I129" s="305">
        <f t="shared" si="28"/>
        <v>0.1788148875706328</v>
      </c>
      <c r="J129" s="305"/>
      <c r="K129" s="305"/>
      <c r="L129" s="305">
        <f t="shared" si="29"/>
        <v>0.1</v>
      </c>
      <c r="M129" s="26"/>
      <c r="N129" s="26"/>
      <c r="O129" s="27"/>
      <c r="P129" s="27"/>
      <c r="Q129" s="27"/>
    </row>
    <row r="130" spans="2:17">
      <c r="B130" s="305" t="s">
        <v>2363</v>
      </c>
      <c r="C130" s="305">
        <v>1.65</v>
      </c>
      <c r="D130" s="659">
        <f t="shared" si="26"/>
        <v>5.4382168378012752</v>
      </c>
      <c r="E130" s="305">
        <v>3</v>
      </c>
      <c r="F130" s="305">
        <v>7.1</v>
      </c>
      <c r="G130" s="640">
        <f t="shared" si="27"/>
        <v>1407.5387482591123</v>
      </c>
      <c r="H130" s="305"/>
      <c r="I130" s="305">
        <f t="shared" si="28"/>
        <v>0.23405396650686258</v>
      </c>
      <c r="J130" s="305"/>
      <c r="K130" s="305"/>
      <c r="L130" s="305">
        <f t="shared" si="29"/>
        <v>0.1</v>
      </c>
    </row>
    <row r="131" spans="2:17">
      <c r="C131" s="57"/>
      <c r="G131" s="1">
        <f>SUMPRODUCT(G121:G130,$L$121:$L$130)</f>
        <v>1202.8336953628927</v>
      </c>
      <c r="H131" s="1">
        <f>SUMPRODUCT(H121:H130,$L$121:$L$130)</f>
        <v>0</v>
      </c>
      <c r="I131" s="1">
        <f>SUMPRODUCT(I121:I130,$L$121:$L$130)</f>
        <v>0.22943564121610696</v>
      </c>
      <c r="J131" s="1">
        <f>SUMPRODUCT(J121:J130,$L$121:$L$130)</f>
        <v>0</v>
      </c>
      <c r="K131" s="1">
        <f>SUMPRODUCT(K121:K130,$L$121:$L$130)</f>
        <v>0</v>
      </c>
    </row>
    <row r="132" spans="2:17">
      <c r="C132" s="57"/>
    </row>
    <row r="133" spans="2:17">
      <c r="C133" s="57"/>
    </row>
    <row r="134" spans="2:17">
      <c r="C134" s="57"/>
    </row>
    <row r="135" spans="2:17">
      <c r="C135" s="57"/>
    </row>
  </sheetData>
  <dataValidations count="5">
    <dataValidation type="list" allowBlank="1" showInputMessage="1" showErrorMessage="1" sqref="C59:L59" xr:uid="{93CDAEAA-7D09-4C6E-9222-E285BE89A52B}">
      <formula1>$N$19:$AQ$19</formula1>
    </dataValidation>
    <dataValidation type="list" allowBlank="1" showInputMessage="1" showErrorMessage="1" sqref="E11:E20" xr:uid="{9D664B2D-CBCB-4524-AD59-5D8503438AAA}">
      <formula1>$N$16:$O$16</formula1>
    </dataValidation>
    <dataValidation type="list" allowBlank="1" showInputMessage="1" showErrorMessage="1" sqref="D11:D20" xr:uid="{57092B8F-8A48-4C41-B6F8-07719E090787}">
      <formula1>$N$22:$AE$22</formula1>
    </dataValidation>
    <dataValidation type="list" allowBlank="1" showInputMessage="1" showErrorMessage="1" sqref="B11:C20" xr:uid="{E9F674BA-A965-486F-BF70-6532109A3F9A}">
      <formula1>$N$7:$Q$7</formula1>
    </dataValidation>
    <dataValidation type="list" allowBlank="1" showInputMessage="1" showErrorMessage="1" sqref="D7" xr:uid="{680C7F82-AB46-4552-91FD-2CA5B5805766}">
      <formula1>$N$11:$O$11</formula1>
    </dataValidation>
  </dataValidations>
  <pageMargins left="0.7" right="0.7" top="0.75" bottom="0.75" header="0.3" footer="0.3"/>
  <pageSetup orientation="portrait"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79A8-0FD0-4B10-9DF2-EFEFDFFB89BE}">
  <sheetPr codeName="Sheet19">
    <tabColor indexed="27"/>
  </sheetPr>
  <dimension ref="A1:AQ135"/>
  <sheetViews>
    <sheetView zoomScale="80" zoomScaleNormal="80" workbookViewId="0">
      <selection activeCell="D54" sqref="D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HP Pool Heater</v>
      </c>
      <c r="C7" s="98" t="s">
        <v>2369</v>
      </c>
      <c r="D7" s="97" t="s">
        <v>211</v>
      </c>
      <c r="E7" s="97">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HP Pool Heater_CI, E - Oth (MD)</v>
      </c>
      <c r="J11" s="83" t="str">
        <f t="shared" ref="J11:J20" si="3">IF(B11="","",CONCATENATE($C$7,IF(C11="","",CONCATENATE(" with ",C11," Secondary Fuel"))))</f>
        <v>Heat Pump Pool Heater</v>
      </c>
      <c r="K11" s="83"/>
      <c r="M11" s="94" t="s">
        <v>123</v>
      </c>
      <c r="N11" s="93" t="s">
        <v>212</v>
      </c>
      <c r="O11" s="93" t="s">
        <v>211</v>
      </c>
    </row>
    <row r="12" spans="1:17">
      <c r="A12" s="1">
        <v>2</v>
      </c>
      <c r="B12" s="97" t="s">
        <v>205</v>
      </c>
      <c r="C12" s="97"/>
      <c r="D12" s="97" t="s">
        <v>166</v>
      </c>
      <c r="E12" s="99" t="s">
        <v>204</v>
      </c>
      <c r="F12" s="99"/>
      <c r="G12" s="83" t="str">
        <f t="shared" si="0"/>
        <v>E</v>
      </c>
      <c r="H12" s="91" t="str">
        <f t="shared" si="1"/>
        <v>Oth</v>
      </c>
      <c r="I12" s="83" t="str">
        <f t="shared" ca="1" si="2"/>
        <v>CI HP Pool Heater_CI, E - Oth (RET)</v>
      </c>
      <c r="J12" s="83" t="str">
        <f t="shared" si="3"/>
        <v>Heat Pump Pool Heater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HP Pool Heater_CI, E - Oth (MD)</v>
      </c>
      <c r="D33" s="83" t="str">
        <f t="shared" ca="1" si="5"/>
        <v>CI HP Pool Heater_CI,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 Pool Heater_CI, E - Oth (MD)</v>
      </c>
      <c r="N33" s="84" t="str">
        <f t="shared" ca="1" si="6"/>
        <v>CI HP Pool Heater_CI,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Heat Pump Pool Heater</v>
      </c>
      <c r="D34" s="83" t="str">
        <f t="shared" si="8"/>
        <v>Heat Pump Pool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HP Pool Heater_CI, E - Oth (MD)</v>
      </c>
      <c r="D35" s="82" t="str">
        <f ca="1">D33</f>
        <v>CI HP Pool Heater_CI,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Heat Pump Pool Heater</v>
      </c>
      <c r="D36" s="82" t="str">
        <f>D34</f>
        <v>Heat Pump Pool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2367</v>
      </c>
      <c r="D38" s="65" t="s">
        <v>2367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15</v>
      </c>
      <c r="D39" s="83">
        <f t="shared" ref="D39:L39" si="11">IF(VLOOKUP(D$31,$A$11:$K$20,2,FALSE)="","",IF($E$7="","",$E$7))</f>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Heat Pump Pool Heater</v>
      </c>
      <c r="D52" s="66" t="str">
        <f t="shared" si="16"/>
        <v>Heat Pump Pool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2368</v>
      </c>
      <c r="D55" s="65" t="s">
        <v>2368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2369</v>
      </c>
      <c r="D56" s="65" t="s">
        <v>2369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0</v>
      </c>
      <c r="D64" s="67">
        <f>G131</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v>
      </c>
      <c r="D65" s="67">
        <f>I131</f>
        <v>0</v>
      </c>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str">
        <f>IFERROR(C68/C64,"")</f>
        <v/>
      </c>
      <c r="D69" s="70" t="str">
        <f>IFERROR(D68/D64,"")</f>
        <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Heat Pump Pool Heater</v>
      </c>
      <c r="D71" s="66" t="str">
        <f t="shared" si="21"/>
        <v>Heat Pump Pool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t="e">
        <f>D78/D64</f>
        <v>#DIV/0!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c r="C112" s="57"/>
      <c r="D112" s="57"/>
      <c r="E112"/>
    </row>
    <row r="113" spans="2:17">
      <c r="B113" s="57"/>
      <c r="C113" s="57"/>
      <c r="D113" s="57"/>
      <c r="E113"/>
      <c r="G113" s="57"/>
    </row>
    <row r="114" spans="2:17">
      <c r="B114" s="57"/>
      <c r="D114" s="57"/>
      <c r="E114" s="57"/>
      <c r="G114" s="57"/>
    </row>
    <row r="115" spans="2:17">
      <c r="B115" s="57"/>
      <c r="D115" s="57"/>
      <c r="E115" s="57"/>
    </row>
    <row r="116" spans="2:17">
      <c r="B116" s="57"/>
      <c r="C116" s="57"/>
      <c r="D116" s="57"/>
      <c r="E116"/>
    </row>
    <row r="117" spans="2:17">
      <c r="B117" s="57"/>
      <c r="C117" s="57"/>
      <c r="D117" s="57"/>
      <c r="E117"/>
    </row>
    <row r="118" spans="2:17">
      <c r="B118" s="57"/>
      <c r="C118" s="57"/>
      <c r="D118" s="57"/>
      <c r="E118"/>
    </row>
    <row r="119" spans="2:17">
      <c r="B119" s="58"/>
      <c r="C119" s="58"/>
      <c r="D119" s="58"/>
      <c r="E119" s="540"/>
    </row>
    <row r="120" spans="2:17">
      <c r="B120" s="215"/>
      <c r="C120" s="215"/>
      <c r="D120" s="215"/>
      <c r="E120" s="215"/>
      <c r="F120" s="215"/>
      <c r="G120" s="215"/>
      <c r="H120" s="215"/>
      <c r="I120" s="215"/>
      <c r="J120" s="215"/>
      <c r="K120" s="215"/>
      <c r="L120" s="215"/>
    </row>
    <row r="121" spans="2:17">
      <c r="B121" s="305"/>
      <c r="C121" s="305"/>
      <c r="D121" s="659"/>
      <c r="E121" s="305"/>
      <c r="F121" s="305"/>
      <c r="G121" s="640"/>
      <c r="H121" s="305"/>
      <c r="I121" s="305"/>
      <c r="J121" s="305"/>
      <c r="K121" s="305"/>
      <c r="L121" s="305"/>
    </row>
    <row r="122" spans="2:17">
      <c r="B122" s="305"/>
      <c r="C122" s="305"/>
      <c r="D122" s="659"/>
      <c r="E122" s="305"/>
      <c r="F122" s="305"/>
      <c r="G122" s="640"/>
      <c r="H122" s="305"/>
      <c r="I122" s="305"/>
      <c r="J122" s="305"/>
      <c r="K122" s="305"/>
      <c r="L122" s="305"/>
    </row>
    <row r="123" spans="2:17">
      <c r="B123" s="305"/>
      <c r="C123" s="305"/>
      <c r="D123" s="659"/>
      <c r="E123" s="305"/>
      <c r="F123" s="305"/>
      <c r="G123" s="640"/>
      <c r="H123" s="305"/>
      <c r="I123" s="305"/>
      <c r="J123" s="305"/>
      <c r="K123" s="305"/>
      <c r="L123" s="305"/>
    </row>
    <row r="124" spans="2:17">
      <c r="B124" s="305"/>
      <c r="C124" s="305"/>
      <c r="D124" s="659"/>
      <c r="E124" s="305"/>
      <c r="F124" s="305"/>
      <c r="G124" s="640"/>
      <c r="H124" s="305"/>
      <c r="I124" s="305"/>
      <c r="J124" s="305"/>
      <c r="K124" s="305"/>
      <c r="L124" s="305"/>
    </row>
    <row r="125" spans="2:17">
      <c r="B125" s="305"/>
      <c r="C125" s="305"/>
      <c r="D125" s="659"/>
      <c r="E125" s="305"/>
      <c r="F125" s="305"/>
      <c r="G125" s="640"/>
      <c r="H125" s="305"/>
      <c r="I125" s="305"/>
      <c r="J125" s="305"/>
      <c r="K125" s="305"/>
      <c r="L125" s="305"/>
    </row>
    <row r="126" spans="2:17">
      <c r="B126" s="305"/>
      <c r="C126" s="305"/>
      <c r="D126" s="659"/>
      <c r="E126" s="305"/>
      <c r="F126" s="305"/>
      <c r="G126" s="640"/>
      <c r="H126" s="305"/>
      <c r="I126" s="305"/>
      <c r="J126" s="305"/>
      <c r="K126" s="305"/>
      <c r="L126" s="305"/>
    </row>
    <row r="127" spans="2:17">
      <c r="B127" s="305"/>
      <c r="C127" s="305"/>
      <c r="D127" s="659"/>
      <c r="E127" s="305"/>
      <c r="F127" s="305"/>
      <c r="G127" s="640"/>
      <c r="H127" s="305"/>
      <c r="I127" s="305"/>
      <c r="J127" s="305"/>
      <c r="K127" s="305"/>
      <c r="L127" s="305"/>
      <c r="M127" s="26"/>
      <c r="N127" s="26"/>
      <c r="O127" s="27"/>
      <c r="P127" s="27"/>
      <c r="Q127" s="27"/>
    </row>
    <row r="128" spans="2:17">
      <c r="B128" s="305"/>
      <c r="C128" s="305"/>
      <c r="D128" s="659"/>
      <c r="E128" s="305"/>
      <c r="F128" s="305"/>
      <c r="G128" s="640"/>
      <c r="H128" s="305"/>
      <c r="I128" s="305"/>
      <c r="J128" s="305"/>
      <c r="K128" s="305"/>
      <c r="L128" s="305"/>
      <c r="M128" s="26"/>
      <c r="N128" s="26"/>
      <c r="O128" s="27"/>
      <c r="P128" s="27"/>
      <c r="Q128" s="27"/>
    </row>
    <row r="129" spans="2:17">
      <c r="B129" s="305"/>
      <c r="C129" s="305"/>
      <c r="D129" s="659"/>
      <c r="E129" s="305"/>
      <c r="F129" s="305"/>
      <c r="G129" s="640"/>
      <c r="H129" s="305"/>
      <c r="I129" s="305"/>
      <c r="J129" s="305"/>
      <c r="K129" s="305"/>
      <c r="L129" s="305"/>
      <c r="M129" s="26"/>
      <c r="N129" s="26"/>
      <c r="O129" s="27"/>
      <c r="P129" s="27"/>
      <c r="Q129" s="27"/>
    </row>
    <row r="130" spans="2:17">
      <c r="B130" s="305"/>
      <c r="C130" s="305"/>
      <c r="D130" s="659"/>
      <c r="E130" s="305"/>
      <c r="F130" s="305"/>
      <c r="G130" s="640"/>
      <c r="H130" s="305"/>
      <c r="I130" s="305"/>
      <c r="J130" s="305"/>
      <c r="K130" s="305"/>
      <c r="L130" s="305"/>
    </row>
    <row r="131" spans="2:17">
      <c r="C131" s="57"/>
    </row>
    <row r="132" spans="2:17">
      <c r="C132" s="57"/>
    </row>
    <row r="133" spans="2:17">
      <c r="C133" s="57"/>
    </row>
    <row r="134" spans="2:17">
      <c r="C134" s="57"/>
    </row>
    <row r="135" spans="2:17">
      <c r="C135" s="57"/>
    </row>
  </sheetData>
  <dataValidations count="5">
    <dataValidation type="list" allowBlank="1" showInputMessage="1" showErrorMessage="1" sqref="D7" xr:uid="{6A9BE57A-B178-4234-A0BA-B65495F7BB09}">
      <formula1>$N$11:$O$11</formula1>
    </dataValidation>
    <dataValidation type="list" allowBlank="1" showInputMessage="1" showErrorMessage="1" sqref="B11:C20" xr:uid="{8536CF50-E827-44AC-852B-B5729E8382D6}">
      <formula1>$N$7:$Q$7</formula1>
    </dataValidation>
    <dataValidation type="list" allowBlank="1" showInputMessage="1" showErrorMessage="1" sqref="D11:D20" xr:uid="{204091C1-4534-459E-9BD5-B40A87DC53BC}">
      <formula1>$N$22:$AE$22</formula1>
    </dataValidation>
    <dataValidation type="list" allowBlank="1" showInputMessage="1" showErrorMessage="1" sqref="E11:E20" xr:uid="{AD9EF233-5860-4019-B318-4087F0987D2F}">
      <formula1>$N$16:$O$16</formula1>
    </dataValidation>
    <dataValidation type="list" allowBlank="1" showInputMessage="1" showErrorMessage="1" sqref="C59:L59" xr:uid="{0470EBEE-9C1A-4619-A4B4-9EADC2EE398B}">
      <formula1>$N$19:$AQ$19</formula1>
    </dataValidation>
  </dataValidations>
  <pageMargins left="0.7" right="0.7" top="0.75" bottom="0.75" header="0.3" footer="0.3"/>
  <pageSetup orientation="portrait" r:id="rId1"/>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F530-C837-48BE-87AD-69CE99BAAF17}">
  <sheetPr codeName="Sheet21">
    <tabColor indexed="27"/>
  </sheetPr>
  <dimension ref="A1:AQ135"/>
  <sheetViews>
    <sheetView topLeftCell="A99" zoomScale="80" zoomScaleNormal="80" workbookViewId="0">
      <selection activeCell="G142" sqref="G142"/>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Imprvoed Vertical Lift Eff</v>
      </c>
      <c r="C7" s="98" t="s">
        <v>2432</v>
      </c>
      <c r="D7" s="97" t="s">
        <v>211</v>
      </c>
      <c r="E7" s="97">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Imprvoed Vertical Lift Eff_CI, E - Oth (RET)</v>
      </c>
      <c r="J11" s="83" t="str">
        <f t="shared" ref="J11:J20" si="3">IF(B11="","",CONCATENATE($C$7,IF(C11="","",CONCATENATE(" with ",C11," Secondary Fuel"))))</f>
        <v>Imprvoed Vertical Lift Efficiency</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Imprvoed Vertical Lift Eff_CI,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Imprvoed Vertical Lift Eff_CI,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Imprvoed Vertical Lift Efficiency</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Imprvoed Vertical Lift Eff_CI,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Imprvoed Vertical Lift Efficiency</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Imprvoed Vertical Lift Efficiency</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str">
        <f>IFERROR(C68/C64,"")</f>
        <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Imprvoed Vertical Lift Efficiency</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15</v>
      </c>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10</v>
      </c>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t="e">
        <f>D78/D64</f>
        <v>#DIV/0!</v>
      </c>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c r="C112" s="57"/>
      <c r="D112" s="57"/>
      <c r="E112"/>
    </row>
    <row r="113" spans="2:17">
      <c r="B113" s="57"/>
      <c r="C113" s="57"/>
      <c r="D113" s="57"/>
      <c r="E113"/>
      <c r="G113" s="57"/>
    </row>
    <row r="114" spans="2:17">
      <c r="B114" s="57"/>
      <c r="D114" s="57"/>
      <c r="E114" s="57"/>
      <c r="G114" s="57"/>
    </row>
    <row r="115" spans="2:17">
      <c r="B115" s="57"/>
      <c r="D115" s="57"/>
      <c r="E115" s="57"/>
    </row>
    <row r="116" spans="2:17">
      <c r="B116" s="57"/>
      <c r="C116" s="57"/>
      <c r="D116" s="57"/>
      <c r="E116"/>
    </row>
    <row r="117" spans="2:17">
      <c r="B117" s="57"/>
      <c r="C117" s="57"/>
      <c r="D117" s="57"/>
      <c r="E117"/>
    </row>
    <row r="118" spans="2:17">
      <c r="B118" s="57"/>
      <c r="C118" s="57"/>
      <c r="D118" s="57"/>
      <c r="E118"/>
    </row>
    <row r="119" spans="2:17">
      <c r="B119" s="58"/>
      <c r="C119" s="58"/>
      <c r="D119" s="58"/>
      <c r="E119" s="540"/>
    </row>
    <row r="120" spans="2:17">
      <c r="B120" s="215"/>
      <c r="C120" s="215"/>
      <c r="D120" s="215"/>
      <c r="E120" s="215"/>
      <c r="F120" s="215"/>
      <c r="G120" s="215"/>
      <c r="H120" s="215"/>
      <c r="I120" s="215"/>
      <c r="J120" s="215"/>
      <c r="K120" s="215"/>
      <c r="L120" s="215"/>
    </row>
    <row r="121" spans="2:17">
      <c r="B121" s="305"/>
      <c r="C121" s="305"/>
      <c r="D121" s="659"/>
      <c r="E121" s="305"/>
      <c r="F121" s="305"/>
      <c r="G121" s="640"/>
      <c r="H121" s="305"/>
      <c r="I121" s="305"/>
      <c r="J121" s="305"/>
      <c r="K121" s="305"/>
      <c r="L121" s="305"/>
    </row>
    <row r="122" spans="2:17">
      <c r="B122" s="305"/>
      <c r="C122" s="305"/>
      <c r="D122" s="659"/>
      <c r="E122" s="305"/>
      <c r="F122" s="305"/>
      <c r="G122" s="640"/>
      <c r="H122" s="305"/>
      <c r="I122" s="305"/>
      <c r="J122" s="305"/>
      <c r="K122" s="305"/>
      <c r="L122" s="305"/>
    </row>
    <row r="123" spans="2:17">
      <c r="B123" s="305"/>
      <c r="C123" s="305"/>
      <c r="D123" s="659"/>
      <c r="E123" s="305"/>
      <c r="F123" s="305"/>
      <c r="G123" s="640"/>
      <c r="H123" s="305"/>
      <c r="I123" s="305"/>
      <c r="J123" s="305"/>
      <c r="K123" s="305"/>
      <c r="L123" s="305"/>
    </row>
    <row r="124" spans="2:17">
      <c r="B124" s="305"/>
      <c r="C124" s="305"/>
      <c r="D124" s="659"/>
      <c r="E124" s="305"/>
      <c r="F124" s="305"/>
      <c r="G124" s="640"/>
      <c r="H124" s="305"/>
      <c r="I124" s="305"/>
      <c r="J124" s="305"/>
      <c r="K124" s="305"/>
      <c r="L124" s="305"/>
    </row>
    <row r="125" spans="2:17">
      <c r="B125" s="305"/>
      <c r="C125" s="305"/>
      <c r="D125" s="659"/>
      <c r="E125" s="305"/>
      <c r="F125" s="305"/>
      <c r="G125" s="640"/>
      <c r="H125" s="305"/>
      <c r="I125" s="305"/>
      <c r="J125" s="305"/>
      <c r="K125" s="305"/>
      <c r="L125" s="305"/>
    </row>
    <row r="126" spans="2:17">
      <c r="B126" s="305"/>
      <c r="C126" s="305"/>
      <c r="D126" s="659"/>
      <c r="E126" s="305"/>
      <c r="F126" s="305"/>
      <c r="G126" s="640"/>
      <c r="H126" s="305"/>
      <c r="I126" s="305"/>
      <c r="J126" s="305"/>
      <c r="K126" s="305"/>
      <c r="L126" s="305"/>
    </row>
    <row r="127" spans="2:17">
      <c r="B127" s="305"/>
      <c r="C127" s="305"/>
      <c r="D127" s="659"/>
      <c r="E127" s="305"/>
      <c r="F127" s="305"/>
      <c r="G127" s="640"/>
      <c r="H127" s="305"/>
      <c r="I127" s="305"/>
      <c r="J127" s="305"/>
      <c r="K127" s="305"/>
      <c r="L127" s="305"/>
      <c r="M127" s="26"/>
      <c r="N127" s="26"/>
      <c r="O127" s="27"/>
      <c r="P127" s="27"/>
      <c r="Q127" s="27"/>
    </row>
    <row r="128" spans="2:17">
      <c r="B128" s="305"/>
      <c r="C128" s="305"/>
      <c r="D128" s="659"/>
      <c r="E128" s="305"/>
      <c r="F128" s="305"/>
      <c r="G128" s="640"/>
      <c r="H128" s="305"/>
      <c r="I128" s="305"/>
      <c r="J128" s="305"/>
      <c r="K128" s="305"/>
      <c r="L128" s="305"/>
      <c r="M128" s="26"/>
      <c r="N128" s="26"/>
      <c r="O128" s="27"/>
      <c r="P128" s="27"/>
      <c r="Q128" s="27"/>
    </row>
    <row r="129" spans="2:17">
      <c r="B129" s="305"/>
      <c r="C129" s="305"/>
      <c r="D129" s="659"/>
      <c r="E129" s="305"/>
      <c r="F129" s="305"/>
      <c r="G129" s="640"/>
      <c r="H129" s="305"/>
      <c r="I129" s="305"/>
      <c r="J129" s="305"/>
      <c r="K129" s="305"/>
      <c r="L129" s="305"/>
      <c r="M129" s="26"/>
      <c r="N129" s="26"/>
      <c r="O129" s="27"/>
      <c r="P129" s="27"/>
      <c r="Q129" s="27"/>
    </row>
    <row r="130" spans="2:17">
      <c r="B130" s="305"/>
      <c r="C130" s="305"/>
      <c r="D130" s="659"/>
      <c r="E130" s="305"/>
      <c r="F130" s="305"/>
      <c r="G130" s="640"/>
      <c r="H130" s="305"/>
      <c r="I130" s="305"/>
      <c r="J130" s="305"/>
      <c r="K130" s="305"/>
      <c r="L130" s="305"/>
    </row>
    <row r="131" spans="2:17">
      <c r="C131" s="57"/>
    </row>
    <row r="132" spans="2:17">
      <c r="C132" s="57"/>
    </row>
    <row r="133" spans="2:17">
      <c r="C133" s="57"/>
    </row>
    <row r="134" spans="2:17">
      <c r="C134" s="57"/>
    </row>
    <row r="135" spans="2:17">
      <c r="C135" s="57"/>
    </row>
  </sheetData>
  <dataValidations count="5">
    <dataValidation type="list" allowBlank="1" showInputMessage="1" showErrorMessage="1" sqref="C59:L59" xr:uid="{E7BF048A-EEF4-4C87-8065-89A77DDC7154}">
      <formula1>$N$19:$AQ$19</formula1>
    </dataValidation>
    <dataValidation type="list" allowBlank="1" showInputMessage="1" showErrorMessage="1" sqref="E11:E20" xr:uid="{191D7926-2EEA-4E0D-8344-6DF69AAFC02E}">
      <formula1>$N$16:$O$16</formula1>
    </dataValidation>
    <dataValidation type="list" allowBlank="1" showInputMessage="1" showErrorMessage="1" sqref="D11:D20" xr:uid="{362E7E9A-988E-4296-B5E4-21585648552A}">
      <formula1>$N$22:$AE$22</formula1>
    </dataValidation>
    <dataValidation type="list" allowBlank="1" showInputMessage="1" showErrorMessage="1" sqref="B11:C20" xr:uid="{668CC29D-6DB2-4B5A-A04F-7188A89C5DD4}">
      <formula1>$N$7:$Q$7</formula1>
    </dataValidation>
    <dataValidation type="list" allowBlank="1" showInputMessage="1" showErrorMessage="1" sqref="D7" xr:uid="{51D190C3-41BE-41A1-B923-B519793DC7C2}">
      <formula1>$N$11:$O$11</formula1>
    </dataValidation>
  </dataValidations>
  <pageMargins left="0.7" right="0.7" top="0.75" bottom="0.75" header="0.3" footer="0.3"/>
  <pageSetup orientation="portrait" r:id="rId1"/>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625E9-A07B-4A5B-8197-A93054C925AE}">
  <sheetPr codeName="Sheet134">
    <tabColor rgb="FFCCFFFF"/>
  </sheetPr>
  <dimension ref="A1:AQ138"/>
  <sheetViews>
    <sheetView topLeftCell="A33"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Pool Covers</v>
      </c>
      <c r="C7" s="98" t="s">
        <v>606</v>
      </c>
      <c r="D7" s="97" t="s">
        <v>211</v>
      </c>
      <c r="E7" s="97">
        <f>C115</f>
        <v>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Pool Covers_CI, E - Oth (RET)</v>
      </c>
      <c r="J11" s="83" t="str">
        <f t="shared" ref="J11:J20" si="3">IF(B11="","",CONCATENATE($C$7,IF(C11="","",CONCATENATE(" with ",C11," Secondary Fuel"))))</f>
        <v>Commercial Pool Covers</v>
      </c>
      <c r="K11" s="83"/>
      <c r="M11" s="94" t="s">
        <v>123</v>
      </c>
      <c r="N11" s="93" t="s">
        <v>212</v>
      </c>
      <c r="O11" s="93" t="s">
        <v>211</v>
      </c>
    </row>
    <row r="12" spans="1:17">
      <c r="A12" s="1">
        <v>2</v>
      </c>
      <c r="B12" s="98"/>
      <c r="C12" s="97"/>
      <c r="D12" s="98"/>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Pool Covers_CI,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Pool Covers_CI,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Commercial Pool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Pool Covers_CI,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Commercial Pool Covers</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Pool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2058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606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190</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F138</f>
        <v>77.837024999999997</v>
      </c>
      <c r="D64" s="183"/>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I138</f>
        <v>0</v>
      </c>
      <c r="D65" s="67"/>
      <c r="E65" s="67"/>
      <c r="F65" s="65"/>
      <c r="G65" s="65"/>
      <c r="H65" s="65"/>
      <c r="I65" s="65"/>
      <c r="J65" s="65"/>
      <c r="K65" s="65"/>
      <c r="L65" s="65"/>
      <c r="M65" s="69">
        <v>2</v>
      </c>
      <c r="N65" s="69">
        <v>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J138</f>
        <v>5050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K138</f>
        <v>69.651835059771301</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Commercial Pool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E7</f>
        <v>6</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4</v>
      </c>
      <c r="D77" s="183"/>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267">
        <f>C67</f>
        <v>0</v>
      </c>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7">
        <f>C78/C64</f>
        <v>0</v>
      </c>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605</v>
      </c>
    </row>
    <row r="106" spans="1:22">
      <c r="B106" s="1" t="s">
        <v>604</v>
      </c>
    </row>
    <row r="108" spans="1:22" s="63" customFormat="1" ht="15.75" thickBot="1">
      <c r="B108" s="63" t="s">
        <v>50</v>
      </c>
    </row>
    <row r="110" spans="1:22">
      <c r="B110" s="58" t="s">
        <v>46</v>
      </c>
      <c r="C110" s="58" t="s">
        <v>45</v>
      </c>
      <c r="D110" s="58" t="s">
        <v>44</v>
      </c>
      <c r="E110" s="58" t="s">
        <v>43</v>
      </c>
    </row>
    <row r="111" spans="1:22">
      <c r="B111" s="26" t="s">
        <v>603</v>
      </c>
      <c r="C111" s="185" t="s">
        <v>35</v>
      </c>
      <c r="D111" s="28" t="s">
        <v>597</v>
      </c>
      <c r="E111" s="57" t="s">
        <v>602</v>
      </c>
    </row>
    <row r="112" spans="1:22">
      <c r="B112" s="26" t="s">
        <v>601</v>
      </c>
      <c r="C112" s="185" t="s">
        <v>600</v>
      </c>
      <c r="D112" s="28" t="s">
        <v>597</v>
      </c>
      <c r="E112" s="62" t="s">
        <v>599</v>
      </c>
    </row>
    <row r="113" spans="2:8">
      <c r="B113" s="26" t="s">
        <v>598</v>
      </c>
      <c r="C113" s="28">
        <v>2571</v>
      </c>
      <c r="D113" s="28" t="s">
        <v>597</v>
      </c>
      <c r="E113" s="57" t="s">
        <v>596</v>
      </c>
    </row>
    <row r="114" spans="2:8">
      <c r="B114" s="28" t="s">
        <v>34</v>
      </c>
      <c r="C114" s="28">
        <v>0.31</v>
      </c>
      <c r="D114" s="57" t="s">
        <v>595</v>
      </c>
      <c r="E114" s="57"/>
    </row>
    <row r="115" spans="2:8">
      <c r="B115" s="26" t="s">
        <v>305</v>
      </c>
      <c r="C115" s="28">
        <v>6</v>
      </c>
      <c r="D115" s="28" t="s">
        <v>597</v>
      </c>
      <c r="E115" s="57"/>
    </row>
    <row r="116" spans="2:8">
      <c r="B116" s="26" t="s">
        <v>9</v>
      </c>
      <c r="C116" s="55" t="s">
        <v>35</v>
      </c>
      <c r="D116" s="28" t="s">
        <v>594</v>
      </c>
      <c r="E116" s="57"/>
    </row>
    <row r="117" spans="2:8">
      <c r="B117" s="28"/>
      <c r="C117" s="28"/>
      <c r="D117" s="57"/>
      <c r="E117" s="57"/>
    </row>
    <row r="118" spans="2:8">
      <c r="B118" s="52" t="s">
        <v>588</v>
      </c>
      <c r="C118" s="21" t="s">
        <v>2136</v>
      </c>
      <c r="D118" s="57"/>
      <c r="E118" s="57"/>
    </row>
    <row r="119" spans="2:8">
      <c r="B119" s="52" t="s">
        <v>585</v>
      </c>
      <c r="C119" s="50">
        <v>15.28</v>
      </c>
      <c r="D119" s="57"/>
      <c r="E119" s="28"/>
    </row>
    <row r="120" spans="2:8">
      <c r="B120" s="276" t="s">
        <v>582</v>
      </c>
      <c r="C120" s="611">
        <v>8.94</v>
      </c>
      <c r="E120" s="28"/>
    </row>
    <row r="121" spans="2:8">
      <c r="E121" s="28"/>
    </row>
    <row r="122" spans="2:8">
      <c r="B122" s="271"/>
      <c r="C122" s="2"/>
    </row>
    <row r="123" spans="2:8">
      <c r="B123" s="714" t="s">
        <v>587</v>
      </c>
      <c r="C123" s="714" t="s">
        <v>593</v>
      </c>
      <c r="D123" s="714"/>
      <c r="E123" s="255"/>
      <c r="F123" s="255"/>
      <c r="G123" s="255"/>
      <c r="H123" s="255"/>
    </row>
    <row r="124" spans="2:8">
      <c r="B124" s="714"/>
      <c r="C124" s="244" t="s">
        <v>592</v>
      </c>
      <c r="D124" s="270" t="s">
        <v>591</v>
      </c>
      <c r="E124" s="275"/>
      <c r="F124" s="275"/>
      <c r="G124" s="274"/>
      <c r="H124" s="273"/>
    </row>
    <row r="125" spans="2:8">
      <c r="B125" s="21" t="s">
        <v>584</v>
      </c>
      <c r="C125" s="268">
        <v>2.19</v>
      </c>
      <c r="D125" s="272">
        <v>2.2400000000000002</v>
      </c>
    </row>
    <row r="126" spans="2:8">
      <c r="B126" s="244" t="s">
        <v>583</v>
      </c>
      <c r="C126" s="268">
        <v>2.0099999999999998</v>
      </c>
      <c r="D126" s="268">
        <v>2.06</v>
      </c>
    </row>
    <row r="127" spans="2:8">
      <c r="B127" s="21" t="s">
        <v>581</v>
      </c>
      <c r="C127" s="268">
        <v>1.8</v>
      </c>
      <c r="D127" s="272">
        <v>1.83</v>
      </c>
    </row>
    <row r="128" spans="2:8">
      <c r="B128" s="21" t="s">
        <v>590</v>
      </c>
      <c r="C128" s="268">
        <v>2</v>
      </c>
      <c r="D128" s="272">
        <v>2.04</v>
      </c>
    </row>
    <row r="130" spans="2:12">
      <c r="B130" s="271" t="s">
        <v>589</v>
      </c>
      <c r="C130" s="2"/>
    </row>
    <row r="131" spans="2:12" ht="26.25">
      <c r="B131" s="21" t="s">
        <v>588</v>
      </c>
      <c r="C131" s="21" t="s">
        <v>587</v>
      </c>
      <c r="D131" s="21" t="s">
        <v>580</v>
      </c>
      <c r="E131" s="270" t="s">
        <v>249</v>
      </c>
      <c r="F131" s="114" t="s">
        <v>286</v>
      </c>
      <c r="G131" s="114" t="s">
        <v>586</v>
      </c>
      <c r="H131" s="114" t="s">
        <v>10</v>
      </c>
      <c r="I131" s="114" t="s">
        <v>244</v>
      </c>
      <c r="J131" s="114" t="s">
        <v>9</v>
      </c>
      <c r="K131" s="114" t="s">
        <v>8</v>
      </c>
      <c r="L131" s="270" t="s">
        <v>497</v>
      </c>
    </row>
    <row r="132" spans="2:12">
      <c r="B132" s="21" t="s">
        <v>585</v>
      </c>
      <c r="C132" s="21" t="s">
        <v>584</v>
      </c>
      <c r="D132" s="157">
        <v>1500</v>
      </c>
      <c r="E132" s="269">
        <f t="shared" ref="E132:E137" si="28">D132*VLOOKUP(B132,$B$118:$C$120,2,FALSE)</f>
        <v>22920</v>
      </c>
      <c r="F132" s="157">
        <f t="shared" ref="F132:F137" si="29">E132*$C$113/1000000</f>
        <v>58.927320000000002</v>
      </c>
      <c r="G132" s="269"/>
      <c r="H132" s="269"/>
      <c r="I132" s="269"/>
      <c r="J132" s="268">
        <f t="shared" ref="J132:J137" si="30">AVERAGE($C$128:$D$128)*D132</f>
        <v>3030</v>
      </c>
      <c r="K132" s="268">
        <f t="shared" ref="K132:K137" si="31">J132/F132</f>
        <v>51.419273776577654</v>
      </c>
      <c r="L132" s="157">
        <f t="shared" ref="L132:L137" si="32">1/COUNT($D$132:$D$137)</f>
        <v>0.16666666666666666</v>
      </c>
    </row>
    <row r="133" spans="2:12">
      <c r="B133" s="21" t="s">
        <v>585</v>
      </c>
      <c r="C133" s="244" t="s">
        <v>583</v>
      </c>
      <c r="D133" s="157">
        <v>2500</v>
      </c>
      <c r="E133" s="269">
        <f t="shared" si="28"/>
        <v>38200</v>
      </c>
      <c r="F133" s="157">
        <f t="shared" si="29"/>
        <v>98.212199999999996</v>
      </c>
      <c r="G133" s="269"/>
      <c r="H133" s="269"/>
      <c r="I133" s="269"/>
      <c r="J133" s="268">
        <f t="shared" si="30"/>
        <v>5050</v>
      </c>
      <c r="K133" s="268">
        <f t="shared" si="31"/>
        <v>51.419273776577654</v>
      </c>
      <c r="L133" s="157">
        <f t="shared" si="32"/>
        <v>0.16666666666666666</v>
      </c>
    </row>
    <row r="134" spans="2:12">
      <c r="B134" s="21" t="s">
        <v>585</v>
      </c>
      <c r="C134" s="21" t="s">
        <v>581</v>
      </c>
      <c r="D134" s="157">
        <v>3500</v>
      </c>
      <c r="E134" s="269">
        <f t="shared" si="28"/>
        <v>53480</v>
      </c>
      <c r="F134" s="157">
        <f t="shared" si="29"/>
        <v>137.49708000000001</v>
      </c>
      <c r="G134" s="269"/>
      <c r="H134" s="269"/>
      <c r="I134" s="269"/>
      <c r="J134" s="268">
        <f t="shared" si="30"/>
        <v>7070</v>
      </c>
      <c r="K134" s="268">
        <f t="shared" si="31"/>
        <v>51.419273776577654</v>
      </c>
      <c r="L134" s="157">
        <f t="shared" si="32"/>
        <v>0.16666666666666666</v>
      </c>
    </row>
    <row r="135" spans="2:12">
      <c r="B135" s="21" t="s">
        <v>582</v>
      </c>
      <c r="C135" s="21" t="s">
        <v>584</v>
      </c>
      <c r="D135" s="157">
        <v>1500</v>
      </c>
      <c r="E135" s="269">
        <f t="shared" si="28"/>
        <v>13410</v>
      </c>
      <c r="F135" s="157">
        <f t="shared" si="29"/>
        <v>34.477110000000003</v>
      </c>
      <c r="G135" s="269"/>
      <c r="H135" s="269"/>
      <c r="I135" s="269"/>
      <c r="J135" s="268">
        <f t="shared" si="30"/>
        <v>3030</v>
      </c>
      <c r="K135" s="268">
        <f t="shared" si="31"/>
        <v>87.884396342964934</v>
      </c>
      <c r="L135" s="157">
        <f t="shared" si="32"/>
        <v>0.16666666666666666</v>
      </c>
    </row>
    <row r="136" spans="2:12">
      <c r="B136" s="21" t="s">
        <v>582</v>
      </c>
      <c r="C136" s="244" t="s">
        <v>583</v>
      </c>
      <c r="D136" s="157">
        <v>2500</v>
      </c>
      <c r="E136" s="269">
        <f t="shared" si="28"/>
        <v>22350</v>
      </c>
      <c r="F136" s="157">
        <f t="shared" si="29"/>
        <v>57.461849999999998</v>
      </c>
      <c r="G136" s="269"/>
      <c r="H136" s="269"/>
      <c r="I136" s="269"/>
      <c r="J136" s="268">
        <f t="shared" si="30"/>
        <v>5050</v>
      </c>
      <c r="K136" s="268">
        <f t="shared" si="31"/>
        <v>87.884396342964948</v>
      </c>
      <c r="L136" s="157">
        <f t="shared" si="32"/>
        <v>0.16666666666666666</v>
      </c>
    </row>
    <row r="137" spans="2:12">
      <c r="B137" s="21" t="s">
        <v>582</v>
      </c>
      <c r="C137" s="21" t="s">
        <v>581</v>
      </c>
      <c r="D137" s="157">
        <v>3500</v>
      </c>
      <c r="E137" s="269">
        <f t="shared" si="28"/>
        <v>31290</v>
      </c>
      <c r="F137" s="157">
        <f t="shared" si="29"/>
        <v>80.44659</v>
      </c>
      <c r="G137" s="269"/>
      <c r="H137" s="269"/>
      <c r="I137" s="269"/>
      <c r="J137" s="268">
        <f t="shared" si="30"/>
        <v>7070</v>
      </c>
      <c r="K137" s="268">
        <f t="shared" si="31"/>
        <v>87.884396342964934</v>
      </c>
      <c r="L137" s="157">
        <f t="shared" si="32"/>
        <v>0.16666666666666666</v>
      </c>
    </row>
    <row r="138" spans="2:12">
      <c r="B138" s="7" t="s">
        <v>0</v>
      </c>
      <c r="C138" s="7"/>
      <c r="D138" s="7"/>
      <c r="E138" s="7"/>
      <c r="F138" s="7">
        <f t="shared" ref="F138:K138" si="33">SUMPRODUCT(F132:F137,$L$132:$L$137)</f>
        <v>77.837024999999997</v>
      </c>
      <c r="G138" s="7">
        <f t="shared" si="33"/>
        <v>0</v>
      </c>
      <c r="H138" s="7">
        <f t="shared" si="33"/>
        <v>0</v>
      </c>
      <c r="I138" s="7">
        <f t="shared" si="33"/>
        <v>0</v>
      </c>
      <c r="J138" s="449">
        <f t="shared" si="33"/>
        <v>5050</v>
      </c>
      <c r="K138" s="449">
        <f t="shared" si="33"/>
        <v>69.651835059771301</v>
      </c>
    </row>
  </sheetData>
  <mergeCells count="2">
    <mergeCell ref="C123:D123"/>
    <mergeCell ref="B123:B124"/>
  </mergeCells>
  <dataValidations count="5">
    <dataValidation type="list" allowBlank="1" showInputMessage="1" showErrorMessage="1" sqref="D7" xr:uid="{38963839-9D87-495A-93B2-7BA5125A767D}">
      <formula1>$N$11:$O$11</formula1>
    </dataValidation>
    <dataValidation type="list" allowBlank="1" showInputMessage="1" showErrorMessage="1" sqref="B11:C20" xr:uid="{EB0B2291-2D65-4BB0-8A3C-BF6D03D90622}">
      <formula1>$N$7:$Q$7</formula1>
    </dataValidation>
    <dataValidation type="list" allowBlank="1" showInputMessage="1" showErrorMessage="1" sqref="D11:D20" xr:uid="{AF858F50-C444-4BD7-9580-29BE3964F556}">
      <formula1>$N$22:$AE$22</formula1>
    </dataValidation>
    <dataValidation type="list" allowBlank="1" showInputMessage="1" showErrorMessage="1" sqref="E11:E20" xr:uid="{AAC588B2-DDF2-40D7-86F8-270B818D1FCE}">
      <formula1>$N$16:$O$16</formula1>
    </dataValidation>
    <dataValidation type="list" allowBlank="1" showInputMessage="1" showErrorMessage="1" sqref="C59:L59" xr:uid="{C3329FAA-626F-484F-B90C-DEC8B1E40921}">
      <formula1>$N$19:$AQ$19</formula1>
    </dataValidation>
  </dataValidation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39651-54F3-45D3-B335-29BCD6C9200A}">
  <sheetPr codeName="Sheet22">
    <tabColor indexed="27"/>
  </sheetPr>
  <dimension ref="A1:AQ124"/>
  <sheetViews>
    <sheetView topLeftCell="A24" zoomScale="80" zoomScaleNormal="80" workbookViewId="0">
      <selection activeCell="C55" sqref="C55:C56"/>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CW Pump</v>
      </c>
      <c r="C7" s="98" t="s">
        <v>2372</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CW Pump_CI, E - Oth (RET)</v>
      </c>
      <c r="J11" s="83" t="str">
        <f t="shared" ref="J11:J20" si="3">IF(B11="","",CONCATENATE($C$7,IF(C11="","",CONCATENATE(" with ",C11," Secondary Fuel"))))</f>
        <v>Variable Speed Drive Chilled Water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CW Pump_CI,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CW Pump_CI,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Chilled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CW Pump_CI,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Chilled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Chilled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Chilled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181">
        <v>2987</v>
      </c>
      <c r="D114" s="57" t="s">
        <v>2195</v>
      </c>
      <c r="E114" s="57"/>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phoneticPr fontId="35" type="noConversion"/>
  <dataValidations count="5">
    <dataValidation type="list" allowBlank="1" showInputMessage="1" showErrorMessage="1" sqref="D7" xr:uid="{22A9B762-E3EF-4213-A9C9-D66533434F6C}">
      <formula1>$N$11:$O$11</formula1>
    </dataValidation>
    <dataValidation type="list" allowBlank="1" showInputMessage="1" showErrorMessage="1" sqref="B11:C20" xr:uid="{1D24ECA5-32E5-4E85-8C79-7C9184C0CACE}">
      <formula1>$N$7:$Q$7</formula1>
    </dataValidation>
    <dataValidation type="list" allowBlank="1" showInputMessage="1" showErrorMessage="1" sqref="D11:D20" xr:uid="{8C0FD240-0999-4815-8D93-07FA57E7F2C9}">
      <formula1>$N$22:$AE$22</formula1>
    </dataValidation>
    <dataValidation type="list" allowBlank="1" showInputMessage="1" showErrorMessage="1" sqref="E11:E20" xr:uid="{D1B3CF2A-8F4B-4E6E-A17A-61A41235146C}">
      <formula1>$N$16:$O$16</formula1>
    </dataValidation>
    <dataValidation type="list" allowBlank="1" showInputMessage="1" showErrorMessage="1" sqref="C59:L59" xr:uid="{1DC58631-D07F-4E83-A3F9-E8AA80C51393}">
      <formula1>$N$19:$AQ$19</formula1>
    </dataValidation>
  </dataValidations>
  <pageMargins left="0.7" right="0.7" top="0.75" bottom="0.75" header="0.3" footer="0.3"/>
  <pageSetup orientation="portrait" r:id="rId1"/>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FE90-4828-4EF3-AC04-2754ED0978F9}">
  <sheetPr codeName="Sheet23">
    <tabColor indexed="27"/>
  </sheetPr>
  <dimension ref="A1:AQ124"/>
  <sheetViews>
    <sheetView topLeftCell="A21"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Condenser</v>
      </c>
      <c r="C7" s="98" t="s">
        <v>2373</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Condenser_CI, E - Oth (RET)</v>
      </c>
      <c r="J11" s="83" t="str">
        <f t="shared" ref="J11:J20" si="3">IF(B11="","",CONCATENATE($C$7,IF(C11="","",CONCATENATE(" with ",C11," Secondary Fuel"))))</f>
        <v>Variable Speed Drive Condenser Water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Condenser_CI,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Condenser_CI,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Condenser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Condenser_CI,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Condenser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Condenser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Condenser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645">
        <v>2987</v>
      </c>
      <c r="D114" s="57" t="s">
        <v>2195</v>
      </c>
      <c r="E114" s="57" t="s">
        <v>2196</v>
      </c>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C59:L59" xr:uid="{93CA9D38-F3D0-406F-AF13-5C637BA2ACD9}">
      <formula1>$N$19:$AQ$19</formula1>
    </dataValidation>
    <dataValidation type="list" allowBlank="1" showInputMessage="1" showErrorMessage="1" sqref="E11:E20" xr:uid="{AB993961-0511-4E31-89CA-9E376AE1A856}">
      <formula1>$N$16:$O$16</formula1>
    </dataValidation>
    <dataValidation type="list" allowBlank="1" showInputMessage="1" showErrorMessage="1" sqref="D11:D20" xr:uid="{767BAB45-9C8E-4CF1-80BF-B6F7CC4B9041}">
      <formula1>$N$22:$AE$22</formula1>
    </dataValidation>
    <dataValidation type="list" allowBlank="1" showInputMessage="1" showErrorMessage="1" sqref="B11:C20" xr:uid="{912960E2-B4D8-498C-BB7D-F3400F10D6A6}">
      <formula1>$N$7:$Q$7</formula1>
    </dataValidation>
    <dataValidation type="list" allowBlank="1" showInputMessage="1" showErrorMessage="1" sqref="D7" xr:uid="{92B5C481-BDCA-48DF-A216-5CFF418211D6}">
      <formula1>$N$11:$O$11</formula1>
    </dataValidation>
  </dataValidations>
  <pageMargins left="0.7" right="0.7" top="0.75" bottom="0.75" header="0.3" footer="0.3"/>
  <pageSetup orientation="portrait" r:id="rId1"/>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DE338-B02C-40BC-87EB-3370F197A7FD}">
  <sheetPr codeName="Sheet24">
    <tabColor indexed="27"/>
  </sheetPr>
  <dimension ref="A1:AQ124"/>
  <sheetViews>
    <sheetView zoomScale="80" zoomScaleNormal="80" workbookViewId="0">
      <selection activeCell="C8" sqref="C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Custom</v>
      </c>
      <c r="C7" s="98" t="s">
        <v>2427</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Custom_CI, E - Oth (RET)</v>
      </c>
      <c r="J11" s="83" t="str">
        <f t="shared" ref="J11:J20" si="3">IF(B11="","",CONCATENATE($C$7,IF(C11="","",CONCATENATE(" with ",C11," Secondary Fuel"))))</f>
        <v>Variable Speed Drive Custom, Other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Custom_CI,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Custom_CI,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Custom, Other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Custom_CI,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Custom, Other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Custom, Other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Custom, Other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645">
        <v>2987</v>
      </c>
      <c r="D114" s="57" t="s">
        <v>2195</v>
      </c>
      <c r="E114" s="57" t="s">
        <v>2196</v>
      </c>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D7" xr:uid="{90A8CFDC-A673-4A3D-8854-8274FB2E9612}">
      <formula1>$N$11:$O$11</formula1>
    </dataValidation>
    <dataValidation type="list" allowBlank="1" showInputMessage="1" showErrorMessage="1" sqref="B11:C20" xr:uid="{834F6E29-B4ED-4DAE-9B05-0D6A922081F2}">
      <formula1>$N$7:$Q$7</formula1>
    </dataValidation>
    <dataValidation type="list" allowBlank="1" showInputMessage="1" showErrorMessage="1" sqref="D11:D20" xr:uid="{97248B58-074C-4069-9620-DE89E93CAAFE}">
      <formula1>$N$22:$AE$22</formula1>
    </dataValidation>
    <dataValidation type="list" allowBlank="1" showInputMessage="1" showErrorMessage="1" sqref="E11:E20" xr:uid="{1999298A-E4A7-4017-9EF3-80FEAA52B79D}">
      <formula1>$N$16:$O$16</formula1>
    </dataValidation>
    <dataValidation type="list" allowBlank="1" showInputMessage="1" showErrorMessage="1" sqref="C59:L59" xr:uid="{CE4BD712-974C-4B94-80AB-047E13FCF037}">
      <formula1>$N$19:$AQ$19</formula1>
    </dataValidation>
  </dataValidations>
  <pageMargins left="0.7" right="0.7" top="0.75" bottom="0.75" header="0.3" footer="0.3"/>
  <pageSetup orientation="portrait" r:id="rId1"/>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56E1E-0FFF-4093-8F75-DFD759C2C2CF}">
  <sheetPr codeName="Sheet215">
    <tabColor indexed="14"/>
  </sheetPr>
  <dimension ref="A1:AQ143"/>
  <sheetViews>
    <sheetView topLeftCell="A109"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140625" style="1" customWidth="1"/>
    <col min="4" max="4" width="24.42578125" style="1" customWidth="1"/>
    <col min="5" max="5" width="18.140625" style="1" customWidth="1"/>
    <col min="6" max="6" width="21.42578125" style="1" customWidth="1"/>
    <col min="7" max="7" width="19.85546875" style="1" customWidth="1"/>
    <col min="8" max="8" width="16.42578125" style="1" customWidth="1"/>
    <col min="9" max="9" width="23.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BevSnack Machine Controls</v>
      </c>
      <c r="C7" s="98" t="s">
        <v>1387</v>
      </c>
      <c r="D7" s="97" t="s">
        <v>211</v>
      </c>
      <c r="E7" s="97">
        <f>C118</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165</v>
      </c>
      <c r="E11" s="99" t="s">
        <v>204</v>
      </c>
      <c r="F11" s="99" t="s">
        <v>1386</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BevSnack Machine Controls_CI, E - Plug [Non-Refrigerated] (RET)</v>
      </c>
      <c r="J11" s="83" t="str">
        <f t="shared" ref="J11:J20" si="3">IF(B11="","",CONCATENATE($C$7,IF(C11="","",CONCATENATE(" with ",C11," Secondary Fuel"))))</f>
        <v>Beverage and Snack Machine Controls</v>
      </c>
      <c r="K11" s="83"/>
      <c r="M11" s="94" t="s">
        <v>123</v>
      </c>
      <c r="N11" s="93" t="s">
        <v>212</v>
      </c>
      <c r="O11" s="93" t="s">
        <v>211</v>
      </c>
    </row>
    <row r="12" spans="1:17">
      <c r="A12" s="1">
        <v>2</v>
      </c>
      <c r="B12" s="97" t="s">
        <v>205</v>
      </c>
      <c r="C12" s="97"/>
      <c r="D12" s="97" t="s">
        <v>165</v>
      </c>
      <c r="E12" s="99" t="s">
        <v>204</v>
      </c>
      <c r="F12" s="99" t="s">
        <v>1385</v>
      </c>
      <c r="G12" s="83" t="str">
        <f t="shared" si="0"/>
        <v>E</v>
      </c>
      <c r="H12" s="83" t="str">
        <f t="shared" si="1"/>
        <v>Plug</v>
      </c>
      <c r="I12" s="83" t="str">
        <f t="shared" ca="1" si="2"/>
        <v>CI BevSnack Machine Controls_CI, E - Plug [Refrigerated] (RET)</v>
      </c>
      <c r="J12" s="83" t="str">
        <f t="shared" si="3"/>
        <v>Beverage and Snack Machine Controls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48" customHeight="1">
      <c r="A33" s="1">
        <v>1</v>
      </c>
      <c r="B33" s="83" t="s">
        <v>129</v>
      </c>
      <c r="C33" s="499" t="str">
        <f t="shared" ref="C33:L33" ca="1" si="5">IF(VLOOKUP(C$31,$A$11:$K$20,9,FALSE)="","",VLOOKUP(C$31,$A$11:$K$20,9,FALSE))</f>
        <v>CI BevSnack Machine Controls_CI, E - Plug [Non-Refrigerated] (RET)</v>
      </c>
      <c r="D33" s="499" t="str">
        <f t="shared" ca="1" si="5"/>
        <v>CI BevSnack Machine Controls_CI, E - Plug [Refrigerated]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BevSnack Machine Controls_CI, E - Plug [Non-Refrigerated] (RET)</v>
      </c>
      <c r="N33" s="84" t="str">
        <f t="shared" ca="1" si="6"/>
        <v>CI BevSnack Machine Controls_CI, E - Plug [Refrigerated]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Beverage and Snack Machine Controls</v>
      </c>
      <c r="D34" s="83" t="str">
        <f t="shared" si="8"/>
        <v>Beverage and Snack Machine Controls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BevSnack Machine Controls_CI, E - Plug [Non-Refrigerated] (RET)</v>
      </c>
      <c r="D35" s="65" t="str">
        <f ca="1">D33</f>
        <v>CI BevSnack Machine Controls_CI, E - Plug [Refrigerated]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Beverage and Snack Machine Controls</v>
      </c>
      <c r="D36" s="65" t="str">
        <f>D34</f>
        <v>Beverage and Snack Machine Controls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2376</v>
      </c>
      <c r="D38" s="65" t="s">
        <v>2376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Plug Loads</v>
      </c>
      <c r="D43" s="83" t="str">
        <f t="shared" si="14"/>
        <v>Plug Loads</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Beverage and Snack Machine Controls</v>
      </c>
      <c r="D52" s="66" t="str">
        <f t="shared" si="16"/>
        <v>Beverage and Snack Machine Controls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1384</v>
      </c>
      <c r="D55" s="65" t="s">
        <v>1384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2377</v>
      </c>
      <c r="D56" s="82" t="s">
        <v>2377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7"/>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E135</f>
        <v>408.05001666666669</v>
      </c>
      <c r="D64" s="67">
        <f>E143</f>
        <v>170.03960000000001</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G135</f>
        <v>0</v>
      </c>
      <c r="D65" s="67">
        <f>G143</f>
        <v>0.61426940639269412</v>
      </c>
      <c r="E65" s="67"/>
      <c r="F65" s="65"/>
      <c r="G65" s="65"/>
      <c r="H65" s="65"/>
      <c r="I65" s="65"/>
      <c r="J65" s="65"/>
      <c r="K65" s="65"/>
      <c r="L65" s="65"/>
      <c r="M65" s="69">
        <v>3</v>
      </c>
      <c r="N65" s="6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7"/>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7"/>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H135</f>
        <v>245</v>
      </c>
      <c r="D68" s="71">
        <f>H143</f>
        <v>233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83" t="s">
        <v>81</v>
      </c>
      <c r="C69" s="493">
        <f>I135</f>
        <v>0.60399856662311047</v>
      </c>
      <c r="D69" s="493">
        <f>I143</f>
        <v>1.3702690432111109</v>
      </c>
      <c r="E69" s="493" t="str">
        <f t="shared" ref="E69:L69" si="22">IFERROR(E68/E64,"")</f>
        <v/>
      </c>
      <c r="F69" s="493" t="str">
        <f t="shared" si="22"/>
        <v/>
      </c>
      <c r="G69" s="493" t="str">
        <f t="shared" si="22"/>
        <v/>
      </c>
      <c r="H69" s="493" t="str">
        <f t="shared" si="22"/>
        <v/>
      </c>
      <c r="I69" s="493" t="str">
        <f t="shared" si="22"/>
        <v/>
      </c>
      <c r="J69" s="493" t="str">
        <f t="shared" si="22"/>
        <v/>
      </c>
      <c r="K69" s="493" t="str">
        <f t="shared" si="22"/>
        <v/>
      </c>
      <c r="L69" s="493" t="str">
        <f t="shared" si="22"/>
        <v/>
      </c>
      <c r="M69" s="69">
        <v>4</v>
      </c>
      <c r="N69" s="69">
        <v>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Beverage and Snack Machine Controls</v>
      </c>
      <c r="D71" s="66" t="str">
        <f t="shared" si="24"/>
        <v>Beverage and Snack Machine Controls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1383</v>
      </c>
    </row>
    <row r="106" spans="1:22">
      <c r="B106" s="1" t="s">
        <v>1382</v>
      </c>
    </row>
    <row r="107" spans="1:22">
      <c r="B107" s="1" t="s">
        <v>1381</v>
      </c>
    </row>
    <row r="109" spans="1:22" s="63" customFormat="1" ht="15.75" thickBot="1">
      <c r="B109" s="63" t="s">
        <v>50</v>
      </c>
    </row>
    <row r="110" spans="1:22">
      <c r="A110" s="93"/>
      <c r="B110" s="93"/>
      <c r="C110" s="93"/>
      <c r="D110" s="93"/>
      <c r="E110" s="93"/>
      <c r="F110" s="93"/>
    </row>
    <row r="111" spans="1:22">
      <c r="A111" s="93"/>
      <c r="B111" s="318" t="s">
        <v>520</v>
      </c>
      <c r="C111" s="496" t="s">
        <v>519</v>
      </c>
      <c r="D111" s="318" t="s">
        <v>409</v>
      </c>
      <c r="E111" s="94" t="s">
        <v>122</v>
      </c>
      <c r="F111" s="93"/>
    </row>
    <row r="112" spans="1:22">
      <c r="A112" s="93"/>
      <c r="B112" s="498" t="s">
        <v>1380</v>
      </c>
      <c r="C112" s="498">
        <v>3379</v>
      </c>
      <c r="D112" s="498" t="s">
        <v>1373</v>
      </c>
      <c r="E112" s="93" t="s">
        <v>1379</v>
      </c>
      <c r="F112" s="93"/>
    </row>
    <row r="113" spans="1:6">
      <c r="A113" s="93"/>
      <c r="B113" s="332" t="s">
        <v>1370</v>
      </c>
      <c r="C113" s="498" t="s">
        <v>35</v>
      </c>
      <c r="D113" s="498" t="s">
        <v>1373</v>
      </c>
      <c r="E113" s="93" t="s">
        <v>1378</v>
      </c>
      <c r="F113" s="93"/>
    </row>
    <row r="114" spans="1:6">
      <c r="A114" s="93"/>
      <c r="B114" s="332" t="s">
        <v>1372</v>
      </c>
      <c r="C114" s="498" t="s">
        <v>35</v>
      </c>
      <c r="D114" s="332" t="s">
        <v>1373</v>
      </c>
      <c r="E114" s="93" t="s">
        <v>1377</v>
      </c>
      <c r="F114" s="93"/>
    </row>
    <row r="115" spans="1:6">
      <c r="A115" s="93"/>
      <c r="B115" s="332" t="s">
        <v>1376</v>
      </c>
      <c r="C115" s="498">
        <v>4</v>
      </c>
      <c r="D115" s="498" t="s">
        <v>1373</v>
      </c>
      <c r="E115" s="93" t="s">
        <v>1375</v>
      </c>
      <c r="F115" s="93"/>
    </row>
    <row r="116" spans="1:6">
      <c r="A116" s="93"/>
      <c r="B116" s="332" t="s">
        <v>408</v>
      </c>
      <c r="C116" s="498">
        <v>365</v>
      </c>
      <c r="D116" s="332" t="s">
        <v>1373</v>
      </c>
      <c r="E116" s="93" t="s">
        <v>1374</v>
      </c>
      <c r="F116" s="93"/>
    </row>
    <row r="117" spans="1:6">
      <c r="A117" s="93"/>
      <c r="B117" s="332" t="s">
        <v>34</v>
      </c>
      <c r="C117" s="498">
        <v>0</v>
      </c>
      <c r="D117" s="332" t="s">
        <v>1373</v>
      </c>
      <c r="E117" s="93"/>
      <c r="F117" s="93"/>
    </row>
    <row r="118" spans="1:6">
      <c r="A118" s="93"/>
      <c r="B118" s="332" t="s">
        <v>2045</v>
      </c>
      <c r="C118" s="498">
        <v>5</v>
      </c>
      <c r="D118" s="498"/>
      <c r="E118" s="93"/>
      <c r="F118" s="93"/>
    </row>
    <row r="119" spans="1:6">
      <c r="A119" s="93"/>
      <c r="B119" s="318" t="s">
        <v>1367</v>
      </c>
      <c r="C119" s="496" t="s">
        <v>1372</v>
      </c>
      <c r="D119" s="496" t="s">
        <v>2049</v>
      </c>
      <c r="E119" s="496" t="s">
        <v>2050</v>
      </c>
      <c r="F119" s="93"/>
    </row>
    <row r="120" spans="1:6">
      <c r="A120" s="93"/>
      <c r="B120" s="496" t="s">
        <v>578</v>
      </c>
      <c r="C120" s="498">
        <v>3.52</v>
      </c>
      <c r="D120" s="498">
        <v>245</v>
      </c>
      <c r="E120" s="498">
        <v>239</v>
      </c>
      <c r="F120" s="93"/>
    </row>
    <row r="121" spans="1:6">
      <c r="A121" s="93"/>
      <c r="B121" s="318" t="s">
        <v>577</v>
      </c>
      <c r="C121" s="498">
        <v>3.29</v>
      </c>
      <c r="D121" s="498">
        <v>245</v>
      </c>
      <c r="E121" s="498">
        <v>239</v>
      </c>
      <c r="F121" s="93"/>
    </row>
    <row r="122" spans="1:6">
      <c r="A122" s="93"/>
      <c r="B122" s="318" t="s">
        <v>1364</v>
      </c>
      <c r="C122" s="498">
        <v>4.47</v>
      </c>
      <c r="D122" s="498">
        <v>245</v>
      </c>
      <c r="E122" s="498">
        <v>239</v>
      </c>
      <c r="F122" s="93"/>
    </row>
    <row r="123" spans="1:6">
      <c r="A123" s="93"/>
      <c r="B123" s="496" t="s">
        <v>1363</v>
      </c>
      <c r="C123" s="498">
        <v>4.37</v>
      </c>
      <c r="D123" s="498">
        <v>245</v>
      </c>
      <c r="E123" s="498">
        <v>239</v>
      </c>
      <c r="F123" s="93"/>
    </row>
    <row r="124" spans="1:6">
      <c r="A124" s="93"/>
      <c r="B124" s="318"/>
      <c r="C124" s="498"/>
      <c r="D124" s="498"/>
      <c r="E124" s="93"/>
      <c r="F124" s="93"/>
    </row>
    <row r="125" spans="1:6">
      <c r="A125" s="93"/>
      <c r="B125" s="318" t="s">
        <v>1371</v>
      </c>
      <c r="C125" s="496" t="s">
        <v>1370</v>
      </c>
      <c r="D125" s="498"/>
      <c r="E125" s="93"/>
      <c r="F125" s="93"/>
    </row>
    <row r="126" spans="1:6">
      <c r="A126" s="93"/>
      <c r="B126" s="318" t="s">
        <v>1369</v>
      </c>
      <c r="C126" s="498">
        <v>56.4</v>
      </c>
      <c r="D126" s="498"/>
      <c r="E126" s="93"/>
      <c r="F126" s="93"/>
    </row>
    <row r="127" spans="1:6">
      <c r="A127" s="354"/>
      <c r="B127" s="318" t="s">
        <v>1368</v>
      </c>
      <c r="C127" s="498">
        <v>31.6</v>
      </c>
      <c r="D127" s="498"/>
      <c r="E127" s="93"/>
      <c r="F127" s="93"/>
    </row>
    <row r="129" spans="1:10">
      <c r="A129" s="93"/>
      <c r="B129" s="318" t="s">
        <v>2051</v>
      </c>
      <c r="C129" s="498"/>
      <c r="D129" s="498"/>
      <c r="E129" s="93"/>
      <c r="F129" s="93"/>
      <c r="G129" s="498"/>
      <c r="H129" s="498"/>
      <c r="I129" s="93"/>
      <c r="J129" s="93"/>
    </row>
    <row r="130" spans="1:10">
      <c r="A130" s="93"/>
      <c r="B130" s="318" t="s">
        <v>1367</v>
      </c>
      <c r="C130" s="497" t="s">
        <v>1366</v>
      </c>
      <c r="D130" s="496" t="s">
        <v>1365</v>
      </c>
      <c r="E130" s="94" t="s">
        <v>500</v>
      </c>
      <c r="F130" s="94" t="s">
        <v>10</v>
      </c>
      <c r="G130" s="497" t="s">
        <v>244</v>
      </c>
      <c r="H130" s="496" t="s">
        <v>9</v>
      </c>
      <c r="I130" s="94" t="s">
        <v>8</v>
      </c>
      <c r="J130" s="94" t="s">
        <v>7</v>
      </c>
    </row>
    <row r="131" spans="1:10">
      <c r="A131" s="93"/>
      <c r="B131" s="93" t="s">
        <v>578</v>
      </c>
      <c r="C131" s="93">
        <f>((8760-$C$112)*$C$127)/1000</f>
        <v>170.03960000000001</v>
      </c>
      <c r="D131" s="93">
        <f>VLOOKUP(B131,$B$119:$C$123,2,FALSE)*($C$115*$C$116/24)</f>
        <v>214.13333333333335</v>
      </c>
      <c r="E131" s="93">
        <f>SUM(C131:D131)</f>
        <v>384.17293333333339</v>
      </c>
      <c r="F131" s="93"/>
      <c r="G131" s="93"/>
      <c r="H131" s="93">
        <f>VLOOKUP(B131,$B$119:$D$123,3,FALSE)</f>
        <v>245</v>
      </c>
      <c r="I131" s="93">
        <f>H131/E131</f>
        <v>0.63773363176375075</v>
      </c>
      <c r="J131" s="93">
        <f>1/COUNT($I$131:$I$134)</f>
        <v>0.25</v>
      </c>
    </row>
    <row r="132" spans="1:10">
      <c r="A132" s="93"/>
      <c r="B132" s="93" t="s">
        <v>577</v>
      </c>
      <c r="C132" s="93">
        <f>((8760-$C$112)*$C$127)/1000</f>
        <v>170.03960000000001</v>
      </c>
      <c r="D132" s="93">
        <f>VLOOKUP(B132,$B$119:$C$123,2,FALSE)*($C$115*$C$116/24)</f>
        <v>200.14166666666668</v>
      </c>
      <c r="E132" s="93">
        <f>SUM(C132:D132)</f>
        <v>370.18126666666672</v>
      </c>
      <c r="F132" s="93"/>
      <c r="G132" s="93"/>
      <c r="H132" s="93">
        <f>VLOOKUP(B132,$B$119:$D$123,3,FALSE)</f>
        <v>245</v>
      </c>
      <c r="I132" s="93">
        <f>H132/E132</f>
        <v>0.6618379212058092</v>
      </c>
      <c r="J132" s="93">
        <f>1/COUNT($I$131:$I$134)</f>
        <v>0.25</v>
      </c>
    </row>
    <row r="133" spans="1:10">
      <c r="A133" s="93"/>
      <c r="B133" s="93" t="s">
        <v>1364</v>
      </c>
      <c r="C133" s="93">
        <f>((8760-$C$112)*$C$127)/1000</f>
        <v>170.03960000000001</v>
      </c>
      <c r="D133" s="93">
        <f>VLOOKUP(B133,$B$119:$C$123,2,FALSE)*($C$115*$C$116/24)</f>
        <v>271.92500000000001</v>
      </c>
      <c r="E133" s="93">
        <f>SUM(C133:D133)</f>
        <v>441.96460000000002</v>
      </c>
      <c r="F133" s="93"/>
      <c r="G133" s="93"/>
      <c r="H133" s="93">
        <f>VLOOKUP(B133,$B$119:$D$123,3,FALSE)</f>
        <v>245</v>
      </c>
      <c r="I133" s="93">
        <f>H133/E133</f>
        <v>0.55434304014393909</v>
      </c>
      <c r="J133" s="93">
        <f>1/COUNT($I$131:$I$134)</f>
        <v>0.25</v>
      </c>
    </row>
    <row r="134" spans="1:10">
      <c r="A134" s="93"/>
      <c r="B134" s="93" t="s">
        <v>1363</v>
      </c>
      <c r="C134" s="93">
        <f>((8760-$C$112)*$C$127)/1000</f>
        <v>170.03960000000001</v>
      </c>
      <c r="D134" s="93">
        <f>VLOOKUP(B134,$B$119:$C$123,2,FALSE)*($C$115*$C$116/24)</f>
        <v>265.8416666666667</v>
      </c>
      <c r="E134" s="93">
        <f>SUM(C134:D134)</f>
        <v>435.8812666666667</v>
      </c>
      <c r="F134" s="93"/>
      <c r="G134" s="93"/>
      <c r="H134" s="93">
        <f>VLOOKUP(B134,$B$119:$D$123,3,FALSE)</f>
        <v>245</v>
      </c>
      <c r="I134" s="93">
        <f>H134/E134</f>
        <v>0.56207967337894305</v>
      </c>
      <c r="J134" s="93">
        <f>1/COUNT($I$131:$I$134)</f>
        <v>0.25</v>
      </c>
    </row>
    <row r="135" spans="1:10">
      <c r="A135" s="93"/>
      <c r="B135" s="7" t="s">
        <v>0</v>
      </c>
      <c r="C135" s="7"/>
      <c r="D135" s="7"/>
      <c r="E135" s="7">
        <f>SUMPRODUCT(E131:E134,$J$131:$J$134)</f>
        <v>408.05001666666669</v>
      </c>
      <c r="F135" s="7">
        <f>SUMPRODUCT(F131:F134,$J$131:$J$134)</f>
        <v>0</v>
      </c>
      <c r="G135" s="7">
        <f>SUMPRODUCT(G131:G134,$J$131:$J$134)</f>
        <v>0</v>
      </c>
      <c r="H135" s="7">
        <f>SUMPRODUCT(H131:H134,$J$131:$J$134)</f>
        <v>245</v>
      </c>
      <c r="I135" s="7">
        <f>SUMPRODUCT(I131:I134,$J$131:$J$134)</f>
        <v>0.60399856662311047</v>
      </c>
      <c r="J135" s="93"/>
    </row>
    <row r="137" spans="1:10">
      <c r="B137" s="318" t="s">
        <v>2052</v>
      </c>
      <c r="C137" s="498"/>
      <c r="D137" s="498"/>
      <c r="E137" s="93"/>
      <c r="F137" s="93"/>
      <c r="G137" s="498"/>
      <c r="H137" s="498"/>
      <c r="I137" s="93"/>
      <c r="J137" s="93"/>
    </row>
    <row r="138" spans="1:10">
      <c r="B138" s="318" t="s">
        <v>1367</v>
      </c>
      <c r="C138" s="497" t="s">
        <v>1366</v>
      </c>
      <c r="D138" s="496" t="s">
        <v>1365</v>
      </c>
      <c r="E138" s="94" t="s">
        <v>500</v>
      </c>
      <c r="F138" s="94" t="s">
        <v>10</v>
      </c>
      <c r="G138" s="497" t="s">
        <v>244</v>
      </c>
      <c r="H138" s="496" t="s">
        <v>9</v>
      </c>
      <c r="I138" s="94" t="s">
        <v>8</v>
      </c>
      <c r="J138" s="94" t="s">
        <v>7</v>
      </c>
    </row>
    <row r="139" spans="1:10">
      <c r="B139" s="93" t="s">
        <v>578</v>
      </c>
      <c r="C139" s="93">
        <f>((8760-$C$112)*$C$127)/1000</f>
        <v>170.03960000000001</v>
      </c>
      <c r="D139" s="93">
        <f>0</f>
        <v>0</v>
      </c>
      <c r="E139" s="93">
        <f>SUM(C139:D139)</f>
        <v>170.03960000000001</v>
      </c>
      <c r="F139" s="93"/>
      <c r="G139" s="93">
        <f>E139/(((8760)*$C$127)/1000)</f>
        <v>0.61426940639269412</v>
      </c>
      <c r="H139" s="93">
        <v>233</v>
      </c>
      <c r="I139" s="93">
        <f>H139/E139</f>
        <v>1.3702690432111109</v>
      </c>
      <c r="J139" s="93">
        <f>1/COUNT($I$131:$I$134)</f>
        <v>0.25</v>
      </c>
    </row>
    <row r="140" spans="1:10">
      <c r="B140" s="93" t="s">
        <v>577</v>
      </c>
      <c r="C140" s="93">
        <f>((8760-$C$112)*$C$127)/1000</f>
        <v>170.03960000000001</v>
      </c>
      <c r="D140" s="93">
        <f>0</f>
        <v>0</v>
      </c>
      <c r="E140" s="93">
        <f>SUM(C140:D140)</f>
        <v>170.03960000000001</v>
      </c>
      <c r="F140" s="93"/>
      <c r="G140" s="93">
        <f>E140/(((8760)*$C$127)/1000)</f>
        <v>0.61426940639269412</v>
      </c>
      <c r="H140" s="93">
        <v>233</v>
      </c>
      <c r="I140" s="93">
        <f>H140/E140</f>
        <v>1.3702690432111109</v>
      </c>
      <c r="J140" s="93">
        <f>1/COUNT($I$131:$I$134)</f>
        <v>0.25</v>
      </c>
    </row>
    <row r="141" spans="1:10">
      <c r="B141" s="93" t="s">
        <v>1364</v>
      </c>
      <c r="C141" s="93">
        <f>((8760-$C$112)*$C$127)/1000</f>
        <v>170.03960000000001</v>
      </c>
      <c r="D141" s="93">
        <f>0</f>
        <v>0</v>
      </c>
      <c r="E141" s="93">
        <f>SUM(C141:D141)</f>
        <v>170.03960000000001</v>
      </c>
      <c r="F141" s="93"/>
      <c r="G141" s="93">
        <f>E141/(((8760)*$C$127)/1000)</f>
        <v>0.61426940639269412</v>
      </c>
      <c r="H141" s="93">
        <v>233</v>
      </c>
      <c r="I141" s="93">
        <f>H141/E141</f>
        <v>1.3702690432111109</v>
      </c>
      <c r="J141" s="93">
        <f>1/COUNT($I$131:$I$134)</f>
        <v>0.25</v>
      </c>
    </row>
    <row r="142" spans="1:10">
      <c r="B142" s="93" t="s">
        <v>1363</v>
      </c>
      <c r="C142" s="93">
        <f>((8760-$C$112)*$C$127)/1000</f>
        <v>170.03960000000001</v>
      </c>
      <c r="D142" s="93">
        <f>0</f>
        <v>0</v>
      </c>
      <c r="E142" s="93">
        <f>SUM(C142:D142)</f>
        <v>170.03960000000001</v>
      </c>
      <c r="F142" s="93"/>
      <c r="G142" s="93">
        <f>E142/(((8760)*$C$127)/1000)</f>
        <v>0.61426940639269412</v>
      </c>
      <c r="H142" s="93">
        <v>233</v>
      </c>
      <c r="I142" s="93">
        <f>H142/E142</f>
        <v>1.3702690432111109</v>
      </c>
      <c r="J142" s="93">
        <f>1/COUNT($I$131:$I$134)</f>
        <v>0.25</v>
      </c>
    </row>
    <row r="143" spans="1:10">
      <c r="B143" s="7" t="s">
        <v>0</v>
      </c>
      <c r="C143" s="7"/>
      <c r="D143" s="7"/>
      <c r="E143" s="7">
        <f>SUMPRODUCT(E139:E142,$J$139:$J$142)</f>
        <v>170.03960000000001</v>
      </c>
      <c r="F143" s="7">
        <f>SUMPRODUCT(F139:F142,$J$139:$J$142)</f>
        <v>0</v>
      </c>
      <c r="G143" s="7">
        <f>SUMPRODUCT(G139:G142,$J$139:$J$142)</f>
        <v>0.61426940639269412</v>
      </c>
      <c r="H143" s="7">
        <f>SUMPRODUCT(H139:H142,$J$139:$J$142)</f>
        <v>233</v>
      </c>
      <c r="I143" s="7">
        <f>SUMPRODUCT(I139:I142,$J$139:$J$142)</f>
        <v>1.3702690432111109</v>
      </c>
      <c r="J143" s="93"/>
    </row>
  </sheetData>
  <dataValidations disablePrompts="1" count="5">
    <dataValidation type="list" allowBlank="1" showInputMessage="1" showErrorMessage="1" sqref="C59:L59" xr:uid="{00000000-0002-0000-9B00-000004000000}">
      <formula1>$N$19:$AQ$19</formula1>
    </dataValidation>
    <dataValidation type="list" allowBlank="1" showInputMessage="1" showErrorMessage="1" sqref="E11:E20" xr:uid="{00000000-0002-0000-9B00-000003000000}">
      <formula1>$N$16:$O$16</formula1>
    </dataValidation>
    <dataValidation type="list" allowBlank="1" showInputMessage="1" showErrorMessage="1" sqref="D11:D20" xr:uid="{00000000-0002-0000-9B00-000002000000}">
      <formula1>$N$22:$AE$22</formula1>
    </dataValidation>
    <dataValidation type="list" allowBlank="1" showInputMessage="1" showErrorMessage="1" sqref="B11:C20" xr:uid="{00000000-0002-0000-9B00-000001000000}">
      <formula1>$N$7:$Q$7</formula1>
    </dataValidation>
    <dataValidation type="list" allowBlank="1" showInputMessage="1" showErrorMessage="1" sqref="D7" xr:uid="{00000000-0002-0000-9B00-000000000000}">
      <formula1>$N$11:$O$11</formula1>
    </dataValidation>
  </dataValidations>
  <pageMargins left="0.7" right="0.7" top="0.75" bottom="0.75" header="0.3" footer="0.3"/>
  <pageSetup orientation="portrait"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5F9B-6BDD-41CD-811A-DD0ABA41E0CE}">
  <sheetPr codeName="Sheet214">
    <tabColor indexed="14"/>
  </sheetPr>
  <dimension ref="A1:AQ135"/>
  <sheetViews>
    <sheetView topLeftCell="A102"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Computer Power Management</v>
      </c>
      <c r="C7" s="98" t="s">
        <v>1423</v>
      </c>
      <c r="D7" s="98" t="s">
        <v>211</v>
      </c>
      <c r="E7" s="97">
        <f>C118</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t="s">
        <v>2065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Computer Power Management_CI, E - Plug [Desktop] (RET)</v>
      </c>
      <c r="J11" s="83" t="str">
        <f t="shared" ref="J11:J20" si="3">IF(B11="","",CONCATENATE($C$7,IF(C11="","",CONCATENATE(" with ",C11," Secondary Fuel"))))</f>
        <v>Computer Power Management Software</v>
      </c>
      <c r="K11" s="83"/>
      <c r="M11" s="94" t="s">
        <v>123</v>
      </c>
      <c r="N11" s="93" t="s">
        <v>212</v>
      </c>
      <c r="O11" s="93" t="s">
        <v>211</v>
      </c>
    </row>
    <row r="12" spans="1:17">
      <c r="A12" s="1">
        <v>2</v>
      </c>
      <c r="B12" s="97" t="s">
        <v>205</v>
      </c>
      <c r="C12" s="97"/>
      <c r="D12" s="97" t="s">
        <v>165</v>
      </c>
      <c r="E12" s="99" t="s">
        <v>204</v>
      </c>
      <c r="F12" s="99" t="s">
        <v>2066</v>
      </c>
      <c r="G12" s="83" t="str">
        <f t="shared" si="0"/>
        <v>E</v>
      </c>
      <c r="H12" s="83" t="str">
        <f t="shared" si="1"/>
        <v>Plug</v>
      </c>
      <c r="I12" s="83" t="str">
        <f t="shared" ca="1" si="2"/>
        <v>CI Computer Power Management_CI, E - Plug [Laptop] (RET)</v>
      </c>
      <c r="J12" s="83" t="str">
        <f t="shared" si="3"/>
        <v>Computer Power Management Software</v>
      </c>
      <c r="K12" s="83"/>
      <c r="M12" s="94" t="s">
        <v>154</v>
      </c>
      <c r="N12" s="93" t="s">
        <v>210</v>
      </c>
      <c r="O12" s="93" t="s">
        <v>209</v>
      </c>
    </row>
    <row r="13" spans="1:17">
      <c r="A13" s="1">
        <v>3</v>
      </c>
      <c r="B13" s="97" t="s">
        <v>205</v>
      </c>
      <c r="C13" s="97"/>
      <c r="D13" s="97" t="s">
        <v>165</v>
      </c>
      <c r="E13" s="99" t="s">
        <v>204</v>
      </c>
      <c r="F13" s="99" t="s">
        <v>1400</v>
      </c>
      <c r="G13" s="83" t="str">
        <f t="shared" si="0"/>
        <v>E</v>
      </c>
      <c r="H13" s="83" t="str">
        <f t="shared" si="1"/>
        <v>Plug</v>
      </c>
      <c r="I13" s="83" t="str">
        <f t="shared" ca="1" si="2"/>
        <v>CI Computer Power Management_CI, E - Plug [Monitor] (RET)</v>
      </c>
      <c r="J13" s="83" t="str">
        <f t="shared" si="3"/>
        <v>Computer Power Management Software</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Computer Power Management_CI, E - Plug [Desktop] (RET)</v>
      </c>
      <c r="D33" s="83" t="str">
        <f t="shared" ca="1" si="5"/>
        <v>CI Computer Power Management_CI, E - Plug [Laptop] (RET)</v>
      </c>
      <c r="E33" s="83" t="str">
        <f t="shared" ca="1" si="5"/>
        <v>CI Computer Power Management_CI, E - Plug [Monitor] (RET)</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Computer Power Management_CI, E - Plug [Desktop] (RET)</v>
      </c>
      <c r="N33" s="84" t="str">
        <f t="shared" ca="1" si="6"/>
        <v>CI Computer Power Management_CI, E - Plug [Laptop] (RET)</v>
      </c>
      <c r="O33" s="84" t="str">
        <f t="shared" ca="1" si="6"/>
        <v>CI Computer Power Management_CI, E - Plug [Monitor] (RET)</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Computer Power Management Software</v>
      </c>
      <c r="D34" s="83" t="str">
        <f t="shared" si="8"/>
        <v>Computer Power Management Software</v>
      </c>
      <c r="E34" s="83" t="str">
        <f t="shared" si="8"/>
        <v>Computer Power Management Software</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Computer Power Management_CI, E - Plug [Desktop] (RET)</v>
      </c>
      <c r="D35" s="65"/>
      <c r="E35" s="65"/>
      <c r="F35" s="65"/>
      <c r="G35" s="65"/>
      <c r="H35" s="65"/>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Computer Power Management Software</v>
      </c>
      <c r="D36" s="65"/>
      <c r="E36" s="65"/>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C&amp;I</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1422</v>
      </c>
      <c r="D38" s="65"/>
      <c r="E38" s="65"/>
      <c r="F38" s="65"/>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f t="shared" si="11"/>
        <v>5</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Plug Loads</v>
      </c>
      <c r="D43" s="83" t="str">
        <f t="shared" si="14"/>
        <v>Plug Loads</v>
      </c>
      <c r="E43" s="83" t="str">
        <f t="shared" si="14"/>
        <v>Plug Loads</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Computer Power Management Software</v>
      </c>
      <c r="D52" s="66" t="str">
        <f t="shared" si="16"/>
        <v>Computer Power Management Software</v>
      </c>
      <c r="E52" s="66" t="str">
        <f t="shared" si="16"/>
        <v>Computer Power Management Software</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RET</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1421</v>
      </c>
      <c r="D55" s="65" t="s">
        <v>1421</v>
      </c>
      <c r="E55" s="65" t="s">
        <v>1421</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1420</v>
      </c>
      <c r="D56" s="82" t="s">
        <v>1420</v>
      </c>
      <c r="E56" s="82" t="s">
        <v>1420</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t="e">
        <f>D57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t="e">
        <f>D58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82" t="s">
        <v>188</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E130</f>
        <v>75.160799999999995</v>
      </c>
      <c r="D64" s="67">
        <f>E132</f>
        <v>16.188480000000002</v>
      </c>
      <c r="E64" s="67">
        <f>E134</f>
        <v>8.7074400000000018</v>
      </c>
      <c r="F64" s="65"/>
      <c r="G64" s="65"/>
      <c r="H64" s="65"/>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F130</f>
        <v>0.51475881929445644</v>
      </c>
      <c r="D65" s="67">
        <f>F132</f>
        <v>0.35483870967741937</v>
      </c>
      <c r="E65" s="67">
        <f>F134</f>
        <v>0.25663534028710117</v>
      </c>
      <c r="F65" s="65"/>
      <c r="G65" s="65"/>
      <c r="H65" s="65"/>
      <c r="I65" s="65"/>
      <c r="J65" s="65"/>
      <c r="K65" s="65"/>
      <c r="L65" s="65"/>
      <c r="M65" s="69">
        <v>3</v>
      </c>
      <c r="N65" s="69" t="str">
        <f t="shared" ref="N65:V74" ca="1" si="19">IF(N$33="","","-")</f>
        <v>-</v>
      </c>
      <c r="O65" s="69" t="str">
        <f t="shared" ca="1" si="19"/>
        <v>-</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ca="1" si="19"/>
        <v>-</v>
      </c>
      <c r="O66" s="64" t="str">
        <f t="shared" ca="1" si="19"/>
        <v>-</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ca="1" si="19"/>
        <v>-</v>
      </c>
      <c r="O67" s="64" t="str">
        <f t="shared" ca="1" si="19"/>
        <v>-</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c r="D68" s="71"/>
      <c r="E68" s="71"/>
      <c r="F68" s="65"/>
      <c r="G68" s="65"/>
      <c r="H68" s="65"/>
      <c r="I68" s="65"/>
      <c r="J68" s="65"/>
      <c r="K68" s="65"/>
      <c r="L68" s="65"/>
      <c r="M68" s="64" t="str">
        <f ca="1">IF(M$33="","","-")</f>
        <v>-</v>
      </c>
      <c r="N68" s="64" t="str">
        <f t="shared" ca="1" si="19"/>
        <v>-</v>
      </c>
      <c r="O68" s="64" t="str">
        <f t="shared" ca="1" si="19"/>
        <v>-</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83" t="s">
        <v>81</v>
      </c>
      <c r="C69" s="493">
        <f>G130</f>
        <v>0.38583942693531736</v>
      </c>
      <c r="D69" s="493">
        <f>G132</f>
        <v>1.7913973393425446</v>
      </c>
      <c r="E69" s="493">
        <f>G134</f>
        <v>3.3304851942706462</v>
      </c>
      <c r="F69" s="493" t="str">
        <f t="shared" ref="F69:L69" si="21">IFERROR(F68/F64,"")</f>
        <v/>
      </c>
      <c r="G69" s="493" t="str">
        <f t="shared" si="21"/>
        <v/>
      </c>
      <c r="H69" s="493" t="str">
        <f t="shared" si="21"/>
        <v/>
      </c>
      <c r="I69" s="493" t="str">
        <f t="shared" si="21"/>
        <v/>
      </c>
      <c r="J69" s="493" t="str">
        <f t="shared" si="21"/>
        <v/>
      </c>
      <c r="K69" s="493" t="str">
        <f t="shared" si="21"/>
        <v/>
      </c>
      <c r="L69" s="493" t="str">
        <f t="shared" si="21"/>
        <v/>
      </c>
      <c r="M69" s="69">
        <v>4</v>
      </c>
      <c r="N69" s="69" t="str">
        <f t="shared" ca="1" si="19"/>
        <v>-</v>
      </c>
      <c r="O69" s="69" t="str">
        <f t="shared" ca="1" si="19"/>
        <v>-</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Computer Power Management Software</v>
      </c>
      <c r="D71" s="66" t="str">
        <f t="shared" si="23"/>
        <v>Computer Power Management Software</v>
      </c>
      <c r="E71" s="66" t="str">
        <f t="shared" si="23"/>
        <v>Computer Power Management Software</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ca="1" si="24">IF(N$33="","","-")</f>
        <v>-</v>
      </c>
      <c r="O75" s="64" t="str">
        <f t="shared" ca="1" si="24"/>
        <v>-</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ca="1" si="24"/>
        <v>-</v>
      </c>
      <c r="O76" s="64" t="str">
        <f t="shared" ca="1" si="24"/>
        <v>-</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ca="1" si="24"/>
        <v>-</v>
      </c>
      <c r="O77" s="64" t="str">
        <f t="shared" ca="1" si="24"/>
        <v>-</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ca="1" si="24"/>
        <v>-</v>
      </c>
      <c r="O78" s="64" t="str">
        <f t="shared" ca="1" si="24"/>
        <v>-</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ca="1" si="24"/>
        <v>-</v>
      </c>
      <c r="O79" s="64" t="str">
        <f t="shared" ca="1" si="24"/>
        <v>-</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ca="1" si="24"/>
        <v>-</v>
      </c>
      <c r="O80" s="64" t="str">
        <f t="shared" ca="1" si="24"/>
        <v>-</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ca="1" si="24"/>
        <v>-</v>
      </c>
      <c r="O81" s="64" t="str">
        <f t="shared" ca="1" si="24"/>
        <v>-</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ca="1" si="24"/>
        <v>-</v>
      </c>
      <c r="O82" s="64" t="str">
        <f t="shared" ca="1" si="24"/>
        <v>-</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ca="1" si="24"/>
        <v>-</v>
      </c>
      <c r="O83" s="64" t="str">
        <f t="shared" ca="1" si="24"/>
        <v>-</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ca="1" si="24"/>
        <v>-</v>
      </c>
      <c r="O84" s="64" t="str">
        <f t="shared" ca="1" si="24"/>
        <v>-</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ca="1" si="26">IF(N$33="","","-")</f>
        <v>-</v>
      </c>
      <c r="O85" s="64" t="str">
        <f t="shared" ca="1" si="26"/>
        <v>-</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ca="1" si="26"/>
        <v>-</v>
      </c>
      <c r="O86" s="64" t="str">
        <f t="shared" ca="1" si="26"/>
        <v>-</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ca="1" si="26"/>
        <v>-</v>
      </c>
      <c r="O87" s="64" t="str">
        <f t="shared" ca="1" si="26"/>
        <v>-</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ca="1" si="26"/>
        <v>-</v>
      </c>
      <c r="O88" s="64" t="str">
        <f t="shared" ca="1" si="26"/>
        <v>-</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ca="1" si="26"/>
        <v>-</v>
      </c>
      <c r="O89" s="64" t="str">
        <f t="shared" ca="1" si="26"/>
        <v>-</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ca="1" si="26"/>
        <v>-</v>
      </c>
      <c r="O90" s="64" t="str">
        <f t="shared" ca="1" si="26"/>
        <v>-</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ca="1" si="26"/>
        <v>-</v>
      </c>
      <c r="O91" s="64" t="str">
        <f t="shared" ca="1" si="26"/>
        <v>-</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ca="1" si="26"/>
        <v>-</v>
      </c>
      <c r="O92" s="64" t="str">
        <f t="shared" ca="1" si="26"/>
        <v>-</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ca="1" si="26"/>
        <v>-</v>
      </c>
      <c r="O93" s="64" t="str">
        <f t="shared" ca="1" si="26"/>
        <v>-</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ca="1" si="26"/>
        <v>-</v>
      </c>
      <c r="O94" s="64" t="str">
        <f t="shared" ca="1" si="26"/>
        <v>-</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ca="1" si="27">IF(N$33="","","-")</f>
        <v>-</v>
      </c>
      <c r="O95" s="64" t="str">
        <f t="shared" ca="1" si="27"/>
        <v>-</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ca="1" si="27"/>
        <v>-</v>
      </c>
      <c r="O96" s="64" t="str">
        <f t="shared" ca="1" si="27"/>
        <v>-</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ca="1" si="27"/>
        <v>-</v>
      </c>
      <c r="O97" s="64" t="str">
        <f t="shared" ca="1" si="27"/>
        <v>-</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ca="1" si="27"/>
        <v>-</v>
      </c>
      <c r="O98" s="64" t="str">
        <f t="shared" ca="1" si="27"/>
        <v>-</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ca="1" si="27"/>
        <v>-</v>
      </c>
      <c r="O99" s="64" t="str">
        <f t="shared" ca="1" si="27"/>
        <v>-</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ca="1" si="27"/>
        <v>-</v>
      </c>
      <c r="O100" s="64" t="str">
        <f t="shared" ca="1" si="27"/>
        <v>-</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ca="1" si="27"/>
        <v>-</v>
      </c>
      <c r="O101" s="64" t="str">
        <f t="shared" ca="1" si="27"/>
        <v>-</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ca="1" si="27"/>
        <v>-</v>
      </c>
      <c r="O102" s="64" t="str">
        <f t="shared" ca="1" si="27"/>
        <v>-</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ca="1" si="27"/>
        <v>-</v>
      </c>
      <c r="O103" s="64" t="str">
        <f t="shared" ca="1" si="27"/>
        <v>-</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1419</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1418</v>
      </c>
      <c r="C111" s="498" t="s">
        <v>35</v>
      </c>
      <c r="D111" s="498" t="s">
        <v>1409</v>
      </c>
      <c r="E111" s="93" t="s">
        <v>1417</v>
      </c>
      <c r="F111" s="93"/>
    </row>
    <row r="112" spans="1:22">
      <c r="A112" s="93"/>
      <c r="B112" s="332" t="s">
        <v>1392</v>
      </c>
      <c r="C112" s="498" t="s">
        <v>35</v>
      </c>
      <c r="D112" s="498" t="s">
        <v>1409</v>
      </c>
      <c r="E112" s="93" t="s">
        <v>1416</v>
      </c>
      <c r="F112" s="93"/>
    </row>
    <row r="113" spans="1:9">
      <c r="A113" s="93"/>
      <c r="B113" s="332" t="s">
        <v>1390</v>
      </c>
      <c r="C113" s="498" t="s">
        <v>35</v>
      </c>
      <c r="D113" s="498" t="s">
        <v>1409</v>
      </c>
      <c r="E113" s="93" t="s">
        <v>1415</v>
      </c>
      <c r="F113" s="93"/>
    </row>
    <row r="114" spans="1:9">
      <c r="A114" s="93"/>
      <c r="B114" s="332" t="s">
        <v>1389</v>
      </c>
      <c r="C114" s="498" t="s">
        <v>35</v>
      </c>
      <c r="D114" s="498" t="s">
        <v>1409</v>
      </c>
      <c r="E114" s="93" t="s">
        <v>1414</v>
      </c>
      <c r="F114" s="93"/>
    </row>
    <row r="115" spans="1:9">
      <c r="A115" s="93"/>
      <c r="B115" s="332" t="s">
        <v>1413</v>
      </c>
      <c r="C115" s="498" t="s">
        <v>35</v>
      </c>
      <c r="D115" s="498" t="s">
        <v>1409</v>
      </c>
      <c r="E115" s="93" t="s">
        <v>1411</v>
      </c>
      <c r="F115" s="93"/>
    </row>
    <row r="116" spans="1:9">
      <c r="A116" s="93"/>
      <c r="B116" s="332" t="s">
        <v>1412</v>
      </c>
      <c r="C116" s="498" t="s">
        <v>35</v>
      </c>
      <c r="D116" s="498" t="s">
        <v>1409</v>
      </c>
      <c r="E116" s="93" t="s">
        <v>1411</v>
      </c>
      <c r="F116" s="93"/>
    </row>
    <row r="117" spans="1:9">
      <c r="A117" s="93"/>
      <c r="B117" s="332" t="s">
        <v>1410</v>
      </c>
      <c r="C117" s="498" t="s">
        <v>35</v>
      </c>
      <c r="D117" s="498" t="s">
        <v>1409</v>
      </c>
      <c r="E117" s="93" t="s">
        <v>1408</v>
      </c>
      <c r="F117" s="93"/>
    </row>
    <row r="118" spans="1:9">
      <c r="A118" s="93"/>
      <c r="B118" s="332" t="s">
        <v>2045</v>
      </c>
      <c r="C118" s="498">
        <v>5</v>
      </c>
      <c r="D118" s="498" t="s">
        <v>1409</v>
      </c>
      <c r="E118" s="93" t="s">
        <v>2067</v>
      </c>
      <c r="F118" s="93"/>
    </row>
    <row r="119" spans="1:9">
      <c r="A119" s="93"/>
      <c r="B119" s="332" t="s">
        <v>2014</v>
      </c>
      <c r="C119" s="498">
        <v>29</v>
      </c>
      <c r="D119" s="498" t="s">
        <v>1409</v>
      </c>
      <c r="E119" s="93" t="s">
        <v>2068</v>
      </c>
      <c r="F119" s="93"/>
    </row>
    <row r="120" spans="1:9">
      <c r="A120" s="93"/>
      <c r="B120" s="716" t="s">
        <v>1407</v>
      </c>
      <c r="C120" s="715" t="s">
        <v>1406</v>
      </c>
      <c r="D120" s="715"/>
      <c r="E120" s="710" t="s">
        <v>1405</v>
      </c>
      <c r="F120" s="710"/>
      <c r="G120" s="710" t="s">
        <v>1404</v>
      </c>
      <c r="H120" s="710"/>
      <c r="I120" s="710"/>
    </row>
    <row r="121" spans="1:9">
      <c r="A121" s="93"/>
      <c r="B121" s="716"/>
      <c r="C121" s="496" t="s">
        <v>1403</v>
      </c>
      <c r="D121" s="496" t="s">
        <v>1400</v>
      </c>
      <c r="E121" s="496" t="s">
        <v>1403</v>
      </c>
      <c r="F121" s="496" t="s">
        <v>1400</v>
      </c>
      <c r="G121" s="496" t="s">
        <v>1402</v>
      </c>
      <c r="H121" s="496" t="s">
        <v>1401</v>
      </c>
      <c r="I121" s="496" t="s">
        <v>1400</v>
      </c>
    </row>
    <row r="122" spans="1:9">
      <c r="A122" s="93"/>
      <c r="B122" s="332" t="s">
        <v>1399</v>
      </c>
      <c r="C122" s="500">
        <v>0.05</v>
      </c>
      <c r="D122" s="500">
        <v>0.22</v>
      </c>
      <c r="E122" s="500">
        <v>0.05</v>
      </c>
      <c r="F122" s="500">
        <v>0.22</v>
      </c>
      <c r="G122" s="93">
        <v>0</v>
      </c>
      <c r="H122" s="93">
        <v>0</v>
      </c>
      <c r="I122" s="93">
        <v>0</v>
      </c>
    </row>
    <row r="123" spans="1:9">
      <c r="A123" s="93"/>
      <c r="B123" s="332" t="s">
        <v>1398</v>
      </c>
      <c r="C123" s="500">
        <v>0.55000000000000004</v>
      </c>
      <c r="D123" s="500">
        <v>0.5</v>
      </c>
      <c r="E123" s="500">
        <v>0.77</v>
      </c>
      <c r="F123" s="500">
        <v>0.56999999999999995</v>
      </c>
      <c r="G123" s="93">
        <v>0.9</v>
      </c>
      <c r="H123" s="93">
        <v>0.5</v>
      </c>
      <c r="I123" s="93">
        <v>0.23</v>
      </c>
    </row>
    <row r="124" spans="1:9">
      <c r="A124" s="93"/>
      <c r="B124" s="332" t="s">
        <v>1397</v>
      </c>
      <c r="C124" s="500">
        <v>0.02</v>
      </c>
      <c r="D124" s="500">
        <v>0.02</v>
      </c>
      <c r="E124" s="500">
        <v>0.02</v>
      </c>
      <c r="F124" s="500">
        <v>0.02</v>
      </c>
      <c r="G124" s="93">
        <v>2.1</v>
      </c>
      <c r="H124" s="93">
        <v>0.9</v>
      </c>
      <c r="I124" s="93">
        <v>0.32</v>
      </c>
    </row>
    <row r="125" spans="1:9">
      <c r="A125" s="93"/>
      <c r="B125" s="332" t="s">
        <v>1396</v>
      </c>
      <c r="C125" s="500">
        <v>0.35</v>
      </c>
      <c r="D125" s="500">
        <f>-D12426</f>
        <v>0</v>
      </c>
      <c r="E125" s="500">
        <v>0.13</v>
      </c>
      <c r="F125" s="500">
        <v>0</v>
      </c>
      <c r="G125" s="93">
        <v>39.9</v>
      </c>
      <c r="H125" s="93">
        <v>8.9</v>
      </c>
      <c r="I125" s="93">
        <v>0</v>
      </c>
    </row>
    <row r="126" spans="1:9">
      <c r="A126" s="93"/>
      <c r="B126" s="332" t="s">
        <v>1395</v>
      </c>
      <c r="C126" s="500">
        <v>0.03</v>
      </c>
      <c r="D126" s="500">
        <v>0.26</v>
      </c>
      <c r="E126" s="500">
        <v>0.03</v>
      </c>
      <c r="F126" s="500">
        <v>0.19</v>
      </c>
      <c r="G126" s="93">
        <v>72.2</v>
      </c>
      <c r="H126" s="93">
        <v>60</v>
      </c>
      <c r="I126" s="93">
        <v>14.43</v>
      </c>
    </row>
    <row r="127" spans="1:9">
      <c r="A127" s="26"/>
      <c r="B127" s="26"/>
      <c r="C127" s="26"/>
    </row>
    <row r="128" spans="1:9">
      <c r="A128" s="2"/>
      <c r="B128" s="318" t="s">
        <v>533</v>
      </c>
      <c r="C128" s="498"/>
      <c r="D128" s="498"/>
      <c r="E128" s="498"/>
      <c r="F128" s="498"/>
      <c r="G128" s="498"/>
      <c r="H128" s="498"/>
      <c r="I128" s="498"/>
    </row>
    <row r="129" spans="1:9">
      <c r="A129" s="2"/>
      <c r="B129" s="318" t="s">
        <v>1367</v>
      </c>
      <c r="C129" s="496" t="s">
        <v>1393</v>
      </c>
      <c r="D129" s="496" t="s">
        <v>1392</v>
      </c>
      <c r="E129" s="496" t="s">
        <v>500</v>
      </c>
      <c r="F129" s="496" t="s">
        <v>2007</v>
      </c>
      <c r="G129" s="496" t="s">
        <v>2069</v>
      </c>
      <c r="H129" s="496"/>
      <c r="I129" s="496"/>
    </row>
    <row r="130" spans="1:9">
      <c r="A130" s="26"/>
      <c r="B130" s="496" t="s">
        <v>1394</v>
      </c>
      <c r="C130" s="498">
        <f>SUMPRODUCT(C122:C126,G122:G126)*8760</f>
        <v>146011.68</v>
      </c>
      <c r="D130" s="498">
        <f>SUMPRODUCT(E122:E126,G122:G126)*8760</f>
        <v>70850.880000000005</v>
      </c>
      <c r="E130" s="498">
        <f>(C130-D130)/1000</f>
        <v>75.160799999999995</v>
      </c>
      <c r="F130" s="498">
        <f>E130*1000/C130</f>
        <v>0.51475881929445644</v>
      </c>
      <c r="G130" s="498">
        <f>$C$119/E130</f>
        <v>0.38583942693531736</v>
      </c>
      <c r="H130" s="498"/>
      <c r="I130" s="498"/>
    </row>
    <row r="131" spans="1:9">
      <c r="A131" s="26"/>
      <c r="B131" s="496"/>
      <c r="C131" s="496" t="s">
        <v>1393</v>
      </c>
      <c r="D131" s="496" t="s">
        <v>1392</v>
      </c>
      <c r="E131" s="496" t="s">
        <v>500</v>
      </c>
      <c r="F131" s="498"/>
      <c r="G131" s="496"/>
      <c r="H131" s="496"/>
      <c r="I131" s="496"/>
    </row>
    <row r="132" spans="1:9">
      <c r="A132" s="26"/>
      <c r="B132" s="496" t="s">
        <v>1391</v>
      </c>
      <c r="C132" s="498">
        <f>SUMPRODUCT(C122:C126,H122:H126)*8760</f>
        <v>45622.080000000002</v>
      </c>
      <c r="D132" s="498">
        <f>SUMPRODUCT(E122:E126,H122:H126)*8760</f>
        <v>29433.599999999999</v>
      </c>
      <c r="E132" s="498">
        <f>(C132-D132)/1000</f>
        <v>16.188480000000002</v>
      </c>
      <c r="F132" s="498">
        <f>E132*1000/C132</f>
        <v>0.35483870967741937</v>
      </c>
      <c r="G132" s="498">
        <f>$C$119/E132</f>
        <v>1.7913973393425446</v>
      </c>
      <c r="H132" s="498"/>
      <c r="I132" s="498"/>
    </row>
    <row r="133" spans="1:9">
      <c r="A133" s="26"/>
      <c r="B133" s="496"/>
      <c r="C133" s="496" t="s">
        <v>1390</v>
      </c>
      <c r="D133" s="496" t="s">
        <v>1389</v>
      </c>
      <c r="E133" s="496" t="s">
        <v>500</v>
      </c>
      <c r="F133" s="498"/>
      <c r="G133" s="496"/>
      <c r="H133" s="496"/>
      <c r="I133" s="496"/>
    </row>
    <row r="134" spans="1:9">
      <c r="B134" s="496" t="s">
        <v>1388</v>
      </c>
      <c r="C134" s="498">
        <f>SUMPRODUCT(D122:D126,I122:I126)*8760</f>
        <v>33929.232000000004</v>
      </c>
      <c r="D134" s="498">
        <f>SUMPRODUCT(F122:F126,I122:I126)*8760</f>
        <v>25221.792000000001</v>
      </c>
      <c r="E134" s="498">
        <f>(C134-D134)/1000</f>
        <v>8.7074400000000018</v>
      </c>
      <c r="F134" s="498">
        <f>E134*1000/C134</f>
        <v>0.25663534028710117</v>
      </c>
      <c r="G134" s="498">
        <f>$C$119/E134</f>
        <v>3.3304851942706462</v>
      </c>
      <c r="H134" s="498"/>
      <c r="I134" s="498"/>
    </row>
    <row r="135" spans="1:9">
      <c r="B135" s="7" t="s">
        <v>0</v>
      </c>
      <c r="C135" s="7"/>
      <c r="D135" s="7"/>
    </row>
  </sheetData>
  <mergeCells count="4">
    <mergeCell ref="C120:D120"/>
    <mergeCell ref="B120:B121"/>
    <mergeCell ref="E120:F120"/>
    <mergeCell ref="G120:I120"/>
  </mergeCells>
  <phoneticPr fontId="35" type="noConversion"/>
  <dataValidations count="5">
    <dataValidation type="list" allowBlank="1" showInputMessage="1" showErrorMessage="1" sqref="C59:L59" xr:uid="{00000000-0002-0000-9900-000004000000}">
      <formula1>$N$19:$AQ$19</formula1>
    </dataValidation>
    <dataValidation type="list" allowBlank="1" showInputMessage="1" showErrorMessage="1" sqref="E11:E20" xr:uid="{00000000-0002-0000-9900-000003000000}">
      <formula1>$N$16:$O$16</formula1>
    </dataValidation>
    <dataValidation type="list" allowBlank="1" showInputMessage="1" showErrorMessage="1" sqref="D11:D20" xr:uid="{00000000-0002-0000-9900-000002000000}">
      <formula1>$N$22:$AE$22</formula1>
    </dataValidation>
    <dataValidation type="list" allowBlank="1" showInputMessage="1" showErrorMessage="1" sqref="B11:C20" xr:uid="{00000000-0002-0000-9900-000001000000}">
      <formula1>$N$7:$Q$7</formula1>
    </dataValidation>
    <dataValidation type="list" allowBlank="1" showInputMessage="1" showErrorMessage="1" sqref="D7" xr:uid="{00000000-0002-0000-9900-000000000000}">
      <formula1>$N$11:$O$11</formula1>
    </dataValidation>
  </dataValidations>
  <pageMargins left="0.7" right="0.7" top="0.75" bottom="0.75" header="0.3" footer="0.3"/>
  <pageSetup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853B-1645-4639-B522-0298F16DE013}">
  <sheetPr codeName="Sheet25">
    <tabColor indexed="14"/>
  </sheetPr>
  <dimension ref="A1:AQ132"/>
  <sheetViews>
    <sheetView topLeftCell="A24" zoomScaleNormal="100" workbookViewId="0">
      <selection activeCell="D7" sqref="D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Level 2 EV Charger</v>
      </c>
      <c r="C7" s="98" t="s">
        <v>441</v>
      </c>
      <c r="D7" s="97" t="s">
        <v>211</v>
      </c>
      <c r="E7" s="250">
        <f>C110</f>
        <v>10</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Level 2 EV Charger_CI, E - Plug (MD)</v>
      </c>
      <c r="J11" s="83" t="str">
        <f t="shared" ref="J11:J20" si="3">IF(B11="","",CONCATENATE($C$7,IF(C11="","",CONCATENATE(" with ",C11," Secondary Fuel"))))</f>
        <v>Level 2 Electric Vehicle Charger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Level 2 EV Charger_CI,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Level 2 EV Charger_CI,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Level 2 EV Charger_CI,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G126</f>
        <v>34.774349999999998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0">
        <f>F126</f>
        <v>65.5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L126</f>
        <v>5.0318554178796697</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Level 2 Electric Vehicle Charger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s="1" t="s">
        <v>440</v>
      </c>
    </row>
    <row r="106" spans="1:22">
      <c r="B106" s="1" t="s">
        <v>439</v>
      </c>
    </row>
    <row r="107" spans="1:22" s="63" customFormat="1" ht="15.75" thickBot="1">
      <c r="B107" s="63" t="s">
        <v>50</v>
      </c>
    </row>
    <row r="109" spans="1:22">
      <c r="B109" s="58" t="s">
        <v>46</v>
      </c>
      <c r="C109" s="58" t="s">
        <v>45</v>
      </c>
      <c r="D109" s="58" t="s">
        <v>44</v>
      </c>
      <c r="E109" s="58" t="s">
        <v>43</v>
      </c>
    </row>
    <row r="110" spans="1:22">
      <c r="B110" s="57" t="s">
        <v>305</v>
      </c>
      <c r="C110" s="57">
        <v>10</v>
      </c>
      <c r="D110" s="57" t="s">
        <v>426</v>
      </c>
    </row>
    <row r="111" spans="1:22">
      <c r="B111" s="57" t="s">
        <v>9</v>
      </c>
      <c r="C111" s="180" t="s">
        <v>35</v>
      </c>
      <c r="D111" s="57" t="s">
        <v>426</v>
      </c>
      <c r="E111" s="57" t="s">
        <v>438</v>
      </c>
    </row>
    <row r="112" spans="1:22">
      <c r="B112" s="57" t="s">
        <v>437</v>
      </c>
      <c r="C112" s="249">
        <f>C118-C117</f>
        <v>3233</v>
      </c>
      <c r="D112" s="57" t="s">
        <v>426</v>
      </c>
      <c r="E112" s="53" t="s">
        <v>436</v>
      </c>
    </row>
    <row r="113" spans="2:17">
      <c r="B113" s="57" t="s">
        <v>435</v>
      </c>
      <c r="C113" s="249">
        <f>8760-C118</f>
        <v>5249</v>
      </c>
      <c r="D113" s="57" t="s">
        <v>426</v>
      </c>
      <c r="E113" s="53" t="s">
        <v>434</v>
      </c>
    </row>
    <row r="114" spans="2:17">
      <c r="B114" s="57" t="s">
        <v>423</v>
      </c>
      <c r="C114" s="249" t="s">
        <v>35</v>
      </c>
      <c r="D114" s="57" t="s">
        <v>426</v>
      </c>
      <c r="E114" s="53" t="s">
        <v>433</v>
      </c>
    </row>
    <row r="115" spans="2:17">
      <c r="B115" s="57" t="s">
        <v>422</v>
      </c>
      <c r="C115" s="249" t="s">
        <v>35</v>
      </c>
      <c r="D115" s="57" t="s">
        <v>426</v>
      </c>
      <c r="E115" s="57" t="s">
        <v>432</v>
      </c>
    </row>
    <row r="116" spans="2:17">
      <c r="B116" s="57" t="s">
        <v>421</v>
      </c>
      <c r="C116" s="249" t="s">
        <v>35</v>
      </c>
      <c r="D116" s="57" t="s">
        <v>426</v>
      </c>
      <c r="E116" s="57" t="s">
        <v>431</v>
      </c>
    </row>
    <row r="117" spans="2:17">
      <c r="B117" s="57" t="s">
        <v>430</v>
      </c>
      <c r="C117" s="249">
        <v>278</v>
      </c>
      <c r="D117" s="57" t="s">
        <v>426</v>
      </c>
      <c r="E117" s="53" t="s">
        <v>429</v>
      </c>
    </row>
    <row r="118" spans="2:17">
      <c r="B118" s="57" t="s">
        <v>428</v>
      </c>
      <c r="C118" s="249">
        <v>3511</v>
      </c>
      <c r="D118" s="57" t="s">
        <v>426</v>
      </c>
      <c r="E118" s="53" t="s">
        <v>427</v>
      </c>
    </row>
    <row r="119" spans="2:17">
      <c r="B119" s="57" t="s">
        <v>34</v>
      </c>
      <c r="C119" s="248">
        <v>1</v>
      </c>
      <c r="D119" s="57" t="s">
        <v>426</v>
      </c>
      <c r="E119" s="57" t="s">
        <v>425</v>
      </c>
    </row>
    <row r="120" spans="2:17">
      <c r="B120" s="57"/>
      <c r="C120" s="180"/>
      <c r="D120" s="57"/>
      <c r="E120" s="57"/>
    </row>
    <row r="121" spans="2:17">
      <c r="B121" s="58"/>
      <c r="C121" s="58"/>
      <c r="D121" s="58"/>
      <c r="E121" s="58"/>
    </row>
    <row r="122" spans="2:17">
      <c r="B122" s="21" t="s">
        <v>251</v>
      </c>
      <c r="C122" s="21"/>
      <c r="D122" s="21"/>
      <c r="E122" s="21"/>
      <c r="F122" s="21"/>
      <c r="G122" s="21"/>
      <c r="H122" s="21"/>
      <c r="I122" s="21"/>
      <c r="J122" s="21"/>
      <c r="K122" s="21"/>
      <c r="L122" s="21"/>
      <c r="Q122" s="27"/>
    </row>
    <row r="123" spans="2:17" ht="26.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c r="B127" s="26"/>
      <c r="C127" s="26"/>
      <c r="D127" s="26"/>
      <c r="E127" s="26"/>
      <c r="F127" s="26"/>
      <c r="G127" s="26"/>
      <c r="H127" s="26"/>
      <c r="I127" s="26"/>
      <c r="J127" s="26"/>
      <c r="K127" s="26"/>
      <c r="L127" s="26"/>
      <c r="M127" s="26"/>
      <c r="N127" s="26"/>
      <c r="O127" s="27"/>
      <c r="P127" s="27"/>
      <c r="Q127" s="27"/>
    </row>
    <row r="128" spans="2:17">
      <c r="B128" s="26"/>
      <c r="C128" s="26"/>
      <c r="D128" s="26"/>
      <c r="E128" s="26"/>
      <c r="F128" s="26"/>
      <c r="G128" s="26"/>
      <c r="H128" s="26"/>
      <c r="I128" s="26"/>
      <c r="J128" s="26"/>
      <c r="K128" s="26"/>
      <c r="L128" s="26"/>
      <c r="M128" s="26"/>
      <c r="N128" s="26"/>
      <c r="O128" s="27"/>
      <c r="P128" s="27"/>
      <c r="Q128" s="27"/>
    </row>
    <row r="129" spans="2:17">
      <c r="B129" s="26"/>
      <c r="C129" s="26"/>
      <c r="D129" s="26"/>
      <c r="E129" s="26"/>
      <c r="F129" s="26"/>
      <c r="G129" s="26"/>
      <c r="H129" s="26"/>
      <c r="I129" s="26"/>
      <c r="J129" s="26"/>
      <c r="K129" s="26"/>
      <c r="L129" s="26"/>
      <c r="M129" s="26"/>
      <c r="N129" s="26"/>
      <c r="O129" s="27"/>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C59:L59" xr:uid="{F4202456-80C9-431E-86DC-2ADAA3ED99A2}">
      <formula1>$N$19:$AQ$19</formula1>
    </dataValidation>
    <dataValidation type="list" allowBlank="1" showInputMessage="1" showErrorMessage="1" sqref="E11:E20" xr:uid="{3DEEBF05-EC32-46B5-9363-4DDD848F8146}">
      <formula1>$N$16:$O$16</formula1>
    </dataValidation>
    <dataValidation type="list" allowBlank="1" showInputMessage="1" showErrorMessage="1" sqref="D11:D20" xr:uid="{8C957FC1-D5A8-4BE3-BAAC-C9CEC43A049E}">
      <formula1>$N$22:$AE$22</formula1>
    </dataValidation>
    <dataValidation type="list" allowBlank="1" showInputMessage="1" showErrorMessage="1" sqref="B11:C20" xr:uid="{E149A07F-81C7-4E2C-8B36-9DBB04C0D967}">
      <formula1>$N$7:$Q$7</formula1>
    </dataValidation>
    <dataValidation type="list" allowBlank="1" showInputMessage="1" showErrorMessage="1" sqref="D7" xr:uid="{F19EC08C-7C73-45E0-B5B4-2B1FB7FB475F}">
      <formula1>$N$11:$O$11</formula1>
    </dataValidation>
  </dataValidations>
  <pageMargins left="0.7" right="0.7" top="0.75" bottom="0.75" header="0.3" footer="0.3"/>
  <pageSetup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4D787-0825-4AAD-A1E4-466EA9A9EF4A}">
  <sheetPr codeName="Sheet26">
    <tabColor indexed="14"/>
  </sheetPr>
  <dimension ref="A1:AQ127"/>
  <sheetViews>
    <sheetView topLeftCell="A95"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Water Cooler</v>
      </c>
      <c r="C7" s="98" t="s">
        <v>2378</v>
      </c>
      <c r="D7" s="97" t="s">
        <v>211</v>
      </c>
      <c r="E7" s="97">
        <f>C115</f>
        <v>10</v>
      </c>
      <c r="F7" s="97" t="s">
        <v>2379</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Water Cooler_CI, E - Plug (MD)</v>
      </c>
      <c r="J11" s="83" t="str">
        <f t="shared" ref="J11:J20" si="3">IF(B11="","",CONCATENATE($C$7,IF(C11="","",CONCATENATE(" with ",C11," Secondary Fuel"))))</f>
        <v>ENERGY STAR Water Cooler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30">
      <c r="A33" s="1">
        <v>1</v>
      </c>
      <c r="B33" s="83" t="s">
        <v>129</v>
      </c>
      <c r="C33" s="499" t="str">
        <f t="shared" ref="C33:L33" ca="1" si="5">IF(VLOOKUP(C$31,$A$11:$K$20,9,FALSE)="","",VLOOKUP(C$31,$A$11:$K$20,9,FALSE))</f>
        <v>CI Water Cooler_CI, E - Plug (MD)</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Cooler_CI,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ENERGY STAR Water Cooler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CI Water Cooler_CI, E - Plug (MD)</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ENERGY STAR Water Cooler</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ENERGY STAR Water Cooler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MD</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c r="A55" s="1">
        <f t="shared" si="7"/>
        <v>23</v>
      </c>
      <c r="B55" s="65" t="s">
        <v>101</v>
      </c>
      <c r="C55" s="65" t="s">
        <v>2381</v>
      </c>
      <c r="D55" s="65"/>
      <c r="E55" s="65"/>
      <c r="F55" s="65"/>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c r="A56" s="1">
        <f t="shared" si="7"/>
        <v>24</v>
      </c>
      <c r="B56" s="65" t="s">
        <v>98</v>
      </c>
      <c r="C56" s="82" t="s">
        <v>2382</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c r="A59" s="1">
        <f t="shared" si="7"/>
        <v>27</v>
      </c>
      <c r="B59" s="65" t="s">
        <v>93</v>
      </c>
      <c r="C59" s="82" t="s">
        <v>188</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c r="A60" s="1">
        <f t="shared" si="7"/>
        <v>28</v>
      </c>
      <c r="B60" s="65" t="s">
        <v>91</v>
      </c>
      <c r="C60" s="65"/>
      <c r="D60" s="65"/>
      <c r="E60" s="65"/>
      <c r="F60" s="65"/>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c r="A61" s="1">
        <f t="shared" si="7"/>
        <v>29</v>
      </c>
      <c r="B61" s="65" t="s">
        <v>89</v>
      </c>
      <c r="C61" s="65"/>
      <c r="D61" s="65"/>
      <c r="E61" s="65"/>
      <c r="F61" s="65"/>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c r="A62" s="1">
        <f t="shared" si="7"/>
        <v>30</v>
      </c>
      <c r="B62" s="65" t="s">
        <v>88</v>
      </c>
      <c r="C62" s="65"/>
      <c r="D62" s="65"/>
      <c r="E62" s="65"/>
      <c r="F62" s="65"/>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c r="A63" s="1">
        <f t="shared" si="7"/>
        <v>31</v>
      </c>
      <c r="B63" s="65" t="s">
        <v>87</v>
      </c>
      <c r="C63" s="65"/>
      <c r="D63" s="65"/>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c r="A64" s="1">
        <f t="shared" si="7"/>
        <v>32</v>
      </c>
      <c r="B64" s="65" t="s">
        <v>86</v>
      </c>
      <c r="C64" s="67">
        <f>E127</f>
        <v>188.09666666666664</v>
      </c>
      <c r="D64" s="67"/>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c r="A65" s="1">
        <f t="shared" si="7"/>
        <v>33</v>
      </c>
      <c r="B65" s="65" t="s">
        <v>85</v>
      </c>
      <c r="C65" s="74">
        <f>G127</f>
        <v>0.62471008698992558</v>
      </c>
      <c r="D65" s="74"/>
      <c r="E65" s="74"/>
      <c r="F65" s="74"/>
      <c r="G65" s="65"/>
      <c r="H65" s="65"/>
      <c r="I65" s="65"/>
      <c r="J65" s="65"/>
      <c r="K65" s="65"/>
      <c r="L65" s="65"/>
      <c r="M65" s="69">
        <v>3</v>
      </c>
      <c r="N65" s="69">
        <v>3</v>
      </c>
      <c r="O65" s="69">
        <v>25</v>
      </c>
      <c r="P65" s="69">
        <v>25</v>
      </c>
      <c r="Q65" s="69" t="str">
        <f t="shared" si="16"/>
        <v/>
      </c>
      <c r="R65" s="69" t="str">
        <f t="shared" si="16"/>
        <v/>
      </c>
      <c r="S65" s="69" t="str">
        <f t="shared" si="16"/>
        <v/>
      </c>
      <c r="T65" s="69" t="str">
        <f t="shared" si="16"/>
        <v/>
      </c>
      <c r="U65" s="69" t="str">
        <f t="shared" si="16"/>
        <v/>
      </c>
      <c r="V65" s="69" t="str">
        <f t="shared" si="16"/>
        <v/>
      </c>
    </row>
    <row r="66" spans="1:22">
      <c r="A66" s="1">
        <f t="shared" si="7"/>
        <v>34</v>
      </c>
      <c r="B66" s="65" t="s">
        <v>83</v>
      </c>
      <c r="C66" s="65"/>
      <c r="D66" s="65"/>
      <c r="E66" s="65"/>
      <c r="F66" s="65"/>
      <c r="G66" s="65"/>
      <c r="H66" s="65"/>
      <c r="I66" s="65"/>
      <c r="J66" s="65"/>
      <c r="K66" s="65"/>
      <c r="L66" s="65"/>
      <c r="M66" s="64" t="str">
        <f t="shared" ref="M66:V81"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65"/>
      <c r="D67" s="65"/>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7"/>
        <v>36</v>
      </c>
      <c r="B68" s="65" t="s">
        <v>9</v>
      </c>
      <c r="C68" s="71">
        <f>H127</f>
        <v>60</v>
      </c>
      <c r="D68" s="71"/>
      <c r="E68" s="71"/>
      <c r="F68" s="282"/>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7"/>
        <v>37</v>
      </c>
      <c r="B69" s="83" t="s">
        <v>81</v>
      </c>
      <c r="C69" s="493">
        <f>I127</f>
        <v>0.4557716308357827</v>
      </c>
      <c r="D69" s="493"/>
      <c r="E69" s="493" t="str">
        <f t="shared" ref="E69:L69" si="20">IFERROR(E68/E64,"")</f>
        <v/>
      </c>
      <c r="F69" s="493" t="str">
        <f t="shared" si="20"/>
        <v/>
      </c>
      <c r="G69" s="493" t="str">
        <f t="shared" si="20"/>
        <v/>
      </c>
      <c r="H69" s="493" t="str">
        <f t="shared" si="20"/>
        <v/>
      </c>
      <c r="I69" s="493" t="str">
        <f t="shared" si="20"/>
        <v/>
      </c>
      <c r="J69" s="493" t="str">
        <f t="shared" si="20"/>
        <v/>
      </c>
      <c r="K69" s="493" t="str">
        <f t="shared" si="20"/>
        <v/>
      </c>
      <c r="L69" s="493" t="str">
        <f t="shared" si="20"/>
        <v/>
      </c>
      <c r="M69" s="69">
        <v>12</v>
      </c>
      <c r="N69" s="69">
        <v>12</v>
      </c>
      <c r="O69" s="69">
        <v>12</v>
      </c>
      <c r="P69" s="69">
        <v>12</v>
      </c>
      <c r="Q69" s="69" t="str">
        <f t="shared" si="19"/>
        <v/>
      </c>
      <c r="R69" s="69" t="str">
        <f t="shared" si="19"/>
        <v/>
      </c>
      <c r="S69" s="69" t="str">
        <f t="shared" si="19"/>
        <v/>
      </c>
      <c r="T69" s="69" t="str">
        <f t="shared" si="19"/>
        <v/>
      </c>
      <c r="U69" s="69" t="str">
        <f t="shared" si="19"/>
        <v/>
      </c>
      <c r="V69" s="69" t="str">
        <f t="shared" si="19"/>
        <v/>
      </c>
    </row>
    <row r="70" spans="1:22">
      <c r="A70" s="1">
        <f t="shared" si="7"/>
        <v>38</v>
      </c>
      <c r="M70" s="64" t="str">
        <f t="shared" ref="M70:V89" ca="1" si="21">IF(M$33="","","-")</f>
        <v>-</v>
      </c>
      <c r="N70" s="64" t="str">
        <f t="shared" si="21"/>
        <v/>
      </c>
      <c r="O70" s="64" t="str">
        <f t="shared" si="21"/>
        <v/>
      </c>
      <c r="P70" s="64" t="str">
        <f t="shared" si="21"/>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2">C52</f>
        <v>ENERGY STAR Water Cooler</v>
      </c>
      <c r="D71" s="66" t="str">
        <f t="shared" si="22"/>
        <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si="21"/>
        <v/>
      </c>
      <c r="O71" s="64" t="str">
        <f t="shared" si="21"/>
        <v/>
      </c>
      <c r="P71" s="64" t="str">
        <f t="shared" si="21"/>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21"/>
        <v>-</v>
      </c>
      <c r="N72" s="64" t="str">
        <f t="shared" si="21"/>
        <v/>
      </c>
      <c r="O72" s="64" t="str">
        <f t="shared" si="21"/>
        <v/>
      </c>
      <c r="P72" s="64" t="str">
        <f t="shared" si="21"/>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65"/>
      <c r="E73" s="182"/>
      <c r="F73" s="65"/>
      <c r="G73" s="65"/>
      <c r="H73" s="65"/>
      <c r="I73" s="65"/>
      <c r="J73" s="65"/>
      <c r="K73" s="65"/>
      <c r="L73" s="65"/>
      <c r="M73" s="64" t="str">
        <f t="shared" ca="1" si="21"/>
        <v>-</v>
      </c>
      <c r="N73" s="64" t="str">
        <f t="shared" si="21"/>
        <v/>
      </c>
      <c r="O73" s="64" t="str">
        <f t="shared" si="21"/>
        <v/>
      </c>
      <c r="P73" s="64" t="str">
        <f t="shared" si="21"/>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21"/>
        <v>-</v>
      </c>
      <c r="N74" s="64" t="str">
        <f t="shared" si="21"/>
        <v/>
      </c>
      <c r="O74" s="64" t="str">
        <f t="shared" si="21"/>
        <v/>
      </c>
      <c r="P74" s="64" t="str">
        <f t="shared" si="21"/>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21"/>
        <v>-</v>
      </c>
      <c r="N75" s="64" t="str">
        <f t="shared" si="21"/>
        <v/>
      </c>
      <c r="O75" s="64" t="str">
        <f t="shared" si="21"/>
        <v/>
      </c>
      <c r="P75" s="64" t="str">
        <f t="shared" si="21"/>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21"/>
        <v>-</v>
      </c>
      <c r="N76" s="64" t="str">
        <f t="shared" si="21"/>
        <v/>
      </c>
      <c r="O76" s="64" t="str">
        <f t="shared" si="21"/>
        <v/>
      </c>
      <c r="P76" s="64" t="str">
        <f t="shared" si="21"/>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21"/>
        <v>-</v>
      </c>
      <c r="N77" s="64" t="str">
        <f t="shared" si="21"/>
        <v/>
      </c>
      <c r="O77" s="64" t="str">
        <f t="shared" si="21"/>
        <v/>
      </c>
      <c r="P77" s="64" t="str">
        <f t="shared" si="21"/>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65"/>
      <c r="E78" s="65"/>
      <c r="F78" s="65"/>
      <c r="G78" s="65"/>
      <c r="H78" s="65"/>
      <c r="I78" s="65"/>
      <c r="J78" s="65"/>
      <c r="K78" s="65"/>
      <c r="L78" s="65"/>
      <c r="M78" s="64" t="str">
        <f t="shared" ca="1" si="21"/>
        <v>-</v>
      </c>
      <c r="N78" s="64" t="str">
        <f t="shared" si="21"/>
        <v/>
      </c>
      <c r="O78" s="64" t="str">
        <f t="shared" si="21"/>
        <v/>
      </c>
      <c r="P78" s="64" t="str">
        <f t="shared" si="21"/>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494"/>
      <c r="E79" s="65"/>
      <c r="F79" s="494"/>
      <c r="G79" s="65"/>
      <c r="H79" s="65"/>
      <c r="I79" s="65"/>
      <c r="J79" s="65"/>
      <c r="K79" s="65"/>
      <c r="L79" s="65"/>
      <c r="M79" s="64" t="str">
        <f t="shared" ca="1" si="21"/>
        <v>-</v>
      </c>
      <c r="N79" s="64" t="str">
        <f t="shared" si="21"/>
        <v/>
      </c>
      <c r="O79" s="64" t="str">
        <f t="shared" si="21"/>
        <v/>
      </c>
      <c r="P79" s="64" t="str">
        <f t="shared" si="21"/>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73"/>
      <c r="E80" s="65"/>
      <c r="F80" s="73"/>
      <c r="G80" s="65"/>
      <c r="H80" s="65"/>
      <c r="I80" s="65"/>
      <c r="J80" s="65"/>
      <c r="K80" s="65"/>
      <c r="L80" s="65"/>
      <c r="M80" s="64" t="str">
        <f t="shared" ca="1" si="21"/>
        <v>-</v>
      </c>
      <c r="N80" s="64" t="str">
        <f t="shared" si="21"/>
        <v/>
      </c>
      <c r="O80" s="64" t="str">
        <f t="shared" si="21"/>
        <v/>
      </c>
      <c r="P80" s="64" t="str">
        <f t="shared" si="21"/>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21"/>
        <v>-</v>
      </c>
      <c r="N81" s="64" t="str">
        <f t="shared" si="21"/>
        <v/>
      </c>
      <c r="O81" s="64" t="str">
        <f t="shared" si="21"/>
        <v/>
      </c>
      <c r="P81" s="64" t="str">
        <f t="shared" si="21"/>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si="21"/>
        <v/>
      </c>
      <c r="O82" s="64" t="str">
        <f t="shared" si="21"/>
        <v/>
      </c>
      <c r="P82" s="64" t="str">
        <f t="shared" si="21"/>
        <v/>
      </c>
      <c r="Q82" s="64" t="str">
        <f t="shared" si="21"/>
        <v/>
      </c>
      <c r="R82" s="64" t="str">
        <f t="shared" si="21"/>
        <v/>
      </c>
      <c r="S82" s="64" t="str">
        <f t="shared" si="21"/>
        <v/>
      </c>
      <c r="T82" s="64" t="str">
        <f t="shared" si="21"/>
        <v/>
      </c>
      <c r="U82" s="64" t="str">
        <f t="shared" si="21"/>
        <v/>
      </c>
      <c r="V82" s="64" t="str">
        <f t="shared" si="21"/>
        <v/>
      </c>
    </row>
    <row r="83" spans="1:22">
      <c r="A83" s="1">
        <f t="shared" si="7"/>
        <v>51</v>
      </c>
      <c r="B83" s="65" t="s">
        <v>70</v>
      </c>
      <c r="C83" s="65"/>
      <c r="D83" s="65"/>
      <c r="E83" s="65"/>
      <c r="F83" s="65"/>
      <c r="G83" s="65"/>
      <c r="H83" s="65"/>
      <c r="I83" s="65"/>
      <c r="J83" s="65"/>
      <c r="K83" s="65"/>
      <c r="L83" s="65"/>
      <c r="M83" s="64" t="str">
        <f t="shared" ca="1" si="21"/>
        <v>-</v>
      </c>
      <c r="N83" s="64" t="str">
        <f t="shared" si="21"/>
        <v/>
      </c>
      <c r="O83" s="64" t="str">
        <f t="shared" si="21"/>
        <v/>
      </c>
      <c r="P83" s="64" t="str">
        <f t="shared" si="21"/>
        <v/>
      </c>
      <c r="Q83" s="64" t="str">
        <f t="shared" si="21"/>
        <v/>
      </c>
      <c r="R83" s="64" t="str">
        <f t="shared" si="21"/>
        <v/>
      </c>
      <c r="S83" s="64" t="str">
        <f t="shared" si="21"/>
        <v/>
      </c>
      <c r="T83" s="64" t="str">
        <f t="shared" si="21"/>
        <v/>
      </c>
      <c r="U83" s="64" t="str">
        <f t="shared" si="21"/>
        <v/>
      </c>
      <c r="V83" s="64" t="str">
        <f t="shared" si="21"/>
        <v/>
      </c>
    </row>
    <row r="84" spans="1:22">
      <c r="A84" s="1">
        <f t="shared" si="7"/>
        <v>52</v>
      </c>
      <c r="B84" s="65" t="s">
        <v>69</v>
      </c>
      <c r="C84" s="65"/>
      <c r="D84" s="65"/>
      <c r="E84" s="65"/>
      <c r="F84" s="65"/>
      <c r="G84" s="65"/>
      <c r="H84" s="65"/>
      <c r="I84" s="65"/>
      <c r="J84" s="65"/>
      <c r="K84" s="65"/>
      <c r="L84" s="65"/>
      <c r="M84" s="64" t="str">
        <f t="shared" ca="1" si="21"/>
        <v>-</v>
      </c>
      <c r="N84" s="64" t="str">
        <f t="shared" si="21"/>
        <v/>
      </c>
      <c r="O84" s="64" t="str">
        <f t="shared" si="21"/>
        <v/>
      </c>
      <c r="P84" s="64" t="str">
        <f t="shared" si="21"/>
        <v/>
      </c>
      <c r="Q84" s="64" t="str">
        <f t="shared" si="21"/>
        <v/>
      </c>
      <c r="R84" s="64" t="str">
        <f t="shared" si="21"/>
        <v/>
      </c>
      <c r="S84" s="64" t="str">
        <f t="shared" si="21"/>
        <v/>
      </c>
      <c r="T84" s="64" t="str">
        <f t="shared" si="21"/>
        <v/>
      </c>
      <c r="U84" s="64" t="str">
        <f t="shared" si="21"/>
        <v/>
      </c>
      <c r="V84" s="64" t="str">
        <f t="shared" si="21"/>
        <v/>
      </c>
    </row>
    <row r="85" spans="1:22">
      <c r="A85" s="1">
        <f t="shared" si="7"/>
        <v>53</v>
      </c>
      <c r="B85" s="65" t="s">
        <v>68</v>
      </c>
      <c r="C85" s="65"/>
      <c r="D85" s="65"/>
      <c r="E85" s="65"/>
      <c r="F85" s="65"/>
      <c r="G85" s="65"/>
      <c r="H85" s="65"/>
      <c r="I85" s="65"/>
      <c r="J85" s="65"/>
      <c r="K85" s="65"/>
      <c r="L85" s="65"/>
      <c r="M85" s="64" t="str">
        <f t="shared" ca="1" si="21"/>
        <v>-</v>
      </c>
      <c r="N85" s="64" t="str">
        <f t="shared" si="21"/>
        <v/>
      </c>
      <c r="O85" s="64" t="str">
        <f t="shared" si="21"/>
        <v/>
      </c>
      <c r="P85" s="64" t="str">
        <f t="shared" si="21"/>
        <v/>
      </c>
      <c r="Q85" s="64" t="str">
        <f t="shared" si="21"/>
        <v/>
      </c>
      <c r="R85" s="64" t="str">
        <f t="shared" si="21"/>
        <v/>
      </c>
      <c r="S85" s="64" t="str">
        <f t="shared" si="21"/>
        <v/>
      </c>
      <c r="T85" s="64" t="str">
        <f t="shared" si="21"/>
        <v/>
      </c>
      <c r="U85" s="64" t="str">
        <f t="shared" si="21"/>
        <v/>
      </c>
      <c r="V85" s="64" t="str">
        <f t="shared" si="21"/>
        <v/>
      </c>
    </row>
    <row r="86" spans="1:22">
      <c r="A86" s="1">
        <f t="shared" si="7"/>
        <v>54</v>
      </c>
      <c r="B86" s="65" t="s">
        <v>67</v>
      </c>
      <c r="C86" s="65"/>
      <c r="D86" s="65"/>
      <c r="E86" s="65"/>
      <c r="F86" s="65"/>
      <c r="G86" s="65"/>
      <c r="H86" s="65"/>
      <c r="I86" s="65"/>
      <c r="J86" s="65"/>
      <c r="K86" s="65"/>
      <c r="L86" s="65"/>
      <c r="M86" s="64" t="str">
        <f t="shared" ca="1" si="21"/>
        <v>-</v>
      </c>
      <c r="N86" s="64" t="str">
        <f t="shared" si="21"/>
        <v/>
      </c>
      <c r="O86" s="64" t="str">
        <f t="shared" si="21"/>
        <v/>
      </c>
      <c r="P86" s="64" t="str">
        <f t="shared" si="21"/>
        <v/>
      </c>
      <c r="Q86" s="64" t="str">
        <f t="shared" si="21"/>
        <v/>
      </c>
      <c r="R86" s="64" t="str">
        <f t="shared" si="21"/>
        <v/>
      </c>
      <c r="S86" s="64" t="str">
        <f t="shared" si="21"/>
        <v/>
      </c>
      <c r="T86" s="64" t="str">
        <f t="shared" si="21"/>
        <v/>
      </c>
      <c r="U86" s="64" t="str">
        <f t="shared" si="21"/>
        <v/>
      </c>
      <c r="V86" s="64" t="str">
        <f t="shared" si="21"/>
        <v/>
      </c>
    </row>
    <row r="87" spans="1:22">
      <c r="A87" s="1">
        <f t="shared" si="7"/>
        <v>55</v>
      </c>
      <c r="B87" s="65" t="s">
        <v>66</v>
      </c>
      <c r="C87" s="65"/>
      <c r="D87" s="65"/>
      <c r="E87" s="65"/>
      <c r="F87" s="65"/>
      <c r="G87" s="65"/>
      <c r="H87" s="65"/>
      <c r="I87" s="65"/>
      <c r="J87" s="65"/>
      <c r="K87" s="65"/>
      <c r="L87" s="65"/>
      <c r="M87" s="64" t="str">
        <f t="shared" ca="1" si="21"/>
        <v>-</v>
      </c>
      <c r="N87" s="64" t="str">
        <f t="shared" si="21"/>
        <v/>
      </c>
      <c r="O87" s="64" t="str">
        <f t="shared" si="21"/>
        <v/>
      </c>
      <c r="P87" s="64" t="str">
        <f t="shared" si="21"/>
        <v/>
      </c>
      <c r="Q87" s="64" t="str">
        <f t="shared" si="21"/>
        <v/>
      </c>
      <c r="R87" s="64" t="str">
        <f t="shared" si="21"/>
        <v/>
      </c>
      <c r="S87" s="64" t="str">
        <f t="shared" si="21"/>
        <v/>
      </c>
      <c r="T87" s="64" t="str">
        <f t="shared" si="21"/>
        <v/>
      </c>
      <c r="U87" s="64" t="str">
        <f t="shared" si="21"/>
        <v/>
      </c>
      <c r="V87" s="64" t="str">
        <f t="shared" si="21"/>
        <v/>
      </c>
    </row>
    <row r="88" spans="1:22">
      <c r="A88" s="1">
        <f t="shared" si="7"/>
        <v>56</v>
      </c>
      <c r="B88" s="65" t="s">
        <v>65</v>
      </c>
      <c r="C88" s="65"/>
      <c r="D88" s="65"/>
      <c r="E88" s="65"/>
      <c r="F88" s="65"/>
      <c r="G88" s="65"/>
      <c r="H88" s="65"/>
      <c r="I88" s="65"/>
      <c r="J88" s="65"/>
      <c r="K88" s="65"/>
      <c r="L88" s="65"/>
      <c r="M88" s="64" t="str">
        <f t="shared" ca="1" si="21"/>
        <v>-</v>
      </c>
      <c r="N88" s="64" t="str">
        <f t="shared" si="21"/>
        <v/>
      </c>
      <c r="O88" s="64" t="str">
        <f t="shared" si="21"/>
        <v/>
      </c>
      <c r="P88" s="64" t="str">
        <f t="shared" si="21"/>
        <v/>
      </c>
      <c r="Q88" s="64" t="str">
        <f t="shared" si="21"/>
        <v/>
      </c>
      <c r="R88" s="64" t="str">
        <f t="shared" si="21"/>
        <v/>
      </c>
      <c r="S88" s="64" t="str">
        <f t="shared" si="21"/>
        <v/>
      </c>
      <c r="T88" s="64" t="str">
        <f t="shared" si="21"/>
        <v/>
      </c>
      <c r="U88" s="64" t="str">
        <f t="shared" si="21"/>
        <v/>
      </c>
      <c r="V88" s="64" t="str">
        <f t="shared" si="21"/>
        <v/>
      </c>
    </row>
    <row r="89" spans="1:22">
      <c r="A89" s="1">
        <f t="shared" si="7"/>
        <v>57</v>
      </c>
      <c r="B89" s="65" t="s">
        <v>64</v>
      </c>
      <c r="C89" s="65"/>
      <c r="D89" s="65"/>
      <c r="E89" s="65"/>
      <c r="F89" s="65"/>
      <c r="G89" s="65"/>
      <c r="H89" s="65"/>
      <c r="I89" s="65"/>
      <c r="J89" s="65"/>
      <c r="K89" s="65"/>
      <c r="L89" s="65"/>
      <c r="M89" s="64" t="str">
        <f t="shared" ca="1" si="21"/>
        <v>-</v>
      </c>
      <c r="N89" s="64" t="str">
        <f t="shared" si="21"/>
        <v/>
      </c>
      <c r="O89" s="64" t="str">
        <f t="shared" si="21"/>
        <v/>
      </c>
      <c r="P89" s="64" t="str">
        <f t="shared" si="21"/>
        <v/>
      </c>
      <c r="Q89" s="64" t="str">
        <f t="shared" si="21"/>
        <v/>
      </c>
      <c r="R89" s="64" t="str">
        <f t="shared" si="21"/>
        <v/>
      </c>
      <c r="S89" s="64" t="str">
        <f t="shared" si="21"/>
        <v/>
      </c>
      <c r="T89" s="64" t="str">
        <f t="shared" si="21"/>
        <v/>
      </c>
      <c r="U89" s="64" t="str">
        <f t="shared" si="21"/>
        <v/>
      </c>
      <c r="V89" s="64" t="str">
        <f t="shared" si="21"/>
        <v/>
      </c>
    </row>
    <row r="90" spans="1:22">
      <c r="A90" s="1">
        <f t="shared" si="7"/>
        <v>58</v>
      </c>
      <c r="B90" s="65" t="s">
        <v>63</v>
      </c>
      <c r="C90" s="65"/>
      <c r="D90" s="65"/>
      <c r="E90" s="65"/>
      <c r="F90" s="65"/>
      <c r="G90" s="65"/>
      <c r="H90" s="65"/>
      <c r="I90" s="65"/>
      <c r="J90" s="65"/>
      <c r="K90" s="65"/>
      <c r="L90" s="65"/>
      <c r="M90" s="64" t="str">
        <f t="shared" ref="M90:V103" ca="1" si="24">IF(M$33="","","-")</f>
        <v>-</v>
      </c>
      <c r="N90" s="64" t="str">
        <f t="shared" si="24"/>
        <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7"/>
        <v>59</v>
      </c>
      <c r="B91" s="65" t="s">
        <v>62</v>
      </c>
      <c r="C91" s="65"/>
      <c r="D91" s="65"/>
      <c r="E91" s="65"/>
      <c r="F91" s="65"/>
      <c r="G91" s="65"/>
      <c r="H91" s="65"/>
      <c r="I91" s="65"/>
      <c r="J91" s="65"/>
      <c r="K91" s="65"/>
      <c r="L91" s="65"/>
      <c r="M91" s="64" t="str">
        <f t="shared" ca="1" si="24"/>
        <v>-</v>
      </c>
      <c r="N91" s="64" t="str">
        <f t="shared" si="24"/>
        <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7"/>
        <v>60</v>
      </c>
      <c r="B92" s="65" t="s">
        <v>61</v>
      </c>
      <c r="C92" s="65"/>
      <c r="D92" s="65"/>
      <c r="E92" s="65"/>
      <c r="F92" s="65"/>
      <c r="G92" s="65"/>
      <c r="H92" s="65"/>
      <c r="I92" s="65"/>
      <c r="J92" s="65"/>
      <c r="K92" s="65"/>
      <c r="L92" s="65"/>
      <c r="M92" s="64" t="str">
        <f t="shared" ca="1" si="24"/>
        <v>-</v>
      </c>
      <c r="N92" s="64" t="str">
        <f t="shared" si="24"/>
        <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7"/>
        <v>61</v>
      </c>
      <c r="B93" s="65" t="s">
        <v>60</v>
      </c>
      <c r="C93" s="65"/>
      <c r="D93" s="65"/>
      <c r="E93" s="65"/>
      <c r="F93" s="65"/>
      <c r="G93" s="65"/>
      <c r="H93" s="65"/>
      <c r="I93" s="65"/>
      <c r="J93" s="65"/>
      <c r="K93" s="65"/>
      <c r="L93" s="65"/>
      <c r="M93" s="64" t="str">
        <f t="shared" ca="1" si="24"/>
        <v>-</v>
      </c>
      <c r="N93" s="64" t="str">
        <f t="shared" si="24"/>
        <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7"/>
        <v>62</v>
      </c>
      <c r="B94" s="65" t="s">
        <v>59</v>
      </c>
      <c r="C94" s="65"/>
      <c r="D94" s="65"/>
      <c r="E94" s="65"/>
      <c r="F94" s="65"/>
      <c r="G94" s="65"/>
      <c r="H94" s="65"/>
      <c r="I94" s="65"/>
      <c r="J94" s="65"/>
      <c r="K94" s="65"/>
      <c r="L94" s="65"/>
      <c r="M94" s="64" t="str">
        <f t="shared" ca="1" si="24"/>
        <v>-</v>
      </c>
      <c r="N94" s="64" t="str">
        <f t="shared" si="24"/>
        <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7"/>
        <v>63</v>
      </c>
      <c r="B95" s="65" t="s">
        <v>58</v>
      </c>
      <c r="C95" s="65"/>
      <c r="D95" s="65"/>
      <c r="E95" s="65"/>
      <c r="F95" s="65"/>
      <c r="G95" s="65"/>
      <c r="H95" s="65"/>
      <c r="I95" s="65"/>
      <c r="J95" s="65"/>
      <c r="K95" s="65"/>
      <c r="L95" s="65"/>
      <c r="M95" s="64" t="str">
        <f t="shared" ca="1" si="24"/>
        <v>-</v>
      </c>
      <c r="N95" s="64" t="str">
        <f t="shared" si="24"/>
        <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7"/>
        <v>64</v>
      </c>
      <c r="B96" s="65" t="s">
        <v>57</v>
      </c>
      <c r="C96" s="65"/>
      <c r="D96" s="65"/>
      <c r="E96" s="65"/>
      <c r="F96" s="65"/>
      <c r="G96" s="65"/>
      <c r="H96" s="65"/>
      <c r="I96" s="65"/>
      <c r="J96" s="65"/>
      <c r="K96" s="65"/>
      <c r="L96" s="65"/>
      <c r="M96" s="64" t="str">
        <f t="shared" ca="1" si="24"/>
        <v>-</v>
      </c>
      <c r="N96" s="64" t="str">
        <f t="shared" si="24"/>
        <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c r="A97" s="1">
        <f t="shared" si="7"/>
        <v>65</v>
      </c>
      <c r="B97" s="65" t="s">
        <v>56</v>
      </c>
      <c r="C97" s="65"/>
      <c r="D97" s="65"/>
      <c r="E97" s="65"/>
      <c r="F97" s="65"/>
      <c r="G97" s="65"/>
      <c r="H97" s="65"/>
      <c r="I97" s="65"/>
      <c r="J97" s="65"/>
      <c r="K97" s="65"/>
      <c r="L97" s="65"/>
      <c r="M97" s="64" t="str">
        <f t="shared" ca="1" si="24"/>
        <v>-</v>
      </c>
      <c r="N97" s="64" t="str">
        <f t="shared" si="24"/>
        <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si="24"/>
        <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si="24"/>
        <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si="24"/>
        <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si="24"/>
        <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65"/>
      <c r="D102" s="65"/>
      <c r="E102" s="65"/>
      <c r="F102" s="65"/>
      <c r="G102" s="65"/>
      <c r="H102" s="65"/>
      <c r="I102" s="65"/>
      <c r="J102" s="65"/>
      <c r="K102" s="65"/>
      <c r="L102" s="65"/>
      <c r="M102" s="64" t="str">
        <f t="shared" ca="1" si="24"/>
        <v>-</v>
      </c>
      <c r="N102" s="64" t="str">
        <f t="shared" si="24"/>
        <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c r="A103" s="1">
        <f t="shared" si="25"/>
        <v>71</v>
      </c>
      <c r="B103" s="65" t="s">
        <v>51</v>
      </c>
      <c r="C103" s="65"/>
      <c r="D103" s="65"/>
      <c r="E103" s="65"/>
      <c r="F103" s="65"/>
      <c r="G103" s="65"/>
      <c r="H103" s="65"/>
      <c r="I103" s="65"/>
      <c r="J103" s="65"/>
      <c r="K103" s="65"/>
      <c r="L103" s="65"/>
      <c r="M103" s="64" t="str">
        <f t="shared" ca="1" si="24"/>
        <v>-</v>
      </c>
      <c r="N103" s="64" t="str">
        <f t="shared" si="24"/>
        <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c r="B105" t="s">
        <v>2198</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1743</v>
      </c>
      <c r="C111" s="498">
        <v>3.15E-2</v>
      </c>
      <c r="D111" s="498" t="s">
        <v>2197</v>
      </c>
      <c r="E111" s="93" t="s">
        <v>1439</v>
      </c>
      <c r="F111" s="93"/>
    </row>
    <row r="112" spans="1:22">
      <c r="A112" s="93"/>
      <c r="B112" s="332" t="s">
        <v>1752</v>
      </c>
      <c r="C112" s="498">
        <v>6.1700000000000001E-3</v>
      </c>
      <c r="D112" s="498" t="s">
        <v>2197</v>
      </c>
      <c r="E112" s="93" t="s">
        <v>1437</v>
      </c>
      <c r="F112" s="93"/>
    </row>
    <row r="113" spans="1:10">
      <c r="A113" s="93"/>
      <c r="B113" s="332" t="s">
        <v>408</v>
      </c>
      <c r="C113" s="498">
        <v>365</v>
      </c>
      <c r="D113" s="498" t="s">
        <v>2197</v>
      </c>
      <c r="E113" s="93" t="s">
        <v>1435</v>
      </c>
      <c r="F113" s="93"/>
    </row>
    <row r="114" spans="1:10">
      <c r="A114" s="93"/>
      <c r="B114" s="332" t="s">
        <v>34</v>
      </c>
      <c r="C114" s="498">
        <v>1</v>
      </c>
      <c r="D114" s="498" t="s">
        <v>2197</v>
      </c>
      <c r="E114" s="93"/>
      <c r="F114" s="93"/>
    </row>
    <row r="115" spans="1:10">
      <c r="A115" s="93"/>
      <c r="B115" s="332" t="s">
        <v>518</v>
      </c>
      <c r="C115" s="498">
        <v>10</v>
      </c>
      <c r="D115" s="498" t="s">
        <v>2197</v>
      </c>
      <c r="E115" s="93"/>
      <c r="F115" s="93"/>
    </row>
    <row r="116" spans="1:10">
      <c r="A116" s="93"/>
      <c r="B116" s="332"/>
      <c r="C116" s="498"/>
      <c r="D116" s="498"/>
      <c r="E116" s="93"/>
      <c r="F116" s="93"/>
    </row>
    <row r="117" spans="1:10">
      <c r="A117" s="93"/>
      <c r="B117" s="332"/>
      <c r="C117" s="498"/>
      <c r="D117" s="498"/>
      <c r="E117" s="93"/>
      <c r="F117" s="93"/>
    </row>
    <row r="118" spans="1:10">
      <c r="A118" s="93"/>
      <c r="B118" s="332"/>
      <c r="C118" s="498"/>
      <c r="D118" s="498"/>
      <c r="E118" s="93"/>
      <c r="F118" s="93"/>
    </row>
    <row r="119" spans="1:10">
      <c r="A119" s="93"/>
      <c r="B119" s="332"/>
      <c r="C119" s="498"/>
      <c r="D119" s="498"/>
      <c r="E119" s="93"/>
      <c r="F119" s="93"/>
    </row>
    <row r="120" spans="1:10">
      <c r="A120" s="93"/>
      <c r="B120" s="332"/>
      <c r="C120" s="498"/>
      <c r="D120" s="498"/>
      <c r="E120" s="93"/>
      <c r="F120" s="93"/>
    </row>
    <row r="121" spans="1:10">
      <c r="A121" s="26"/>
      <c r="B121" s="26"/>
      <c r="C121" s="26"/>
    </row>
    <row r="122" spans="1:10">
      <c r="A122" s="2"/>
      <c r="B122" s="318" t="s">
        <v>533</v>
      </c>
      <c r="C122" s="318"/>
      <c r="D122" s="318"/>
      <c r="E122" s="498"/>
      <c r="F122" s="498"/>
      <c r="G122" s="498"/>
      <c r="H122" s="498"/>
      <c r="I122" s="498"/>
      <c r="J122" s="498"/>
    </row>
    <row r="123" spans="1:10">
      <c r="A123" s="2"/>
      <c r="B123" s="318" t="s">
        <v>1367</v>
      </c>
      <c r="C123" s="318" t="s">
        <v>1743</v>
      </c>
      <c r="D123" s="318" t="s">
        <v>1752</v>
      </c>
      <c r="E123" s="496" t="s">
        <v>500</v>
      </c>
      <c r="F123" s="94" t="s">
        <v>10</v>
      </c>
      <c r="G123" s="497" t="s">
        <v>244</v>
      </c>
      <c r="H123" s="497" t="s">
        <v>9</v>
      </c>
      <c r="I123" s="497" t="s">
        <v>8</v>
      </c>
      <c r="J123" s="497" t="s">
        <v>7</v>
      </c>
    </row>
    <row r="124" spans="1:10">
      <c r="A124" s="26"/>
      <c r="B124" s="286" t="s">
        <v>2199</v>
      </c>
      <c r="C124" s="286">
        <v>0.875</v>
      </c>
      <c r="D124" s="286">
        <v>0.68899999999999995</v>
      </c>
      <c r="E124" s="498">
        <f>(C124-D124)*$C$113</f>
        <v>67.890000000000015</v>
      </c>
      <c r="F124" s="498">
        <f>(C124-D124)*$C$114</f>
        <v>0.18600000000000005</v>
      </c>
      <c r="G124" s="498">
        <f>E124/(C124*$C$113)</f>
        <v>0.21257142857142861</v>
      </c>
      <c r="H124" s="498">
        <v>60</v>
      </c>
      <c r="I124" s="498">
        <f>H124/E124</f>
        <v>0.88378258948298705</v>
      </c>
      <c r="J124" s="498">
        <f>1/COUNT($C$124:$C$126)</f>
        <v>0.33333333333333331</v>
      </c>
    </row>
    <row r="125" spans="1:10">
      <c r="B125" s="286" t="s">
        <v>2200</v>
      </c>
      <c r="C125" s="286">
        <v>0.81100000000000005</v>
      </c>
      <c r="D125" s="286">
        <v>0.13800000000000001</v>
      </c>
      <c r="E125" s="498">
        <f>(C125-D125)*$C$113</f>
        <v>245.64500000000001</v>
      </c>
      <c r="F125" s="498">
        <f>(C125-D125)*$C$114</f>
        <v>0.67300000000000004</v>
      </c>
      <c r="G125" s="498">
        <f>E125/(C125*$C$113)</f>
        <v>0.8298397040690505</v>
      </c>
      <c r="H125" s="498">
        <v>60</v>
      </c>
      <c r="I125" s="498">
        <f>H125/E125</f>
        <v>0.24425492071892363</v>
      </c>
      <c r="J125" s="498">
        <f>1/COUNT($C$124:$C$126)</f>
        <v>0.33333333333333331</v>
      </c>
    </row>
    <row r="126" spans="1:10">
      <c r="B126" s="286" t="s">
        <v>2201</v>
      </c>
      <c r="C126" s="286">
        <v>0.82599999999999996</v>
      </c>
      <c r="D126" s="286">
        <v>0.13900000000000001</v>
      </c>
      <c r="E126" s="498">
        <f>(C126-D126)*$C$113</f>
        <v>250.75499999999997</v>
      </c>
      <c r="F126" s="498">
        <f>(C126-D126)*$C$114</f>
        <v>0.68699999999999994</v>
      </c>
      <c r="G126" s="498">
        <f>E126/(C126*$C$113)</f>
        <v>0.83171912832929773</v>
      </c>
      <c r="H126" s="498">
        <v>60</v>
      </c>
      <c r="I126" s="498">
        <f>H126/E126</f>
        <v>0.2392773823054376</v>
      </c>
      <c r="J126" s="498">
        <f>1/COUNT($C$124:$C$126)</f>
        <v>0.33333333333333331</v>
      </c>
    </row>
    <row r="127" spans="1:10">
      <c r="E127" s="646">
        <f>SUMPRODUCT(E124:E126,$J$124:$J$126)</f>
        <v>188.09666666666664</v>
      </c>
      <c r="F127" s="646">
        <f>SUMPRODUCT(F124:F126,$J$124:$J$126)</f>
        <v>0.51533333333333331</v>
      </c>
      <c r="G127" s="646">
        <f>SUMPRODUCT(G124:G126,$J$124:$J$126)</f>
        <v>0.62471008698992558</v>
      </c>
      <c r="H127" s="646">
        <f>SUMPRODUCT(H124:H126,$J$124:$J$126)</f>
        <v>60</v>
      </c>
      <c r="I127" s="646">
        <f>SUMPRODUCT(I124:I126,$J$124:$J$126)</f>
        <v>0.4557716308357827</v>
      </c>
    </row>
  </sheetData>
  <phoneticPr fontId="35" type="noConversion"/>
  <dataValidations count="5">
    <dataValidation type="list" allowBlank="1" showInputMessage="1" showErrorMessage="1" sqref="D7" xr:uid="{6E48DA4E-1E62-48C0-ABC9-C9D97C931826}">
      <formula1>$N$11:$O$11</formula1>
    </dataValidation>
    <dataValidation type="list" allowBlank="1" showInputMessage="1" showErrorMessage="1" sqref="B11:C20" xr:uid="{B90A75A3-9527-45FA-90CD-B3F30089F561}">
      <formula1>$N$7:$Q$7</formula1>
    </dataValidation>
    <dataValidation type="list" allowBlank="1" showInputMessage="1" showErrorMessage="1" sqref="D11:D20" xr:uid="{B2B8673B-312F-4220-A37E-095FE68A6696}">
      <formula1>$N$22:$AE$22</formula1>
    </dataValidation>
    <dataValidation type="list" allowBlank="1" showInputMessage="1" showErrorMessage="1" sqref="E11:E20" xr:uid="{402AC09D-9D89-424B-A5F7-12433ACE01FD}">
      <formula1>$N$16:$O$16</formula1>
    </dataValidation>
    <dataValidation type="list" allowBlank="1" showInputMessage="1" showErrorMessage="1" sqref="C59:L59" xr:uid="{F385B5A2-8CA8-4C6F-A43B-592A69A5F4E4}">
      <formula1>$N$19:$AQ$19</formula1>
    </dataValidation>
  </dataValidations>
  <pageMargins left="0.7" right="0.7" top="0.75" bottom="0.75" header="0.3" footer="0.3"/>
  <pageSetup orientation="portrait"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A005-ECA2-411D-8928-70A3DC8C8FB5}">
  <sheetPr codeName="Sheet213">
    <tabColor indexed="14"/>
  </sheetPr>
  <dimension ref="A1:AQ126"/>
  <sheetViews>
    <sheetView topLeftCell="A104"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Power Strip</v>
      </c>
      <c r="C7" s="98" t="s">
        <v>1446</v>
      </c>
      <c r="D7" s="97" t="s">
        <v>211</v>
      </c>
      <c r="E7" s="97">
        <f>C120</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t="s">
        <v>1445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Power Strip_CI, E - Plug [Tier 1] (RET)</v>
      </c>
      <c r="J11" s="83" t="str">
        <f t="shared" ref="J11:J20" si="3">IF(B11="","",CONCATENATE($C$7,IF(C11="","",CONCATENATE(" with ",C11," Secondary Fuel"))))</f>
        <v>Advanced Power Strip – Tier 1 Commercial</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30">
      <c r="A33" s="1">
        <v>1</v>
      </c>
      <c r="B33" s="83" t="s">
        <v>129</v>
      </c>
      <c r="C33" s="499" t="str">
        <f t="shared" ref="C33:L33" ca="1" si="5">IF(VLOOKUP(C$31,$A$11:$K$20,9,FALSE)="","",VLOOKUP(C$31,$A$11:$K$20,9,FALSE))</f>
        <v>CI Power Strip_CI, E - Plug [Tier 1] (RET)</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Power Strip_CI, E - Plug [Tier 1]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Advanced Power Strip – Tier 1 Commercial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CI Power Strip_CI, E - Plug [Tier 1] (RET)</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Advanced Power Strip – Tier 1 Commercial</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1444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7</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Advanced Power Strip – Tier 1 Commercial</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1443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82" t="s">
        <v>1442</v>
      </c>
      <c r="D56" s="82"/>
      <c r="E56" s="82"/>
      <c r="F56" s="82"/>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65"/>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C124</f>
        <v>112.04938800000001</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74">
        <f>E124</f>
        <v>0.57678810384948165</v>
      </c>
      <c r="D65" s="74"/>
      <c r="E65" s="74"/>
      <c r="F65" s="74"/>
      <c r="G65" s="65"/>
      <c r="H65" s="65"/>
      <c r="I65" s="65"/>
      <c r="J65" s="65"/>
      <c r="K65" s="65"/>
      <c r="L65" s="65"/>
      <c r="M65" s="69">
        <v>3</v>
      </c>
      <c r="N65" s="69">
        <v>3</v>
      </c>
      <c r="O65" s="69">
        <v>25</v>
      </c>
      <c r="P65" s="69">
        <v>25</v>
      </c>
      <c r="Q65" s="69" t="str">
        <f t="shared" ref="Q65:V74" si="20">IF(Q$33="","","-")</f>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v>30</v>
      </c>
      <c r="D66" s="65"/>
      <c r="E66" s="65"/>
      <c r="F66" s="65"/>
      <c r="G66" s="65"/>
      <c r="H66" s="65"/>
      <c r="I66" s="65"/>
      <c r="J66" s="65"/>
      <c r="K66" s="65"/>
      <c r="L66" s="65"/>
      <c r="M66" s="64" t="str">
        <f t="shared" ref="M66:P68" ca="1" si="22">IF(M$33="","","-")</f>
        <v>-</v>
      </c>
      <c r="N66" s="64" t="str">
        <f t="shared" si="22"/>
        <v/>
      </c>
      <c r="O66" s="64" t="str">
        <f t="shared" si="22"/>
        <v/>
      </c>
      <c r="P66" s="64" t="str">
        <f t="shared" si="22"/>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v>20</v>
      </c>
      <c r="D67" s="65"/>
      <c r="E67" s="65"/>
      <c r="F67" s="65"/>
      <c r="G67" s="65"/>
      <c r="H67" s="65"/>
      <c r="I67" s="65"/>
      <c r="J67" s="65"/>
      <c r="K67" s="65"/>
      <c r="L67" s="65"/>
      <c r="M67" s="64" t="str">
        <f t="shared" ca="1" si="22"/>
        <v>-</v>
      </c>
      <c r="N67" s="64" t="str">
        <f t="shared" si="22"/>
        <v/>
      </c>
      <c r="O67" s="64" t="str">
        <f t="shared" si="22"/>
        <v/>
      </c>
      <c r="P67" s="64" t="str">
        <f t="shared" si="22"/>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C66</f>
        <v>30</v>
      </c>
      <c r="D68" s="71"/>
      <c r="E68" s="71"/>
      <c r="F68" s="282"/>
      <c r="G68" s="65"/>
      <c r="H68" s="65"/>
      <c r="I68" s="65"/>
      <c r="J68" s="65"/>
      <c r="K68" s="65"/>
      <c r="L68" s="65"/>
      <c r="M68" s="64" t="str">
        <f t="shared" ca="1" si="22"/>
        <v>-</v>
      </c>
      <c r="N68" s="64" t="str">
        <f t="shared" si="22"/>
        <v/>
      </c>
      <c r="O68" s="64" t="str">
        <f t="shared" si="22"/>
        <v/>
      </c>
      <c r="P68" s="64" t="str">
        <f t="shared" si="22"/>
        <v/>
      </c>
      <c r="Q68" s="64" t="str">
        <f t="shared" si="20"/>
        <v/>
      </c>
      <c r="R68" s="64" t="str">
        <f t="shared" si="20"/>
        <v/>
      </c>
      <c r="S68" s="64" t="str">
        <f t="shared" si="20"/>
        <v/>
      </c>
      <c r="T68" s="64" t="str">
        <f t="shared" si="20"/>
        <v/>
      </c>
      <c r="U68" s="64" t="str">
        <f t="shared" si="20"/>
        <v/>
      </c>
      <c r="V68" s="64" t="str">
        <f t="shared" si="20"/>
        <v/>
      </c>
    </row>
    <row r="69" spans="1:22">
      <c r="A69" s="1">
        <f t="shared" si="21"/>
        <v>37</v>
      </c>
      <c r="B69" s="83" t="s">
        <v>81</v>
      </c>
      <c r="C69" s="493">
        <f>C68/C64</f>
        <v>0.26773907948519987</v>
      </c>
      <c r="D69" s="493"/>
      <c r="E69" s="493" t="str">
        <f t="shared" ref="E69:L69" si="23">IFERROR(E68/E64,"")</f>
        <v/>
      </c>
      <c r="F69" s="493" t="str">
        <f t="shared" si="23"/>
        <v/>
      </c>
      <c r="G69" s="493" t="str">
        <f t="shared" si="23"/>
        <v/>
      </c>
      <c r="H69" s="493" t="str">
        <f t="shared" si="23"/>
        <v/>
      </c>
      <c r="I69" s="493" t="str">
        <f t="shared" si="23"/>
        <v/>
      </c>
      <c r="J69" s="493" t="str">
        <f t="shared" si="23"/>
        <v/>
      </c>
      <c r="K69" s="493" t="str">
        <f t="shared" si="23"/>
        <v/>
      </c>
      <c r="L69" s="493" t="str">
        <f t="shared" si="23"/>
        <v/>
      </c>
      <c r="M69" s="69">
        <v>12</v>
      </c>
      <c r="N69" s="69">
        <v>12</v>
      </c>
      <c r="O69" s="69">
        <v>12</v>
      </c>
      <c r="P69" s="69">
        <v>12</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P89" ca="1" si="24">IF(M$33="","","-")</f>
        <v>-</v>
      </c>
      <c r="N70" s="64" t="str">
        <f t="shared" si="24"/>
        <v/>
      </c>
      <c r="O70" s="64" t="str">
        <f t="shared" si="24"/>
        <v/>
      </c>
      <c r="P70" s="64" t="str">
        <f t="shared" si="24"/>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5">C52</f>
        <v>Advanced Power Strip – Tier 1 Commercial</v>
      </c>
      <c r="D71" s="66" t="str">
        <f t="shared" si="25"/>
        <v/>
      </c>
      <c r="E71" s="66" t="str">
        <f t="shared" si="25"/>
        <v/>
      </c>
      <c r="F71" s="66" t="str">
        <f t="shared" si="25"/>
        <v/>
      </c>
      <c r="G71" s="66" t="str">
        <f t="shared" si="25"/>
        <v/>
      </c>
      <c r="H71" s="66" t="str">
        <f t="shared" si="25"/>
        <v/>
      </c>
      <c r="I71" s="66" t="str">
        <f t="shared" si="25"/>
        <v/>
      </c>
      <c r="J71" s="66" t="str">
        <f t="shared" si="25"/>
        <v/>
      </c>
      <c r="K71" s="66" t="str">
        <f t="shared" si="25"/>
        <v/>
      </c>
      <c r="L71" s="66" t="str">
        <f t="shared" si="25"/>
        <v/>
      </c>
      <c r="M71" s="64" t="str">
        <f t="shared" ca="1" si="24"/>
        <v>-</v>
      </c>
      <c r="N71" s="64" t="str">
        <f t="shared" si="24"/>
        <v/>
      </c>
      <c r="O71" s="64" t="str">
        <f t="shared" si="24"/>
        <v/>
      </c>
      <c r="P71" s="64" t="str">
        <f t="shared" si="24"/>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4"/>
        <v>-</v>
      </c>
      <c r="N72" s="64" t="str">
        <f t="shared" si="24"/>
        <v/>
      </c>
      <c r="O72" s="64" t="str">
        <f t="shared" si="24"/>
        <v/>
      </c>
      <c r="P72" s="64" t="str">
        <f t="shared" si="24"/>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65"/>
      <c r="D73" s="65"/>
      <c r="E73" s="182"/>
      <c r="F73" s="65"/>
      <c r="G73" s="65"/>
      <c r="H73" s="65"/>
      <c r="I73" s="65"/>
      <c r="J73" s="65"/>
      <c r="K73" s="65"/>
      <c r="L73" s="65"/>
      <c r="M73" s="64" t="str">
        <f t="shared" ca="1" si="24"/>
        <v>-</v>
      </c>
      <c r="N73" s="64" t="str">
        <f t="shared" si="24"/>
        <v/>
      </c>
      <c r="O73" s="64" t="str">
        <f t="shared" si="24"/>
        <v/>
      </c>
      <c r="P73" s="64" t="str">
        <f t="shared" si="24"/>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4"/>
        <v>-</v>
      </c>
      <c r="N74" s="64" t="str">
        <f t="shared" si="24"/>
        <v/>
      </c>
      <c r="O74" s="64" t="str">
        <f t="shared" si="24"/>
        <v/>
      </c>
      <c r="P74" s="64" t="str">
        <f t="shared" si="24"/>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4"/>
        <v>-</v>
      </c>
      <c r="N75" s="64" t="str">
        <f t="shared" si="24"/>
        <v/>
      </c>
      <c r="O75" s="64" t="str">
        <f t="shared" si="24"/>
        <v/>
      </c>
      <c r="P75" s="64" t="str">
        <f t="shared" si="24"/>
        <v/>
      </c>
      <c r="Q75" s="64" t="str">
        <f t="shared" ref="Q75:V84" si="26">IF(Q$33="","","-")</f>
        <v/>
      </c>
      <c r="R75" s="64" t="str">
        <f t="shared" si="26"/>
        <v/>
      </c>
      <c r="S75" s="64" t="str">
        <f t="shared" si="26"/>
        <v/>
      </c>
      <c r="T75" s="64" t="str">
        <f t="shared" si="26"/>
        <v/>
      </c>
      <c r="U75" s="64" t="str">
        <f t="shared" si="26"/>
        <v/>
      </c>
      <c r="V75" s="64" t="str">
        <f t="shared" si="26"/>
        <v/>
      </c>
    </row>
    <row r="76" spans="1:22">
      <c r="A76" s="1">
        <f t="shared" si="21"/>
        <v>44</v>
      </c>
      <c r="B76" s="65" t="s">
        <v>76</v>
      </c>
      <c r="C76" s="65"/>
      <c r="D76" s="65"/>
      <c r="E76" s="65"/>
      <c r="F76" s="65"/>
      <c r="G76" s="65"/>
      <c r="H76" s="65"/>
      <c r="I76" s="65"/>
      <c r="J76" s="65"/>
      <c r="K76" s="65"/>
      <c r="L76" s="65"/>
      <c r="M76" s="64" t="str">
        <f t="shared" ca="1" si="24"/>
        <v>-</v>
      </c>
      <c r="N76" s="64" t="str">
        <f t="shared" si="24"/>
        <v/>
      </c>
      <c r="O76" s="64" t="str">
        <f t="shared" si="24"/>
        <v/>
      </c>
      <c r="P76" s="64" t="str">
        <f t="shared" si="24"/>
        <v/>
      </c>
      <c r="Q76" s="64" t="str">
        <f t="shared" si="26"/>
        <v/>
      </c>
      <c r="R76" s="64" t="str">
        <f t="shared" si="26"/>
        <v/>
      </c>
      <c r="S76" s="64" t="str">
        <f t="shared" si="26"/>
        <v/>
      </c>
      <c r="T76" s="64" t="str">
        <f t="shared" si="26"/>
        <v/>
      </c>
      <c r="U76" s="64" t="str">
        <f t="shared" si="26"/>
        <v/>
      </c>
      <c r="V76" s="64" t="str">
        <f t="shared" si="26"/>
        <v/>
      </c>
    </row>
    <row r="77" spans="1:22">
      <c r="A77" s="1">
        <f t="shared" si="21"/>
        <v>45</v>
      </c>
      <c r="B77" s="65" t="s">
        <v>75</v>
      </c>
      <c r="C77" s="65"/>
      <c r="D77" s="65"/>
      <c r="E77" s="65"/>
      <c r="F77" s="65"/>
      <c r="G77" s="65"/>
      <c r="H77" s="65"/>
      <c r="I77" s="65"/>
      <c r="J77" s="65"/>
      <c r="K77" s="65"/>
      <c r="L77" s="65"/>
      <c r="M77" s="64" t="str">
        <f t="shared" ca="1" si="24"/>
        <v>-</v>
      </c>
      <c r="N77" s="64" t="str">
        <f t="shared" si="24"/>
        <v/>
      </c>
      <c r="O77" s="64" t="str">
        <f t="shared" si="24"/>
        <v/>
      </c>
      <c r="P77" s="64" t="str">
        <f t="shared" si="24"/>
        <v/>
      </c>
      <c r="Q77" s="64" t="str">
        <f t="shared" si="26"/>
        <v/>
      </c>
      <c r="R77" s="64" t="str">
        <f t="shared" si="26"/>
        <v/>
      </c>
      <c r="S77" s="64" t="str">
        <f t="shared" si="26"/>
        <v/>
      </c>
      <c r="T77" s="64" t="str">
        <f t="shared" si="26"/>
        <v/>
      </c>
      <c r="U77" s="64" t="str">
        <f t="shared" si="26"/>
        <v/>
      </c>
      <c r="V77" s="64" t="str">
        <f t="shared" si="26"/>
        <v/>
      </c>
    </row>
    <row r="78" spans="1:22">
      <c r="A78" s="1">
        <f t="shared" si="21"/>
        <v>46</v>
      </c>
      <c r="B78" s="65" t="s">
        <v>74</v>
      </c>
      <c r="C78" s="65"/>
      <c r="D78" s="65"/>
      <c r="E78" s="65"/>
      <c r="F78" s="65"/>
      <c r="G78" s="65"/>
      <c r="H78" s="65"/>
      <c r="I78" s="65"/>
      <c r="J78" s="65"/>
      <c r="K78" s="65"/>
      <c r="L78" s="65"/>
      <c r="M78" s="64" t="str">
        <f t="shared" ca="1" si="24"/>
        <v>-</v>
      </c>
      <c r="N78" s="64" t="str">
        <f t="shared" si="24"/>
        <v/>
      </c>
      <c r="O78" s="64" t="str">
        <f t="shared" si="24"/>
        <v/>
      </c>
      <c r="P78" s="64" t="str">
        <f t="shared" si="24"/>
        <v/>
      </c>
      <c r="Q78" s="64" t="str">
        <f t="shared" si="26"/>
        <v/>
      </c>
      <c r="R78" s="64" t="str">
        <f t="shared" si="26"/>
        <v/>
      </c>
      <c r="S78" s="64" t="str">
        <f t="shared" si="26"/>
        <v/>
      </c>
      <c r="T78" s="64" t="str">
        <f t="shared" si="26"/>
        <v/>
      </c>
      <c r="U78" s="64" t="str">
        <f t="shared" si="26"/>
        <v/>
      </c>
      <c r="V78" s="64" t="str">
        <f t="shared" si="26"/>
        <v/>
      </c>
    </row>
    <row r="79" spans="1:22">
      <c r="A79" s="1">
        <f t="shared" si="21"/>
        <v>47</v>
      </c>
      <c r="B79" s="65" t="s">
        <v>73</v>
      </c>
      <c r="C79" s="65"/>
      <c r="D79" s="494"/>
      <c r="E79" s="65"/>
      <c r="F79" s="494"/>
      <c r="G79" s="65"/>
      <c r="H79" s="65"/>
      <c r="I79" s="65"/>
      <c r="J79" s="65"/>
      <c r="K79" s="65"/>
      <c r="L79" s="65"/>
      <c r="M79" s="64" t="str">
        <f t="shared" ca="1" si="24"/>
        <v>-</v>
      </c>
      <c r="N79" s="64" t="str">
        <f t="shared" si="24"/>
        <v/>
      </c>
      <c r="O79" s="64" t="str">
        <f t="shared" si="24"/>
        <v/>
      </c>
      <c r="P79" s="64" t="str">
        <f t="shared" si="24"/>
        <v/>
      </c>
      <c r="Q79" s="64" t="str">
        <f t="shared" si="26"/>
        <v/>
      </c>
      <c r="R79" s="64" t="str">
        <f t="shared" si="26"/>
        <v/>
      </c>
      <c r="S79" s="64" t="str">
        <f t="shared" si="26"/>
        <v/>
      </c>
      <c r="T79" s="64" t="str">
        <f t="shared" si="26"/>
        <v/>
      </c>
      <c r="U79" s="64" t="str">
        <f t="shared" si="26"/>
        <v/>
      </c>
      <c r="V79" s="64" t="str">
        <f t="shared" si="26"/>
        <v/>
      </c>
    </row>
    <row r="80" spans="1:22">
      <c r="A80" s="1">
        <f t="shared" si="21"/>
        <v>48</v>
      </c>
      <c r="B80" s="65" t="s">
        <v>72</v>
      </c>
      <c r="C80" s="65"/>
      <c r="D80" s="73"/>
      <c r="E80" s="65"/>
      <c r="F80" s="73"/>
      <c r="G80" s="65"/>
      <c r="H80" s="65"/>
      <c r="I80" s="65"/>
      <c r="J80" s="65"/>
      <c r="K80" s="65"/>
      <c r="L80" s="65"/>
      <c r="M80" s="64" t="str">
        <f t="shared" ca="1" si="24"/>
        <v>-</v>
      </c>
      <c r="N80" s="64" t="str">
        <f t="shared" si="24"/>
        <v/>
      </c>
      <c r="O80" s="64" t="str">
        <f t="shared" si="24"/>
        <v/>
      </c>
      <c r="P80" s="64" t="str">
        <f t="shared" si="24"/>
        <v/>
      </c>
      <c r="Q80" s="64" t="str">
        <f t="shared" si="26"/>
        <v/>
      </c>
      <c r="R80" s="64" t="str">
        <f t="shared" si="26"/>
        <v/>
      </c>
      <c r="S80" s="64" t="str">
        <f t="shared" si="26"/>
        <v/>
      </c>
      <c r="T80" s="64" t="str">
        <f t="shared" si="26"/>
        <v/>
      </c>
      <c r="U80" s="64" t="str">
        <f t="shared" si="26"/>
        <v/>
      </c>
      <c r="V80" s="64" t="str">
        <f t="shared" si="26"/>
        <v/>
      </c>
    </row>
    <row r="81" spans="1:22">
      <c r="A81" s="1">
        <f t="shared" si="21"/>
        <v>49</v>
      </c>
      <c r="M81" s="64" t="str">
        <f t="shared" ca="1" si="24"/>
        <v>-</v>
      </c>
      <c r="N81" s="64" t="str">
        <f t="shared" si="24"/>
        <v/>
      </c>
      <c r="O81" s="64" t="str">
        <f t="shared" si="24"/>
        <v/>
      </c>
      <c r="P81" s="64" t="str">
        <f t="shared" si="24"/>
        <v/>
      </c>
      <c r="Q81" s="64" t="str">
        <f t="shared" si="26"/>
        <v/>
      </c>
      <c r="R81" s="64" t="str">
        <f t="shared" si="26"/>
        <v/>
      </c>
      <c r="S81" s="64" t="str">
        <f t="shared" si="26"/>
        <v/>
      </c>
      <c r="T81" s="64" t="str">
        <f t="shared" si="26"/>
        <v/>
      </c>
      <c r="U81" s="64" t="str">
        <f t="shared" si="26"/>
        <v/>
      </c>
      <c r="V81" s="64" t="str">
        <f t="shared" si="26"/>
        <v/>
      </c>
    </row>
    <row r="82" spans="1:22">
      <c r="A82" s="1">
        <f t="shared" si="21"/>
        <v>50</v>
      </c>
      <c r="B82" s="1" t="s">
        <v>71</v>
      </c>
      <c r="C82" s="66"/>
      <c r="D82" s="66"/>
      <c r="E82" s="66"/>
      <c r="F82" s="66" t="str">
        <f t="shared" ref="F82:L82" si="27">F71</f>
        <v/>
      </c>
      <c r="G82" s="66" t="str">
        <f t="shared" si="27"/>
        <v/>
      </c>
      <c r="H82" s="66" t="str">
        <f t="shared" si="27"/>
        <v/>
      </c>
      <c r="I82" s="66" t="str">
        <f t="shared" si="27"/>
        <v/>
      </c>
      <c r="J82" s="66" t="str">
        <f t="shared" si="27"/>
        <v/>
      </c>
      <c r="K82" s="66" t="str">
        <f t="shared" si="27"/>
        <v/>
      </c>
      <c r="L82" s="66" t="str">
        <f t="shared" si="27"/>
        <v/>
      </c>
      <c r="M82" s="64" t="str">
        <f t="shared" ca="1" si="24"/>
        <v>-</v>
      </c>
      <c r="N82" s="64" t="str">
        <f t="shared" si="24"/>
        <v/>
      </c>
      <c r="O82" s="64" t="str">
        <f t="shared" si="24"/>
        <v/>
      </c>
      <c r="P82" s="64" t="str">
        <f t="shared" si="24"/>
        <v/>
      </c>
      <c r="Q82" s="64" t="str">
        <f t="shared" si="26"/>
        <v/>
      </c>
      <c r="R82" s="64" t="str">
        <f t="shared" si="26"/>
        <v/>
      </c>
      <c r="S82" s="64" t="str">
        <f t="shared" si="26"/>
        <v/>
      </c>
      <c r="T82" s="64" t="str">
        <f t="shared" si="26"/>
        <v/>
      </c>
      <c r="U82" s="64" t="str">
        <f t="shared" si="26"/>
        <v/>
      </c>
      <c r="V82" s="64" t="str">
        <f t="shared" si="26"/>
        <v/>
      </c>
    </row>
    <row r="83" spans="1:22">
      <c r="A83" s="1">
        <f t="shared" si="21"/>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6"/>
        <v/>
      </c>
      <c r="R83" s="64" t="str">
        <f t="shared" si="26"/>
        <v/>
      </c>
      <c r="S83" s="64" t="str">
        <f t="shared" si="26"/>
        <v/>
      </c>
      <c r="T83" s="64" t="str">
        <f t="shared" si="26"/>
        <v/>
      </c>
      <c r="U83" s="64" t="str">
        <f t="shared" si="26"/>
        <v/>
      </c>
      <c r="V83" s="64" t="str">
        <f t="shared" si="26"/>
        <v/>
      </c>
    </row>
    <row r="84" spans="1:22">
      <c r="A84" s="1">
        <f t="shared" si="21"/>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6"/>
        <v/>
      </c>
      <c r="R84" s="64" t="str">
        <f t="shared" si="26"/>
        <v/>
      </c>
      <c r="S84" s="64" t="str">
        <f t="shared" si="26"/>
        <v/>
      </c>
      <c r="T84" s="64" t="str">
        <f t="shared" si="26"/>
        <v/>
      </c>
      <c r="U84" s="64" t="str">
        <f t="shared" si="26"/>
        <v/>
      </c>
      <c r="V84" s="64" t="str">
        <f t="shared" si="26"/>
        <v/>
      </c>
    </row>
    <row r="85" spans="1:22">
      <c r="A85" s="1">
        <f t="shared" si="21"/>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ref="Q85:V94" si="28">IF(Q$33="","","-")</f>
        <v/>
      </c>
      <c r="R85" s="64" t="str">
        <f t="shared" si="28"/>
        <v/>
      </c>
      <c r="S85" s="64" t="str">
        <f t="shared" si="28"/>
        <v/>
      </c>
      <c r="T85" s="64" t="str">
        <f t="shared" si="28"/>
        <v/>
      </c>
      <c r="U85" s="64" t="str">
        <f t="shared" si="28"/>
        <v/>
      </c>
      <c r="V85" s="64" t="str">
        <f t="shared" si="28"/>
        <v/>
      </c>
    </row>
    <row r="86" spans="1:22">
      <c r="A86" s="1">
        <f t="shared" si="21"/>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8"/>
        <v/>
      </c>
      <c r="R86" s="64" t="str">
        <f t="shared" si="28"/>
        <v/>
      </c>
      <c r="S86" s="64" t="str">
        <f t="shared" si="28"/>
        <v/>
      </c>
      <c r="T86" s="64" t="str">
        <f t="shared" si="28"/>
        <v/>
      </c>
      <c r="U86" s="64" t="str">
        <f t="shared" si="28"/>
        <v/>
      </c>
      <c r="V86" s="64" t="str">
        <f t="shared" si="28"/>
        <v/>
      </c>
    </row>
    <row r="87" spans="1:22">
      <c r="A87" s="1">
        <f t="shared" si="21"/>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8"/>
        <v/>
      </c>
      <c r="R87" s="64" t="str">
        <f t="shared" si="28"/>
        <v/>
      </c>
      <c r="S87" s="64" t="str">
        <f t="shared" si="28"/>
        <v/>
      </c>
      <c r="T87" s="64" t="str">
        <f t="shared" si="28"/>
        <v/>
      </c>
      <c r="U87" s="64" t="str">
        <f t="shared" si="28"/>
        <v/>
      </c>
      <c r="V87" s="64" t="str">
        <f t="shared" si="28"/>
        <v/>
      </c>
    </row>
    <row r="88" spans="1:22">
      <c r="A88" s="1">
        <f t="shared" si="21"/>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8"/>
        <v/>
      </c>
      <c r="R88" s="64" t="str">
        <f t="shared" si="28"/>
        <v/>
      </c>
      <c r="S88" s="64" t="str">
        <f t="shared" si="28"/>
        <v/>
      </c>
      <c r="T88" s="64" t="str">
        <f t="shared" si="28"/>
        <v/>
      </c>
      <c r="U88" s="64" t="str">
        <f t="shared" si="28"/>
        <v/>
      </c>
      <c r="V88" s="64" t="str">
        <f t="shared" si="28"/>
        <v/>
      </c>
    </row>
    <row r="89" spans="1:22">
      <c r="A89" s="1">
        <f t="shared" si="21"/>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8"/>
        <v/>
      </c>
      <c r="R89" s="64" t="str">
        <f t="shared" si="28"/>
        <v/>
      </c>
      <c r="S89" s="64" t="str">
        <f t="shared" si="28"/>
        <v/>
      </c>
      <c r="T89" s="64" t="str">
        <f t="shared" si="28"/>
        <v/>
      </c>
      <c r="U89" s="64" t="str">
        <f t="shared" si="28"/>
        <v/>
      </c>
      <c r="V89" s="64" t="str">
        <f t="shared" si="28"/>
        <v/>
      </c>
    </row>
    <row r="90" spans="1:22">
      <c r="A90" s="1">
        <f t="shared" si="21"/>
        <v>58</v>
      </c>
      <c r="B90" s="65" t="s">
        <v>63</v>
      </c>
      <c r="C90" s="65"/>
      <c r="D90" s="65"/>
      <c r="E90" s="65"/>
      <c r="F90" s="65"/>
      <c r="G90" s="65"/>
      <c r="H90" s="65"/>
      <c r="I90" s="65"/>
      <c r="J90" s="65"/>
      <c r="K90" s="65"/>
      <c r="L90" s="65"/>
      <c r="M90" s="64" t="str">
        <f t="shared" ref="M90:P103" ca="1" si="29">IF(M$33="","","-")</f>
        <v>-</v>
      </c>
      <c r="N90" s="64" t="str">
        <f t="shared" si="29"/>
        <v/>
      </c>
      <c r="O90" s="64" t="str">
        <f t="shared" si="29"/>
        <v/>
      </c>
      <c r="P90" s="64" t="str">
        <f t="shared" si="29"/>
        <v/>
      </c>
      <c r="Q90" s="64" t="str">
        <f t="shared" si="28"/>
        <v/>
      </c>
      <c r="R90" s="64" t="str">
        <f t="shared" si="28"/>
        <v/>
      </c>
      <c r="S90" s="64" t="str">
        <f t="shared" si="28"/>
        <v/>
      </c>
      <c r="T90" s="64" t="str">
        <f t="shared" si="28"/>
        <v/>
      </c>
      <c r="U90" s="64" t="str">
        <f t="shared" si="28"/>
        <v/>
      </c>
      <c r="V90" s="64" t="str">
        <f t="shared" si="28"/>
        <v/>
      </c>
    </row>
    <row r="91" spans="1:22">
      <c r="A91" s="1">
        <f t="shared" si="21"/>
        <v>59</v>
      </c>
      <c r="B91" s="65" t="s">
        <v>62</v>
      </c>
      <c r="C91" s="65"/>
      <c r="D91" s="65"/>
      <c r="E91" s="65"/>
      <c r="F91" s="65"/>
      <c r="G91" s="65"/>
      <c r="H91" s="65"/>
      <c r="I91" s="65"/>
      <c r="J91" s="65"/>
      <c r="K91" s="65"/>
      <c r="L91" s="65"/>
      <c r="M91" s="64" t="str">
        <f t="shared" ca="1" si="29"/>
        <v>-</v>
      </c>
      <c r="N91" s="64" t="str">
        <f t="shared" si="29"/>
        <v/>
      </c>
      <c r="O91" s="64" t="str">
        <f t="shared" si="29"/>
        <v/>
      </c>
      <c r="P91" s="64" t="str">
        <f t="shared" si="29"/>
        <v/>
      </c>
      <c r="Q91" s="64" t="str">
        <f t="shared" si="28"/>
        <v/>
      </c>
      <c r="R91" s="64" t="str">
        <f t="shared" si="28"/>
        <v/>
      </c>
      <c r="S91" s="64" t="str">
        <f t="shared" si="28"/>
        <v/>
      </c>
      <c r="T91" s="64" t="str">
        <f t="shared" si="28"/>
        <v/>
      </c>
      <c r="U91" s="64" t="str">
        <f t="shared" si="28"/>
        <v/>
      </c>
      <c r="V91" s="64" t="str">
        <f t="shared" si="28"/>
        <v/>
      </c>
    </row>
    <row r="92" spans="1:22">
      <c r="A92" s="1">
        <f t="shared" si="21"/>
        <v>60</v>
      </c>
      <c r="B92" s="65" t="s">
        <v>61</v>
      </c>
      <c r="C92" s="65"/>
      <c r="D92" s="65"/>
      <c r="E92" s="65"/>
      <c r="F92" s="65"/>
      <c r="G92" s="65"/>
      <c r="H92" s="65"/>
      <c r="I92" s="65"/>
      <c r="J92" s="65"/>
      <c r="K92" s="65"/>
      <c r="L92" s="65"/>
      <c r="M92" s="64" t="str">
        <f t="shared" ca="1" si="29"/>
        <v>-</v>
      </c>
      <c r="N92" s="64" t="str">
        <f t="shared" si="29"/>
        <v/>
      </c>
      <c r="O92" s="64" t="str">
        <f t="shared" si="29"/>
        <v/>
      </c>
      <c r="P92" s="64" t="str">
        <f t="shared" si="29"/>
        <v/>
      </c>
      <c r="Q92" s="64" t="str">
        <f t="shared" si="28"/>
        <v/>
      </c>
      <c r="R92" s="64" t="str">
        <f t="shared" si="28"/>
        <v/>
      </c>
      <c r="S92" s="64" t="str">
        <f t="shared" si="28"/>
        <v/>
      </c>
      <c r="T92" s="64" t="str">
        <f t="shared" si="28"/>
        <v/>
      </c>
      <c r="U92" s="64" t="str">
        <f t="shared" si="28"/>
        <v/>
      </c>
      <c r="V92" s="64" t="str">
        <f t="shared" si="28"/>
        <v/>
      </c>
    </row>
    <row r="93" spans="1:22">
      <c r="A93" s="1">
        <f t="shared" si="21"/>
        <v>61</v>
      </c>
      <c r="B93" s="65" t="s">
        <v>60</v>
      </c>
      <c r="C93" s="65"/>
      <c r="D93" s="65"/>
      <c r="E93" s="65"/>
      <c r="F93" s="65"/>
      <c r="G93" s="65"/>
      <c r="H93" s="65"/>
      <c r="I93" s="65"/>
      <c r="J93" s="65"/>
      <c r="K93" s="65"/>
      <c r="L93" s="65"/>
      <c r="M93" s="64" t="str">
        <f t="shared" ca="1" si="29"/>
        <v>-</v>
      </c>
      <c r="N93" s="64" t="str">
        <f t="shared" si="29"/>
        <v/>
      </c>
      <c r="O93" s="64" t="str">
        <f t="shared" si="29"/>
        <v/>
      </c>
      <c r="P93" s="64" t="str">
        <f t="shared" si="29"/>
        <v/>
      </c>
      <c r="Q93" s="64" t="str">
        <f t="shared" si="28"/>
        <v/>
      </c>
      <c r="R93" s="64" t="str">
        <f t="shared" si="28"/>
        <v/>
      </c>
      <c r="S93" s="64" t="str">
        <f t="shared" si="28"/>
        <v/>
      </c>
      <c r="T93" s="64" t="str">
        <f t="shared" si="28"/>
        <v/>
      </c>
      <c r="U93" s="64" t="str">
        <f t="shared" si="28"/>
        <v/>
      </c>
      <c r="V93" s="64" t="str">
        <f t="shared" si="28"/>
        <v/>
      </c>
    </row>
    <row r="94" spans="1:22">
      <c r="A94" s="1">
        <f t="shared" si="21"/>
        <v>62</v>
      </c>
      <c r="B94" s="65" t="s">
        <v>59</v>
      </c>
      <c r="C94" s="65"/>
      <c r="D94" s="65"/>
      <c r="E94" s="65"/>
      <c r="F94" s="65"/>
      <c r="G94" s="65"/>
      <c r="H94" s="65"/>
      <c r="I94" s="65"/>
      <c r="J94" s="65"/>
      <c r="K94" s="65"/>
      <c r="L94" s="65"/>
      <c r="M94" s="64" t="str">
        <f t="shared" ca="1" si="29"/>
        <v>-</v>
      </c>
      <c r="N94" s="64" t="str">
        <f t="shared" si="29"/>
        <v/>
      </c>
      <c r="O94" s="64" t="str">
        <f t="shared" si="29"/>
        <v/>
      </c>
      <c r="P94" s="64" t="str">
        <f t="shared" si="29"/>
        <v/>
      </c>
      <c r="Q94" s="64" t="str">
        <f t="shared" si="28"/>
        <v/>
      </c>
      <c r="R94" s="64" t="str">
        <f t="shared" si="28"/>
        <v/>
      </c>
      <c r="S94" s="64" t="str">
        <f t="shared" si="28"/>
        <v/>
      </c>
      <c r="T94" s="64" t="str">
        <f t="shared" si="28"/>
        <v/>
      </c>
      <c r="U94" s="64" t="str">
        <f t="shared" si="28"/>
        <v/>
      </c>
      <c r="V94" s="64" t="str">
        <f t="shared" si="28"/>
        <v/>
      </c>
    </row>
    <row r="95" spans="1:22">
      <c r="A95" s="1">
        <f t="shared" si="21"/>
        <v>63</v>
      </c>
      <c r="B95" s="65" t="s">
        <v>58</v>
      </c>
      <c r="C95" s="65"/>
      <c r="D95" s="65"/>
      <c r="E95" s="65"/>
      <c r="F95" s="65"/>
      <c r="G95" s="65"/>
      <c r="H95" s="65"/>
      <c r="I95" s="65"/>
      <c r="J95" s="65"/>
      <c r="K95" s="65"/>
      <c r="L95" s="65"/>
      <c r="M95" s="64" t="str">
        <f t="shared" ca="1" si="29"/>
        <v>-</v>
      </c>
      <c r="N95" s="64" t="str">
        <f t="shared" si="29"/>
        <v/>
      </c>
      <c r="O95" s="64" t="str">
        <f t="shared" si="29"/>
        <v/>
      </c>
      <c r="P95" s="64" t="str">
        <f t="shared" si="29"/>
        <v/>
      </c>
      <c r="Q95" s="64" t="str">
        <f t="shared" ref="Q95:V103" si="30">IF(Q$33="","","-")</f>
        <v/>
      </c>
      <c r="R95" s="64" t="str">
        <f t="shared" si="30"/>
        <v/>
      </c>
      <c r="S95" s="64" t="str">
        <f t="shared" si="30"/>
        <v/>
      </c>
      <c r="T95" s="64" t="str">
        <f t="shared" si="30"/>
        <v/>
      </c>
      <c r="U95" s="64" t="str">
        <f t="shared" si="30"/>
        <v/>
      </c>
      <c r="V95" s="64" t="str">
        <f t="shared" si="30"/>
        <v/>
      </c>
    </row>
    <row r="96" spans="1:22">
      <c r="A96" s="1">
        <f t="shared" si="21"/>
        <v>64</v>
      </c>
      <c r="B96" s="65" t="s">
        <v>57</v>
      </c>
      <c r="C96" s="65"/>
      <c r="D96" s="65"/>
      <c r="E96" s="65"/>
      <c r="F96" s="65"/>
      <c r="G96" s="65"/>
      <c r="H96" s="65"/>
      <c r="I96" s="65"/>
      <c r="J96" s="65"/>
      <c r="K96" s="65"/>
      <c r="L96" s="65"/>
      <c r="M96" s="64" t="str">
        <f t="shared" ca="1" si="29"/>
        <v>-</v>
      </c>
      <c r="N96" s="64" t="str">
        <f t="shared" si="29"/>
        <v/>
      </c>
      <c r="O96" s="64" t="str">
        <f t="shared" si="29"/>
        <v/>
      </c>
      <c r="P96" s="64" t="str">
        <f t="shared" si="29"/>
        <v/>
      </c>
      <c r="Q96" s="64" t="str">
        <f t="shared" si="30"/>
        <v/>
      </c>
      <c r="R96" s="64" t="str">
        <f t="shared" si="30"/>
        <v/>
      </c>
      <c r="S96" s="64" t="str">
        <f t="shared" si="30"/>
        <v/>
      </c>
      <c r="T96" s="64" t="str">
        <f t="shared" si="30"/>
        <v/>
      </c>
      <c r="U96" s="64" t="str">
        <f t="shared" si="30"/>
        <v/>
      </c>
      <c r="V96" s="64" t="str">
        <f t="shared" si="30"/>
        <v/>
      </c>
    </row>
    <row r="97" spans="1:22">
      <c r="A97" s="1">
        <f t="shared" si="21"/>
        <v>65</v>
      </c>
      <c r="B97" s="65" t="s">
        <v>56</v>
      </c>
      <c r="C97" s="65"/>
      <c r="D97" s="65"/>
      <c r="E97" s="65"/>
      <c r="F97" s="65"/>
      <c r="G97" s="65"/>
      <c r="H97" s="65"/>
      <c r="I97" s="65"/>
      <c r="J97" s="65"/>
      <c r="K97" s="65"/>
      <c r="L97" s="65"/>
      <c r="M97" s="64" t="str">
        <f t="shared" ca="1" si="29"/>
        <v>-</v>
      </c>
      <c r="N97" s="64" t="str">
        <f t="shared" si="29"/>
        <v/>
      </c>
      <c r="O97" s="64" t="str">
        <f t="shared" si="29"/>
        <v/>
      </c>
      <c r="P97" s="64" t="str">
        <f t="shared" si="29"/>
        <v/>
      </c>
      <c r="Q97" s="64" t="str">
        <f t="shared" si="30"/>
        <v/>
      </c>
      <c r="R97" s="64" t="str">
        <f t="shared" si="30"/>
        <v/>
      </c>
      <c r="S97" s="64" t="str">
        <f t="shared" si="30"/>
        <v/>
      </c>
      <c r="T97" s="64" t="str">
        <f t="shared" si="30"/>
        <v/>
      </c>
      <c r="U97" s="64" t="str">
        <f t="shared" si="30"/>
        <v/>
      </c>
      <c r="V97" s="64" t="str">
        <f t="shared" si="30"/>
        <v/>
      </c>
    </row>
    <row r="98" spans="1:22">
      <c r="A98" s="1">
        <f t="shared" ref="A98:A103" si="31">A97+1</f>
        <v>66</v>
      </c>
      <c r="B98" s="65" t="s">
        <v>55</v>
      </c>
      <c r="C98" s="65"/>
      <c r="D98" s="65"/>
      <c r="E98" s="65"/>
      <c r="F98" s="65"/>
      <c r="G98" s="65"/>
      <c r="H98" s="65"/>
      <c r="I98" s="65"/>
      <c r="J98" s="65"/>
      <c r="K98" s="65"/>
      <c r="L98" s="65"/>
      <c r="M98" s="64" t="str">
        <f t="shared" ca="1" si="29"/>
        <v>-</v>
      </c>
      <c r="N98" s="64" t="str">
        <f t="shared" si="29"/>
        <v/>
      </c>
      <c r="O98" s="64" t="str">
        <f t="shared" si="29"/>
        <v/>
      </c>
      <c r="P98" s="64" t="str">
        <f t="shared" si="29"/>
        <v/>
      </c>
      <c r="Q98" s="64" t="str">
        <f t="shared" si="30"/>
        <v/>
      </c>
      <c r="R98" s="64" t="str">
        <f t="shared" si="30"/>
        <v/>
      </c>
      <c r="S98" s="64" t="str">
        <f t="shared" si="30"/>
        <v/>
      </c>
      <c r="T98" s="64" t="str">
        <f t="shared" si="30"/>
        <v/>
      </c>
      <c r="U98" s="64" t="str">
        <f t="shared" si="30"/>
        <v/>
      </c>
      <c r="V98" s="64" t="str">
        <f t="shared" si="30"/>
        <v/>
      </c>
    </row>
    <row r="99" spans="1:22">
      <c r="A99" s="1">
        <f t="shared" si="31"/>
        <v>67</v>
      </c>
      <c r="B99" s="65" t="s">
        <v>54</v>
      </c>
      <c r="C99" s="65"/>
      <c r="D99" s="65"/>
      <c r="E99" s="65"/>
      <c r="F99" s="65"/>
      <c r="G99" s="65"/>
      <c r="H99" s="65"/>
      <c r="I99" s="65"/>
      <c r="J99" s="65"/>
      <c r="K99" s="65"/>
      <c r="L99" s="65"/>
      <c r="M99" s="64" t="str">
        <f t="shared" ca="1" si="29"/>
        <v>-</v>
      </c>
      <c r="N99" s="64" t="str">
        <f t="shared" si="29"/>
        <v/>
      </c>
      <c r="O99" s="64" t="str">
        <f t="shared" si="29"/>
        <v/>
      </c>
      <c r="P99" s="64" t="str">
        <f t="shared" si="29"/>
        <v/>
      </c>
      <c r="Q99" s="64" t="str">
        <f t="shared" si="30"/>
        <v/>
      </c>
      <c r="R99" s="64" t="str">
        <f t="shared" si="30"/>
        <v/>
      </c>
      <c r="S99" s="64" t="str">
        <f t="shared" si="30"/>
        <v/>
      </c>
      <c r="T99" s="64" t="str">
        <f t="shared" si="30"/>
        <v/>
      </c>
      <c r="U99" s="64" t="str">
        <f t="shared" si="30"/>
        <v/>
      </c>
      <c r="V99" s="64" t="str">
        <f t="shared" si="30"/>
        <v/>
      </c>
    </row>
    <row r="100" spans="1:22">
      <c r="A100" s="1">
        <f t="shared" si="31"/>
        <v>68</v>
      </c>
      <c r="M100" s="64" t="str">
        <f t="shared" ca="1" si="29"/>
        <v>-</v>
      </c>
      <c r="N100" s="64" t="str">
        <f t="shared" si="29"/>
        <v/>
      </c>
      <c r="O100" s="64" t="str">
        <f t="shared" si="29"/>
        <v/>
      </c>
      <c r="P100" s="64" t="str">
        <f t="shared" si="29"/>
        <v/>
      </c>
      <c r="Q100" s="64" t="str">
        <f t="shared" si="30"/>
        <v/>
      </c>
      <c r="R100" s="64" t="str">
        <f t="shared" si="30"/>
        <v/>
      </c>
      <c r="S100" s="64" t="str">
        <f t="shared" si="30"/>
        <v/>
      </c>
      <c r="T100" s="64" t="str">
        <f t="shared" si="30"/>
        <v/>
      </c>
      <c r="U100" s="64" t="str">
        <f t="shared" si="30"/>
        <v/>
      </c>
      <c r="V100" s="64" t="str">
        <f t="shared" si="30"/>
        <v/>
      </c>
    </row>
    <row r="101" spans="1:22">
      <c r="A101" s="1">
        <f t="shared" si="31"/>
        <v>69</v>
      </c>
      <c r="B101" s="1" t="s">
        <v>53</v>
      </c>
      <c r="M101" s="64" t="str">
        <f t="shared" ca="1" si="29"/>
        <v>-</v>
      </c>
      <c r="N101" s="64" t="str">
        <f t="shared" si="29"/>
        <v/>
      </c>
      <c r="O101" s="64" t="str">
        <f t="shared" si="29"/>
        <v/>
      </c>
      <c r="P101" s="64" t="str">
        <f t="shared" si="29"/>
        <v/>
      </c>
      <c r="Q101" s="64" t="str">
        <f t="shared" si="30"/>
        <v/>
      </c>
      <c r="R101" s="64" t="str">
        <f t="shared" si="30"/>
        <v/>
      </c>
      <c r="S101" s="64" t="str">
        <f t="shared" si="30"/>
        <v/>
      </c>
      <c r="T101" s="64" t="str">
        <f t="shared" si="30"/>
        <v/>
      </c>
      <c r="U101" s="64" t="str">
        <f t="shared" si="30"/>
        <v/>
      </c>
      <c r="V101" s="64" t="str">
        <f t="shared" si="30"/>
        <v/>
      </c>
    </row>
    <row r="102" spans="1:22">
      <c r="A102" s="1">
        <f t="shared" si="31"/>
        <v>70</v>
      </c>
      <c r="B102" s="65" t="s">
        <v>52</v>
      </c>
      <c r="C102" s="65"/>
      <c r="D102" s="65"/>
      <c r="E102" s="65"/>
      <c r="F102" s="65"/>
      <c r="G102" s="65"/>
      <c r="H102" s="65"/>
      <c r="I102" s="65"/>
      <c r="J102" s="65"/>
      <c r="K102" s="65"/>
      <c r="L102" s="65"/>
      <c r="M102" s="64" t="str">
        <f t="shared" ca="1" si="29"/>
        <v>-</v>
      </c>
      <c r="N102" s="64" t="str">
        <f t="shared" si="29"/>
        <v/>
      </c>
      <c r="O102" s="64" t="str">
        <f t="shared" si="29"/>
        <v/>
      </c>
      <c r="P102" s="64" t="str">
        <f t="shared" si="29"/>
        <v/>
      </c>
      <c r="Q102" s="64" t="str">
        <f t="shared" si="30"/>
        <v/>
      </c>
      <c r="R102" s="64" t="str">
        <f t="shared" si="30"/>
        <v/>
      </c>
      <c r="S102" s="64" t="str">
        <f t="shared" si="30"/>
        <v/>
      </c>
      <c r="T102" s="64" t="str">
        <f t="shared" si="30"/>
        <v/>
      </c>
      <c r="U102" s="64" t="str">
        <f t="shared" si="30"/>
        <v/>
      </c>
      <c r="V102" s="64" t="str">
        <f t="shared" si="30"/>
        <v/>
      </c>
    </row>
    <row r="103" spans="1:22">
      <c r="A103" s="1">
        <f t="shared" si="31"/>
        <v>71</v>
      </c>
      <c r="B103" s="65" t="s">
        <v>51</v>
      </c>
      <c r="C103" s="65"/>
      <c r="D103" s="65"/>
      <c r="E103" s="65"/>
      <c r="F103" s="65"/>
      <c r="G103" s="65"/>
      <c r="H103" s="65"/>
      <c r="I103" s="65"/>
      <c r="J103" s="65"/>
      <c r="K103" s="65"/>
      <c r="L103" s="65"/>
      <c r="M103" s="64" t="str">
        <f t="shared" ca="1" si="29"/>
        <v>-</v>
      </c>
      <c r="N103" s="64" t="str">
        <f t="shared" si="29"/>
        <v/>
      </c>
      <c r="O103" s="64" t="str">
        <f t="shared" si="29"/>
        <v/>
      </c>
      <c r="P103" s="64" t="str">
        <f t="shared" si="29"/>
        <v/>
      </c>
      <c r="Q103" s="64" t="str">
        <f t="shared" si="30"/>
        <v/>
      </c>
      <c r="R103" s="64" t="str">
        <f t="shared" si="30"/>
        <v/>
      </c>
      <c r="S103" s="64" t="str">
        <f t="shared" si="30"/>
        <v/>
      </c>
      <c r="T103" s="64" t="str">
        <f t="shared" si="30"/>
        <v/>
      </c>
      <c r="U103" s="64" t="str">
        <f t="shared" si="30"/>
        <v/>
      </c>
      <c r="V103" s="64" t="str">
        <f t="shared" si="30"/>
        <v/>
      </c>
    </row>
    <row r="105" spans="1:22">
      <c r="B105" s="1" t="s">
        <v>1441</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1440</v>
      </c>
      <c r="C111" s="498">
        <v>3.15E-2</v>
      </c>
      <c r="D111" s="498" t="s">
        <v>1425</v>
      </c>
      <c r="E111" s="93" t="s">
        <v>1439</v>
      </c>
      <c r="F111" s="93"/>
    </row>
    <row r="112" spans="1:22">
      <c r="A112" s="93"/>
      <c r="B112" s="332" t="s">
        <v>1438</v>
      </c>
      <c r="C112" s="498">
        <v>6.1700000000000001E-3</v>
      </c>
      <c r="D112" s="498" t="s">
        <v>1425</v>
      </c>
      <c r="E112" s="93" t="s">
        <v>1437</v>
      </c>
      <c r="F112" s="93"/>
    </row>
    <row r="113" spans="1:8">
      <c r="A113" s="93"/>
      <c r="B113" s="332" t="s">
        <v>1436</v>
      </c>
      <c r="C113" s="498">
        <v>106</v>
      </c>
      <c r="D113" s="498" t="s">
        <v>1425</v>
      </c>
      <c r="E113" s="93" t="s">
        <v>1435</v>
      </c>
      <c r="F113" s="93"/>
    </row>
    <row r="114" spans="1:8">
      <c r="A114" s="93"/>
      <c r="B114" s="332" t="s">
        <v>1434</v>
      </c>
      <c r="C114" s="498">
        <v>62</v>
      </c>
      <c r="D114" s="498" t="s">
        <v>1425</v>
      </c>
      <c r="E114" s="93" t="s">
        <v>1433</v>
      </c>
      <c r="F114" s="93"/>
    </row>
    <row r="115" spans="1:8">
      <c r="A115" s="93"/>
      <c r="B115" s="332" t="s">
        <v>1432</v>
      </c>
      <c r="C115" s="498">
        <v>50</v>
      </c>
      <c r="D115" s="498" t="s">
        <v>1425</v>
      </c>
      <c r="E115" s="93" t="s">
        <v>1431</v>
      </c>
      <c r="F115" s="93"/>
    </row>
    <row r="116" spans="1:8">
      <c r="A116" s="93"/>
      <c r="B116" s="332" t="s">
        <v>1430</v>
      </c>
      <c r="C116" s="498">
        <v>0</v>
      </c>
      <c r="D116" s="498" t="s">
        <v>1425</v>
      </c>
      <c r="E116" s="93" t="s">
        <v>1429</v>
      </c>
      <c r="F116" s="93"/>
    </row>
    <row r="117" spans="1:8">
      <c r="A117" s="93"/>
      <c r="B117" s="332" t="s">
        <v>1428</v>
      </c>
      <c r="C117" s="498">
        <v>52.2</v>
      </c>
      <c r="D117" s="498" t="s">
        <v>1425</v>
      </c>
      <c r="E117" s="93" t="s">
        <v>1427</v>
      </c>
      <c r="F117" s="93"/>
    </row>
    <row r="118" spans="1:8">
      <c r="A118" s="93"/>
      <c r="B118" s="332" t="s">
        <v>447</v>
      </c>
      <c r="C118" s="498">
        <v>1</v>
      </c>
      <c r="D118" s="498" t="s">
        <v>1425</v>
      </c>
      <c r="E118" s="93" t="s">
        <v>1426</v>
      </c>
      <c r="F118" s="93"/>
    </row>
    <row r="119" spans="1:8">
      <c r="A119" s="93"/>
      <c r="B119" s="332" t="s">
        <v>9</v>
      </c>
      <c r="C119" s="498">
        <v>10</v>
      </c>
      <c r="D119" s="498" t="s">
        <v>1425</v>
      </c>
      <c r="E119" s="93"/>
      <c r="F119" s="93"/>
    </row>
    <row r="120" spans="1:8">
      <c r="A120" s="93"/>
      <c r="B120" s="332" t="s">
        <v>2045</v>
      </c>
      <c r="C120" s="498">
        <v>7</v>
      </c>
      <c r="D120" s="498" t="s">
        <v>1425</v>
      </c>
      <c r="E120" s="93"/>
      <c r="F120" s="93"/>
    </row>
    <row r="121" spans="1:8">
      <c r="A121" s="26"/>
      <c r="B121" s="26"/>
      <c r="C121" s="26"/>
    </row>
    <row r="122" spans="1:8">
      <c r="A122" s="2"/>
      <c r="B122" s="318" t="s">
        <v>533</v>
      </c>
      <c r="C122" s="498"/>
      <c r="D122" s="498"/>
      <c r="E122" s="498"/>
      <c r="F122" s="498"/>
      <c r="G122" s="498"/>
      <c r="H122" s="498"/>
    </row>
    <row r="123" spans="1:8">
      <c r="A123" s="2"/>
      <c r="B123" s="318" t="s">
        <v>1367</v>
      </c>
      <c r="C123" s="496" t="s">
        <v>500</v>
      </c>
      <c r="D123" s="94" t="s">
        <v>10</v>
      </c>
      <c r="E123" s="497" t="s">
        <v>244</v>
      </c>
      <c r="F123" s="497" t="s">
        <v>9</v>
      </c>
      <c r="G123" s="497" t="s">
        <v>8</v>
      </c>
      <c r="H123" s="497" t="s">
        <v>7</v>
      </c>
    </row>
    <row r="124" spans="1:8">
      <c r="A124" s="26"/>
      <c r="B124" s="496" t="s">
        <v>1424</v>
      </c>
      <c r="C124" s="498">
        <f>((C111*(C113-C115))+(C112*(C114-C116)))*C117*C118</f>
        <v>112.04938800000001</v>
      </c>
      <c r="D124" s="498"/>
      <c r="E124" s="498">
        <f>C124/(((C111*(C113))+(C112*(C114)))*C117*C118)</f>
        <v>0.57678810384948165</v>
      </c>
      <c r="F124" s="498"/>
      <c r="G124" s="498">
        <f>C119/C124</f>
        <v>8.9246359828399943E-2</v>
      </c>
      <c r="H124" s="498"/>
    </row>
    <row r="125" spans="1:8">
      <c r="B125"/>
      <c r="C125"/>
      <c r="D125"/>
      <c r="E125"/>
      <c r="F125"/>
      <c r="G125"/>
      <c r="H125"/>
    </row>
    <row r="126" spans="1:8">
      <c r="B126"/>
      <c r="F126"/>
    </row>
  </sheetData>
  <phoneticPr fontId="35" type="noConversion"/>
  <dataValidations count="5">
    <dataValidation type="list" allowBlank="1" showInputMessage="1" showErrorMessage="1" sqref="C59:L59" xr:uid="{00000000-0002-0000-9800-000004000000}">
      <formula1>$N$19:$AQ$19</formula1>
    </dataValidation>
    <dataValidation type="list" allowBlank="1" showInputMessage="1" showErrorMessage="1" sqref="E11:E20" xr:uid="{00000000-0002-0000-9800-000003000000}">
      <formula1>$N$16:$O$16</formula1>
    </dataValidation>
    <dataValidation type="list" allowBlank="1" showInputMessage="1" showErrorMessage="1" sqref="D11:D20" xr:uid="{00000000-0002-0000-9800-000002000000}">
      <formula1>$N$22:$AE$22</formula1>
    </dataValidation>
    <dataValidation type="list" allowBlank="1" showInputMessage="1" showErrorMessage="1" sqref="B11:C20" xr:uid="{00000000-0002-0000-9800-000001000000}">
      <formula1>$N$7:$Q$7</formula1>
    </dataValidation>
    <dataValidation type="list" allowBlank="1" showInputMessage="1" showErrorMessage="1" sqref="D7" xr:uid="{00000000-0002-0000-9800-000000000000}">
      <formula1>$N$11:$O$11</formula1>
    </dataValidation>
  </dataValidations>
  <pageMargins left="0.7" right="0.7" top="0.75" bottom="0.75" header="0.3" footer="0.3"/>
  <pageSetup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497E-D38E-4D1F-90E4-4A795AE34120}">
  <sheetPr codeName="Sheet27">
    <tabColor indexed="14"/>
  </sheetPr>
  <dimension ref="A1:AQ133"/>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Tier 2 Power Strip</v>
      </c>
      <c r="C7" s="98" t="s">
        <v>462</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Tier 2 Power Strip_Res, E - Plug (RET)</v>
      </c>
      <c r="J11" s="83" t="str">
        <f t="shared" ref="J11:J20" si="3">IF(B11="","",CONCATENATE($C$7,IF(C11="","",CONCATENATE(" with ",C11," Secondary Fuel"))))</f>
        <v>Advanced Tier 2 Power Strips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460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459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C129</f>
        <v>116.3835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v>20</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F129</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Advanced Tier 2 Power Strips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7</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C76*2/3</f>
        <v>4.666666666666667</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v>20</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f>C78/C64</f>
        <v>0.17184566540789717</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t="s">
        <v>316</v>
      </c>
    </row>
    <row r="109" spans="1:22">
      <c r="B109" s="62" t="s">
        <v>458</v>
      </c>
      <c r="E109" s="62"/>
    </row>
    <row r="110" spans="1:22">
      <c r="B110" s="62" t="s">
        <v>457</v>
      </c>
      <c r="E110" s="62"/>
    </row>
    <row r="111" spans="1:22">
      <c r="G111" s="62"/>
    </row>
    <row r="112" spans="1:22">
      <c r="B112" s="58" t="s">
        <v>46</v>
      </c>
      <c r="C112" s="58" t="s">
        <v>45</v>
      </c>
      <c r="D112" s="58" t="s">
        <v>44</v>
      </c>
      <c r="E112" s="58" t="s">
        <v>43</v>
      </c>
    </row>
    <row r="113" spans="2:17">
      <c r="B113" s="57" t="s">
        <v>456</v>
      </c>
      <c r="C113" s="57">
        <v>466</v>
      </c>
      <c r="D113" s="28" t="s">
        <v>449</v>
      </c>
      <c r="E113" s="57" t="s">
        <v>455</v>
      </c>
    </row>
    <row r="114" spans="2:17">
      <c r="B114" s="57" t="s">
        <v>448</v>
      </c>
      <c r="C114" s="57" t="s">
        <v>35</v>
      </c>
      <c r="D114" s="28" t="s">
        <v>449</v>
      </c>
      <c r="E114" s="57" t="s">
        <v>454</v>
      </c>
    </row>
    <row r="115" spans="2:17">
      <c r="B115" s="57" t="s">
        <v>447</v>
      </c>
      <c r="C115" s="57" t="s">
        <v>35</v>
      </c>
      <c r="D115" s="28" t="s">
        <v>449</v>
      </c>
      <c r="E115" s="57" t="s">
        <v>453</v>
      </c>
    </row>
    <row r="116" spans="2:17">
      <c r="B116" s="57" t="s">
        <v>309</v>
      </c>
      <c r="C116" s="57">
        <v>4380</v>
      </c>
      <c r="D116" s="28" t="s">
        <v>449</v>
      </c>
      <c r="E116" s="57" t="s">
        <v>452</v>
      </c>
    </row>
    <row r="117" spans="2:17">
      <c r="B117" s="57" t="s">
        <v>451</v>
      </c>
      <c r="C117" s="57">
        <v>7</v>
      </c>
      <c r="D117" s="28" t="s">
        <v>449</v>
      </c>
      <c r="E117" s="57" t="s">
        <v>450</v>
      </c>
      <c r="F117" s="62"/>
    </row>
    <row r="118" spans="2:17">
      <c r="B118" s="57" t="s">
        <v>9</v>
      </c>
      <c r="C118" s="258"/>
      <c r="D118" s="28" t="s">
        <v>449</v>
      </c>
      <c r="E118" s="57"/>
    </row>
    <row r="119" spans="2:17">
      <c r="B119" s="57" t="s">
        <v>34</v>
      </c>
      <c r="C119" s="257">
        <v>0.8</v>
      </c>
      <c r="D119" s="28" t="s">
        <v>449</v>
      </c>
      <c r="E119" s="57"/>
    </row>
    <row r="120" spans="2:17">
      <c r="B120" s="57"/>
      <c r="C120" s="57"/>
      <c r="D120" s="57"/>
      <c r="E120" s="57"/>
    </row>
    <row r="121" spans="2:17">
      <c r="B121" s="21" t="s">
        <v>445</v>
      </c>
      <c r="C121" s="21" t="s">
        <v>448</v>
      </c>
      <c r="D121" s="21" t="s">
        <v>447</v>
      </c>
      <c r="E121" s="21" t="s">
        <v>9</v>
      </c>
    </row>
    <row r="122" spans="2:17">
      <c r="B122" s="19" t="s">
        <v>443</v>
      </c>
      <c r="C122" s="224">
        <v>0.4</v>
      </c>
      <c r="D122" s="256">
        <v>0.73</v>
      </c>
      <c r="E122" s="256" t="s">
        <v>446</v>
      </c>
    </row>
    <row r="123" spans="2:17">
      <c r="B123" s="19" t="s">
        <v>442</v>
      </c>
      <c r="C123" s="224">
        <v>0.25</v>
      </c>
      <c r="D123" s="256">
        <v>0.83</v>
      </c>
      <c r="E123" s="256" t="s">
        <v>446</v>
      </c>
    </row>
    <row r="124" spans="2:17">
      <c r="B124" s="28"/>
      <c r="C124" s="28"/>
      <c r="D124" s="28"/>
      <c r="E124" s="28"/>
    </row>
    <row r="125" spans="2:17">
      <c r="B125" s="21" t="s">
        <v>251</v>
      </c>
      <c r="C125" s="21"/>
      <c r="D125" s="21"/>
      <c r="E125" s="21"/>
      <c r="F125" s="21"/>
    </row>
    <row r="126" spans="2:17">
      <c r="B126" s="21" t="s">
        <v>445</v>
      </c>
      <c r="C126" s="21" t="s">
        <v>444</v>
      </c>
      <c r="D126" s="21" t="s">
        <v>10</v>
      </c>
      <c r="E126" s="21" t="s">
        <v>244</v>
      </c>
      <c r="F126" s="21" t="s">
        <v>8</v>
      </c>
      <c r="G126" s="114" t="s">
        <v>7</v>
      </c>
      <c r="H126" s="2"/>
      <c r="I126" s="2"/>
      <c r="J126" s="2"/>
      <c r="K126" s="2"/>
      <c r="L126" s="2"/>
      <c r="Q126" s="27"/>
    </row>
    <row r="127" spans="2:17">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6"/>
      <c r="F132" s="26"/>
      <c r="G132" s="26"/>
      <c r="H132" s="26"/>
      <c r="I132" s="26"/>
      <c r="J132" s="26"/>
      <c r="K132" s="26"/>
      <c r="L132" s="26"/>
      <c r="M132" s="26"/>
      <c r="N132" s="26"/>
      <c r="O132" s="27"/>
      <c r="P132" s="27"/>
      <c r="Q132" s="27"/>
    </row>
    <row r="133" spans="2:17">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D7" xr:uid="{6DBBB26F-2ACD-4B52-95D9-AC887A726989}">
      <formula1>$N$11:$O$11</formula1>
    </dataValidation>
    <dataValidation type="list" allowBlank="1" showInputMessage="1" showErrorMessage="1" sqref="B11:C20" xr:uid="{A8AA1F48-B805-47CA-B8B9-BCDEFCC00111}">
      <formula1>$N$7:$Q$7</formula1>
    </dataValidation>
    <dataValidation type="list" allowBlank="1" showInputMessage="1" showErrorMessage="1" sqref="D11:D20" xr:uid="{B68E055F-4E18-4187-A5A8-B9B84F945D24}">
      <formula1>$N$22:$AE$22</formula1>
    </dataValidation>
    <dataValidation type="list" allowBlank="1" showInputMessage="1" showErrorMessage="1" sqref="E11:E20" xr:uid="{0AA9E34B-9E33-40B9-A8A0-3D5688258C1A}">
      <formula1>$N$16:$O$16</formula1>
    </dataValidation>
    <dataValidation type="list" allowBlank="1" showInputMessage="1" showErrorMessage="1" sqref="C59:L59" xr:uid="{0ACAC47D-932E-4C9F-A65E-B7A502CF00F4}">
      <formula1>$N$19:$AQ$19</formula1>
    </dataValidation>
  </dataValidations>
  <pageMargins left="0.7" right="0.7" top="0.75" bottom="0.75" header="0.3" footer="0.3"/>
  <pageSetup orientation="portrait"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315B5-8EAC-451D-B62C-492217D43A87}">
  <sheetPr codeName="Sheet289">
    <tabColor indexed="9"/>
  </sheetPr>
  <dimension ref="A1:AQ150"/>
  <sheetViews>
    <sheetView topLeftCell="A57" zoomScale="85" zoomScaleNormal="85" workbookViewId="0">
      <selection activeCell="C68" sqref="C68"/>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 xml:space="preserve">CI Add Doors to Open Display </v>
      </c>
      <c r="C7" s="98" t="s">
        <v>1494</v>
      </c>
      <c r="D7" s="97" t="s">
        <v>211</v>
      </c>
      <c r="E7" s="97">
        <f>C123</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Add Doors to Open Display _CI, E - Refr (RET)</v>
      </c>
      <c r="J11" s="83" t="str">
        <f t="shared" ref="J11:J20" si="3">IF(B11="","",CONCATENATE($C$7,IF(C11="","",CONCATENATE(" with ",C11," Secondary Fuel"))))</f>
        <v>Add Doors to Open Refrigerator Display Cases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Add Doors to Open Display 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Add Doors to Open Display 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Add Doors to Open Refrigerator Display Cases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Add Doors to Open Display 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Add Doors to Open Refrigerator Display Cases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1492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1491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C150</f>
        <v>7856.6690682556891</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E150</f>
        <v>0</v>
      </c>
      <c r="D65" s="67"/>
      <c r="E65" s="67"/>
      <c r="F65" s="65"/>
      <c r="G65" s="65"/>
      <c r="H65" s="65"/>
      <c r="I65" s="65"/>
      <c r="J65" s="65"/>
      <c r="K65" s="65"/>
      <c r="L65" s="65"/>
      <c r="M65" s="6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C124*C113</f>
        <v>5028</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G150</f>
        <v>0.64010254951038215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Add Doors to Open Refrigerator Display Cases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1490</v>
      </c>
    </row>
    <row r="108" spans="1:22" s="63" customFormat="1" ht="15.75" thickBot="1">
      <c r="B108" s="63" t="s">
        <v>50</v>
      </c>
    </row>
    <row r="110" spans="1:22">
      <c r="B110" s="501" t="s">
        <v>1489</v>
      </c>
      <c r="C110" s="93"/>
      <c r="D110" s="93"/>
      <c r="E110" s="93"/>
    </row>
    <row r="111" spans="1:22">
      <c r="B111" s="94" t="s">
        <v>1488</v>
      </c>
      <c r="C111" s="94" t="s">
        <v>410</v>
      </c>
      <c r="D111" s="94" t="s">
        <v>409</v>
      </c>
      <c r="E111" s="94" t="s">
        <v>122</v>
      </c>
    </row>
    <row r="112" spans="1:22">
      <c r="B112" s="93" t="s">
        <v>1454</v>
      </c>
      <c r="C112" s="93" t="s">
        <v>35</v>
      </c>
      <c r="D112" s="93" t="s">
        <v>1469</v>
      </c>
      <c r="E112" s="286" t="s">
        <v>1487</v>
      </c>
    </row>
    <row r="113" spans="2:5">
      <c r="B113" s="93" t="s">
        <v>1486</v>
      </c>
      <c r="C113" s="97">
        <v>12</v>
      </c>
      <c r="D113" s="93" t="s">
        <v>1469</v>
      </c>
      <c r="E113" s="286" t="s">
        <v>1485</v>
      </c>
    </row>
    <row r="114" spans="2:5">
      <c r="B114" s="93" t="s">
        <v>1484</v>
      </c>
      <c r="C114" s="93">
        <v>11.36</v>
      </c>
      <c r="D114" s="93" t="s">
        <v>1469</v>
      </c>
      <c r="E114" s="286" t="s">
        <v>1483</v>
      </c>
    </row>
    <row r="115" spans="2:5">
      <c r="B115" s="97" t="s">
        <v>1465</v>
      </c>
      <c r="C115" s="93" t="s">
        <v>35</v>
      </c>
      <c r="D115" s="93" t="s">
        <v>1469</v>
      </c>
      <c r="E115" s="286" t="s">
        <v>1482</v>
      </c>
    </row>
    <row r="116" spans="2:5">
      <c r="B116" s="97" t="s">
        <v>1464</v>
      </c>
      <c r="C116" s="93" t="s">
        <v>35</v>
      </c>
      <c r="D116" s="93" t="s">
        <v>1469</v>
      </c>
      <c r="E116" s="286" t="s">
        <v>1482</v>
      </c>
    </row>
    <row r="117" spans="2:5">
      <c r="B117" s="93" t="s">
        <v>1481</v>
      </c>
      <c r="C117" s="93">
        <v>13</v>
      </c>
      <c r="D117" s="93" t="s">
        <v>1469</v>
      </c>
      <c r="E117" s="286" t="s">
        <v>1480</v>
      </c>
    </row>
    <row r="118" spans="2:5">
      <c r="B118" s="93" t="s">
        <v>1479</v>
      </c>
      <c r="C118" s="93" t="s">
        <v>35</v>
      </c>
      <c r="D118" s="93" t="s">
        <v>1469</v>
      </c>
      <c r="E118" s="286" t="s">
        <v>1478</v>
      </c>
    </row>
    <row r="119" spans="2:5">
      <c r="B119" s="93" t="s">
        <v>1477</v>
      </c>
      <c r="C119" s="97">
        <v>0</v>
      </c>
      <c r="D119" s="93" t="s">
        <v>1469</v>
      </c>
      <c r="E119" s="286" t="s">
        <v>1476</v>
      </c>
    </row>
    <row r="120" spans="2:5">
      <c r="B120" s="93" t="s">
        <v>1475</v>
      </c>
      <c r="C120" s="97">
        <v>0</v>
      </c>
      <c r="D120" s="93" t="s">
        <v>1469</v>
      </c>
      <c r="E120" s="286" t="s">
        <v>1474</v>
      </c>
    </row>
    <row r="121" spans="2:5">
      <c r="B121" s="93" t="s">
        <v>1473</v>
      </c>
      <c r="C121" s="97">
        <v>0.96399999999999997</v>
      </c>
      <c r="D121" s="93" t="s">
        <v>1469</v>
      </c>
      <c r="E121" s="286" t="s">
        <v>1472</v>
      </c>
    </row>
    <row r="122" spans="2:5">
      <c r="B122" s="93" t="s">
        <v>1471</v>
      </c>
      <c r="C122" s="97">
        <v>0.91300000000000003</v>
      </c>
      <c r="D122" s="93" t="s">
        <v>1469</v>
      </c>
      <c r="E122" s="286" t="s">
        <v>1470</v>
      </c>
    </row>
    <row r="123" spans="2:5">
      <c r="B123" s="93" t="s">
        <v>518</v>
      </c>
      <c r="C123" s="93">
        <v>5</v>
      </c>
      <c r="D123" s="93" t="s">
        <v>1469</v>
      </c>
      <c r="E123" s="286"/>
    </row>
    <row r="124" spans="2:5">
      <c r="B124" s="93" t="s">
        <v>438</v>
      </c>
      <c r="C124" s="93">
        <v>419</v>
      </c>
      <c r="D124" s="93" t="s">
        <v>1469</v>
      </c>
      <c r="E124" s="286" t="s">
        <v>1468</v>
      </c>
    </row>
    <row r="125" spans="2:5">
      <c r="B125" s="93"/>
      <c r="C125" s="93"/>
      <c r="D125" s="93"/>
      <c r="E125" s="93"/>
    </row>
    <row r="126" spans="2:5">
      <c r="B126" s="94" t="s">
        <v>1467</v>
      </c>
      <c r="C126" s="94" t="s">
        <v>1454</v>
      </c>
      <c r="D126" s="93"/>
      <c r="E126" s="93"/>
    </row>
    <row r="127" spans="2:5">
      <c r="B127" s="94" t="s">
        <v>827</v>
      </c>
      <c r="C127" s="93">
        <v>1172</v>
      </c>
      <c r="D127" s="93"/>
      <c r="E127" s="93"/>
    </row>
    <row r="128" spans="2:5">
      <c r="B128" s="94" t="s">
        <v>826</v>
      </c>
      <c r="C128" s="93">
        <v>202.3</v>
      </c>
      <c r="D128" s="93"/>
      <c r="E128" s="93"/>
    </row>
    <row r="129" spans="2:10">
      <c r="B129" s="93"/>
      <c r="C129" s="93"/>
      <c r="D129" s="93"/>
      <c r="E129" s="93"/>
    </row>
    <row r="130" spans="2:10">
      <c r="B130" s="94" t="s">
        <v>1466</v>
      </c>
      <c r="C130" s="94" t="s">
        <v>1465</v>
      </c>
      <c r="D130" s="94" t="s">
        <v>1464</v>
      </c>
      <c r="E130" s="94" t="s">
        <v>1463</v>
      </c>
    </row>
    <row r="131" spans="2:10">
      <c r="B131" s="94" t="s">
        <v>1462</v>
      </c>
      <c r="C131" s="93">
        <v>-2.6320000000000001</v>
      </c>
      <c r="D131" s="93">
        <f>0.454</f>
        <v>0.45400000000000001</v>
      </c>
      <c r="E131" s="93">
        <v>2994</v>
      </c>
    </row>
    <row r="132" spans="2:10">
      <c r="B132" s="94" t="s">
        <v>1461</v>
      </c>
      <c r="C132" s="93">
        <v>-2.7629999999999999</v>
      </c>
      <c r="D132" s="93">
        <v>-0.47699999999999998</v>
      </c>
      <c r="E132" s="93">
        <v>3143</v>
      </c>
    </row>
    <row r="133" spans="2:10">
      <c r="B133" s="94" t="s">
        <v>1460</v>
      </c>
      <c r="C133" s="93">
        <v>-3.2839999999999998</v>
      </c>
      <c r="D133" s="93">
        <v>-0.56699999999999995</v>
      </c>
      <c r="E133" s="93">
        <v>3736</v>
      </c>
    </row>
    <row r="134" spans="2:10">
      <c r="B134" s="94" t="s">
        <v>1459</v>
      </c>
      <c r="C134" s="93">
        <v>-3.254</v>
      </c>
      <c r="D134" s="93">
        <v>-0.56200000000000006</v>
      </c>
      <c r="E134" s="93">
        <v>3702</v>
      </c>
    </row>
    <row r="135" spans="2:10">
      <c r="B135" s="94" t="s">
        <v>1458</v>
      </c>
      <c r="C135" s="93">
        <v>-3.335</v>
      </c>
      <c r="D135" s="93">
        <v>-0.57599999999999996</v>
      </c>
      <c r="E135" s="93">
        <v>3794</v>
      </c>
    </row>
    <row r="136" spans="2:10">
      <c r="B136" s="94" t="s">
        <v>590</v>
      </c>
      <c r="C136" s="93">
        <f>AVERAGE(C131:C135)</f>
        <v>-3.0535999999999994</v>
      </c>
      <c r="D136" s="93">
        <f>AVERAGE(D131:D135)</f>
        <v>-0.34559999999999996</v>
      </c>
      <c r="E136" s="93">
        <f>AVERAGE(E131:E135)</f>
        <v>3473.8</v>
      </c>
    </row>
    <row r="137" spans="2:10">
      <c r="B137" s="93"/>
      <c r="C137" s="93"/>
      <c r="D137" s="93"/>
      <c r="E137" s="93"/>
    </row>
    <row r="138" spans="2:10">
      <c r="B138" s="94" t="s">
        <v>1457</v>
      </c>
      <c r="C138" s="94" t="s">
        <v>1456</v>
      </c>
      <c r="D138" s="94" t="s">
        <v>1455</v>
      </c>
      <c r="E138" s="94" t="s">
        <v>1454</v>
      </c>
    </row>
    <row r="139" spans="2:10">
      <c r="B139" s="496" t="s">
        <v>1449</v>
      </c>
      <c r="C139" s="286" t="s">
        <v>1452</v>
      </c>
      <c r="D139" s="93">
        <v>131</v>
      </c>
      <c r="E139" s="93">
        <v>1172</v>
      </c>
    </row>
    <row r="140" spans="2:10">
      <c r="B140" s="496" t="s">
        <v>1448</v>
      </c>
      <c r="C140" s="286" t="s">
        <v>1453</v>
      </c>
      <c r="D140" s="93">
        <v>296</v>
      </c>
      <c r="E140" s="93">
        <v>1172</v>
      </c>
    </row>
    <row r="141" spans="2:10">
      <c r="B141" s="496" t="s">
        <v>1447</v>
      </c>
      <c r="C141" s="286" t="s">
        <v>1452</v>
      </c>
      <c r="D141" s="93">
        <v>252</v>
      </c>
      <c r="E141" s="93">
        <v>1172</v>
      </c>
    </row>
    <row r="144" spans="2:10">
      <c r="B144" s="94" t="s">
        <v>533</v>
      </c>
      <c r="C144" s="94"/>
      <c r="D144" s="94"/>
      <c r="E144" s="94"/>
      <c r="F144" s="94"/>
      <c r="G144" s="94"/>
      <c r="H144" s="94"/>
      <c r="I144" s="94"/>
      <c r="J144" s="94"/>
    </row>
    <row r="145" spans="2:10">
      <c r="B145" s="94" t="s">
        <v>1451</v>
      </c>
      <c r="C145" s="94" t="s">
        <v>500</v>
      </c>
      <c r="D145" s="94" t="s">
        <v>499</v>
      </c>
      <c r="E145" s="497" t="s">
        <v>244</v>
      </c>
      <c r="F145" s="497" t="s">
        <v>9</v>
      </c>
      <c r="G145" s="497" t="s">
        <v>8</v>
      </c>
      <c r="H145" s="497" t="s">
        <v>7</v>
      </c>
      <c r="I145" s="94"/>
      <c r="J145" s="94"/>
    </row>
    <row r="146" spans="2:10">
      <c r="B146" s="93" t="s">
        <v>1450</v>
      </c>
      <c r="C146" s="93">
        <f>((E139*$C$113*8760)/($C$114*1000))+($C$136*$C$113*1000/$C$117)</f>
        <v>8026.4190682556891</v>
      </c>
      <c r="D146" s="93">
        <f>(((E139*$C$113)/($C$114*1000)-$C$120)*$C$121)+(($C$136*$C$113*1000/($E$136*$C$117)))</f>
        <v>0.38204004838697525</v>
      </c>
      <c r="E146" s="93"/>
      <c r="F146" s="93"/>
      <c r="G146" s="93">
        <f>$C$124*$C$113/C146</f>
        <v>0.62643128364498557</v>
      </c>
      <c r="H146" s="93">
        <f>1/COUNT($G$146:$G$149)</f>
        <v>0.25</v>
      </c>
      <c r="I146" s="93"/>
      <c r="J146" s="93"/>
    </row>
    <row r="147" spans="2:10">
      <c r="B147" s="93" t="s">
        <v>1449</v>
      </c>
      <c r="C147" s="93">
        <f>((E139*$C$113*8760)/($C$114*1000))+($C$136*$C$113*1000/$C$117)-(VLOOKUP(B147,$B$138:$D$141,3,FALSE))</f>
        <v>7895.4190682556891</v>
      </c>
      <c r="D147" s="93">
        <f>(((E139*$C$113)/($C$114*1000)-$C$120)*$C$121)+(($C$136*$C$113*1000/($E$136*$C$117)))</f>
        <v>0.38204004838697525</v>
      </c>
      <c r="E147" s="93"/>
      <c r="F147" s="93"/>
      <c r="G147" s="93">
        <f>$C$124*$C$113/C147</f>
        <v>0.63682496857140491</v>
      </c>
      <c r="H147" s="93">
        <f>1/COUNT($G$146:$G$149)</f>
        <v>0.25</v>
      </c>
      <c r="I147" s="93"/>
      <c r="J147" s="93"/>
    </row>
    <row r="148" spans="2:10">
      <c r="B148" s="93" t="s">
        <v>1448</v>
      </c>
      <c r="C148" s="93">
        <f>((E140*$C$113*8760)/($C$114*1000))+($C$136*$C$113*1000/$C$117)-(VLOOKUP(B148,$B$138:$D$141,3,FALSE))</f>
        <v>7730.4190682556891</v>
      </c>
      <c r="D148" s="93">
        <f>(((E140*$C$113)/($C$114*1000)-$C$120)*$C$121)+(($C$136*$C$113*1000/($E$136*$C$117)))</f>
        <v>0.38204004838697525</v>
      </c>
      <c r="E148" s="93"/>
      <c r="F148" s="93"/>
      <c r="G148" s="93">
        <f>$C$124*$C$113/C148</f>
        <v>0.65041752013769294</v>
      </c>
      <c r="H148" s="93">
        <f>1/COUNT($G$146:$G$149)</f>
        <v>0.25</v>
      </c>
      <c r="I148" s="93"/>
      <c r="J148" s="93"/>
    </row>
    <row r="149" spans="2:10">
      <c r="B149" s="93" t="s">
        <v>1447</v>
      </c>
      <c r="C149" s="93">
        <f>((E141*$C$113*8760)/($C$114*1000))+($C$136*$C$113*1000/$C$117)-(VLOOKUP(B149,$B$138:$D$141,3,FALSE))</f>
        <v>7774.4190682556891</v>
      </c>
      <c r="D149" s="93">
        <f>(((E141*$C$113)/($C$114*1000)-$C$120)*$C$121)+(($C$136*$C$113*1000/($E$136*$C$117)))</f>
        <v>0.38204004838697525</v>
      </c>
      <c r="E149" s="93"/>
      <c r="F149" s="93"/>
      <c r="G149" s="93">
        <f>$C$124*$C$113/C149</f>
        <v>0.64673642568744494</v>
      </c>
      <c r="H149" s="93">
        <f>1/COUNT($G$146:$G$149)</f>
        <v>0.25</v>
      </c>
      <c r="I149" s="93"/>
      <c r="J149" s="93"/>
    </row>
    <row r="150" spans="2:10">
      <c r="B150" s="7" t="s">
        <v>0</v>
      </c>
      <c r="C150" s="7">
        <f>SUMPRODUCT(C146:C149,$H$146:$H$149)</f>
        <v>7856.6690682556891</v>
      </c>
      <c r="D150" s="7">
        <f>SUMPRODUCT(D146:D149,$H$146:$H$149)</f>
        <v>0.38204004838697525</v>
      </c>
      <c r="E150" s="7">
        <f>SUMPRODUCT(E146:E149,$H$146:$H$149)</f>
        <v>0</v>
      </c>
      <c r="F150" s="7">
        <f>SUMPRODUCT(F146:F149,$H$146:$H$149)</f>
        <v>0</v>
      </c>
      <c r="G150" s="7">
        <f>SUMPRODUCT(G146:G149,$H$146:$H$149)</f>
        <v>0.64010254951038215</v>
      </c>
      <c r="H150" s="93"/>
    </row>
  </sheetData>
  <dataValidations count="5">
    <dataValidation type="list" allowBlank="1" showInputMessage="1" showErrorMessage="1" sqref="C59:L59" xr:uid="{00000000-0002-0000-AB00-000004000000}">
      <formula1>$N$19:$AQ$19</formula1>
    </dataValidation>
    <dataValidation type="list" allowBlank="1" showInputMessage="1" showErrorMessage="1" sqref="E11:E20" xr:uid="{00000000-0002-0000-AB00-000003000000}">
      <formula1>$N$16:$O$16</formula1>
    </dataValidation>
    <dataValidation type="list" allowBlank="1" showInputMessage="1" showErrorMessage="1" sqref="D11:D20" xr:uid="{00000000-0002-0000-AB00-000002000000}">
      <formula1>$N$22:$AE$22</formula1>
    </dataValidation>
    <dataValidation type="list" allowBlank="1" showInputMessage="1" showErrorMessage="1" sqref="B11:C20" xr:uid="{00000000-0002-0000-AB00-000001000000}">
      <formula1>$N$7:$Q$7</formula1>
    </dataValidation>
    <dataValidation type="list" allowBlank="1" showInputMessage="1" showErrorMessage="1" sqref="D7" xr:uid="{00000000-0002-0000-AB00-000000000000}">
      <formula1>$N$11:$O$11</formula1>
    </dataValidation>
  </dataValidations>
  <pageMargins left="0.7" right="0.7" top="0.75" bottom="0.75" header="0.3" footer="0.3"/>
  <pageSetup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B1ED-3BDE-4726-9443-6F53837CF57F}">
  <sheetPr codeName="Sheet28">
    <tabColor indexed="9"/>
  </sheetPr>
  <dimension ref="A1:AQ122"/>
  <sheetViews>
    <sheetView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Anti Sweat Control</v>
      </c>
      <c r="C7" s="98" t="s">
        <v>2385</v>
      </c>
      <c r="D7" s="97" t="s">
        <v>211</v>
      </c>
      <c r="E7" s="97">
        <f>C116</f>
        <v>12</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Anti Sweat Control_CI, E - Refr (RET)</v>
      </c>
      <c r="J11" s="83" t="str">
        <f t="shared" ref="J11:J20" si="3">IF(B11="","",CONCATENATE($C$7,IF(C11="","",CONCATENATE(" with ",C11," Secondary Fuel"))))</f>
        <v>Anti-Sweat Heater Controls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Anti Sweat Control_CI,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Anti Sweat Control_CI,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Anti-Sweat Heater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Anti Sweat Control_CI,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Anti-Sweat Heater Controls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Anti-Sweat Heater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2386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2387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I122</f>
        <v>1000.6920000000001</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K122</f>
        <v>0.60123287671232872</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C115</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M122</f>
        <v>#VALUE!</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Anti-Sweat Heater Controls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2202</v>
      </c>
    </row>
    <row r="107" spans="1:22" s="63" customFormat="1" ht="15.75" thickBot="1">
      <c r="B107" s="63" t="s">
        <v>50</v>
      </c>
    </row>
    <row r="109" spans="1:22">
      <c r="B109" s="501" t="s">
        <v>1489</v>
      </c>
      <c r="C109" s="93"/>
      <c r="D109" s="93"/>
      <c r="E109" s="93"/>
      <c r="K109"/>
      <c r="L109"/>
      <c r="M109"/>
    </row>
    <row r="110" spans="1:22">
      <c r="B110" s="94" t="s">
        <v>1488</v>
      </c>
      <c r="C110" s="94" t="s">
        <v>410</v>
      </c>
      <c r="D110" s="94" t="s">
        <v>409</v>
      </c>
      <c r="E110" s="94" t="s">
        <v>122</v>
      </c>
      <c r="K110"/>
      <c r="L110"/>
      <c r="M110"/>
    </row>
    <row r="111" spans="1:22">
      <c r="B111" s="93" t="s">
        <v>2203</v>
      </c>
      <c r="C111" s="97">
        <v>0.19</v>
      </c>
      <c r="D111" s="93" t="s">
        <v>2207</v>
      </c>
      <c r="E111" s="286"/>
      <c r="K111"/>
      <c r="L111"/>
      <c r="M111"/>
    </row>
    <row r="112" spans="1:22">
      <c r="B112" s="93" t="s">
        <v>2204</v>
      </c>
      <c r="C112" s="93" t="s">
        <v>1955</v>
      </c>
      <c r="D112" s="93" t="s">
        <v>2207</v>
      </c>
      <c r="E112" s="286"/>
      <c r="K112"/>
      <c r="L112"/>
      <c r="M112"/>
    </row>
    <row r="113" spans="2:14">
      <c r="B113" s="93" t="s">
        <v>2205</v>
      </c>
      <c r="C113" s="93" t="s">
        <v>1955</v>
      </c>
      <c r="D113" s="93" t="s">
        <v>2207</v>
      </c>
      <c r="E113" s="286"/>
      <c r="K113"/>
      <c r="L113"/>
      <c r="M113"/>
    </row>
    <row r="114" spans="2:14">
      <c r="B114" s="93" t="s">
        <v>2206</v>
      </c>
      <c r="C114" s="93" t="s">
        <v>1955</v>
      </c>
      <c r="D114" s="93" t="s">
        <v>2207</v>
      </c>
      <c r="E114" s="93"/>
      <c r="K114"/>
      <c r="L114"/>
      <c r="M114"/>
    </row>
    <row r="115" spans="2:14">
      <c r="B115" s="93" t="s">
        <v>438</v>
      </c>
      <c r="C115" s="93"/>
      <c r="D115" s="93"/>
      <c r="E115" s="93"/>
      <c r="K115"/>
      <c r="L115"/>
      <c r="M115"/>
    </row>
    <row r="116" spans="2:14">
      <c r="B116" s="93" t="s">
        <v>518</v>
      </c>
      <c r="C116" s="93">
        <v>12</v>
      </c>
      <c r="D116" s="93" t="s">
        <v>2207</v>
      </c>
      <c r="E116" s="93"/>
      <c r="K116"/>
      <c r="L116"/>
      <c r="M116"/>
    </row>
    <row r="117" spans="2:14">
      <c r="K117"/>
      <c r="L117"/>
      <c r="M117"/>
    </row>
    <row r="118" spans="2:14">
      <c r="B118" s="94" t="s">
        <v>533</v>
      </c>
      <c r="C118" s="94"/>
      <c r="D118" s="94"/>
      <c r="E118" s="94"/>
      <c r="F118" s="94"/>
      <c r="G118" s="94"/>
      <c r="H118" s="94"/>
      <c r="I118" s="94"/>
      <c r="J118" s="94"/>
      <c r="K118" s="94"/>
      <c r="L118" s="94"/>
      <c r="M118" s="94"/>
      <c r="N118" s="94"/>
    </row>
    <row r="119" spans="2:14">
      <c r="B119" s="94" t="s">
        <v>1451</v>
      </c>
      <c r="C119" s="94" t="s">
        <v>2203</v>
      </c>
      <c r="D119" s="94" t="s">
        <v>2204</v>
      </c>
      <c r="E119" s="94" t="s">
        <v>2205</v>
      </c>
      <c r="F119" s="94" t="s">
        <v>2206</v>
      </c>
      <c r="G119" s="94" t="s">
        <v>2208</v>
      </c>
      <c r="H119" s="94" t="s">
        <v>792</v>
      </c>
      <c r="I119" s="94" t="s">
        <v>500</v>
      </c>
      <c r="J119" s="94" t="s">
        <v>499</v>
      </c>
      <c r="K119" s="497" t="s">
        <v>244</v>
      </c>
      <c r="L119" s="497" t="s">
        <v>9</v>
      </c>
      <c r="M119" s="497" t="s">
        <v>8</v>
      </c>
      <c r="N119" s="497" t="s">
        <v>7</v>
      </c>
    </row>
    <row r="120" spans="2:14">
      <c r="B120" s="496" t="s">
        <v>1631</v>
      </c>
      <c r="C120" s="97">
        <f>$C$111</f>
        <v>0.19</v>
      </c>
      <c r="D120" s="94">
        <v>8760</v>
      </c>
      <c r="E120" s="94">
        <v>0.6</v>
      </c>
      <c r="F120" s="94">
        <v>3760</v>
      </c>
      <c r="G120" s="94">
        <v>0.74</v>
      </c>
      <c r="H120" s="94">
        <v>0.75</v>
      </c>
      <c r="I120" s="93">
        <f>(C120*D120)-(C120*E120*F120)</f>
        <v>1235.7600000000002</v>
      </c>
      <c r="J120" s="93">
        <f>C120*G120*H120</f>
        <v>0.10545</v>
      </c>
      <c r="K120" s="260">
        <f>I120/(C120*D120)</f>
        <v>0.74246575342465759</v>
      </c>
      <c r="L120" s="93"/>
      <c r="M120" s="93" t="e">
        <f>$C$113/I120</f>
        <v>#VALUE!</v>
      </c>
      <c r="N120" s="93">
        <f>1/COUNT($I$120:$I$121)</f>
        <v>0.5</v>
      </c>
    </row>
    <row r="121" spans="2:14">
      <c r="B121" s="496" t="s">
        <v>615</v>
      </c>
      <c r="C121" s="97">
        <f>$C$111</f>
        <v>0.19</v>
      </c>
      <c r="D121" s="94">
        <v>8760</v>
      </c>
      <c r="E121" s="94">
        <v>0.54</v>
      </c>
      <c r="F121" s="94">
        <v>8760</v>
      </c>
      <c r="G121" s="94">
        <v>0.46</v>
      </c>
      <c r="H121" s="94">
        <v>0.75</v>
      </c>
      <c r="I121" s="93">
        <f>(C121*D121)-(C121*E121*F121)</f>
        <v>765.62400000000002</v>
      </c>
      <c r="J121" s="93">
        <f>C121*G121*H121</f>
        <v>6.5549999999999997E-2</v>
      </c>
      <c r="K121" s="260">
        <f>I121/(C121*D121)</f>
        <v>0.45999999999999996</v>
      </c>
      <c r="L121" s="93"/>
      <c r="M121" s="93" t="e">
        <f>$C$113/I121</f>
        <v>#VALUE!</v>
      </c>
      <c r="N121" s="93">
        <f>1/COUNT($I$120:$I$121)</f>
        <v>0.5</v>
      </c>
    </row>
    <row r="122" spans="2:14">
      <c r="B122" s="7" t="s">
        <v>0</v>
      </c>
      <c r="C122" s="7"/>
      <c r="D122" s="7"/>
      <c r="E122" s="7"/>
      <c r="F122" s="7"/>
      <c r="G122" s="7"/>
      <c r="H122" s="7"/>
      <c r="I122" s="7">
        <f>SUMPRODUCT(I120:I121,$N$120:$N$121)</f>
        <v>1000.6920000000001</v>
      </c>
      <c r="J122" s="7">
        <f>SUMPRODUCT(J120:J121,$N$120:$N$121)</f>
        <v>8.5499999999999993E-2</v>
      </c>
      <c r="K122" s="7">
        <f>SUMPRODUCT(K120:K121,$N$120:$N$121)</f>
        <v>0.60123287671232872</v>
      </c>
      <c r="L122" s="7">
        <f>SUMPRODUCT(L120:L121,$N$120:$N$121)</f>
        <v>0</v>
      </c>
      <c r="M122" s="7" t="e">
        <f>SUMPRODUCT(M120:M121,$N$120:$N$121)</f>
        <v>#VALUE!</v>
      </c>
      <c r="N122" s="93"/>
    </row>
  </sheetData>
  <phoneticPr fontId="35" type="noConversion"/>
  <dataValidations count="5">
    <dataValidation type="list" allowBlank="1" showInputMessage="1" showErrorMessage="1" sqref="D7" xr:uid="{C0F2CB44-4597-413E-A02B-CDF93A218659}">
      <formula1>$N$11:$O$11</formula1>
    </dataValidation>
    <dataValidation type="list" allowBlank="1" showInputMessage="1" showErrorMessage="1" sqref="B11:C20" xr:uid="{7CE4E330-B606-4D96-AABB-A711ACBEA3DA}">
      <formula1>$N$7:$Q$7</formula1>
    </dataValidation>
    <dataValidation type="list" allowBlank="1" showInputMessage="1" showErrorMessage="1" sqref="D11:D20" xr:uid="{B4E52F47-6165-4B83-8DF3-1364708F2CCD}">
      <formula1>$N$22:$AE$22</formula1>
    </dataValidation>
    <dataValidation type="list" allowBlank="1" showInputMessage="1" showErrorMessage="1" sqref="E11:E20" xr:uid="{DD2A11C7-6EF1-44F2-A5D0-547832CB3AEA}">
      <formula1>$N$16:$O$16</formula1>
    </dataValidation>
    <dataValidation type="list" allowBlank="1" showInputMessage="1" showErrorMessage="1" sqref="C59:L59" xr:uid="{574771AF-C8B4-4A68-8CB1-C2F1BE6FE8AF}">
      <formula1>$N$19:$AQ$19</formula1>
    </dataValidation>
  </dataValidations>
  <pageMargins left="0.7" right="0.7" top="0.75" bottom="0.75" header="0.3" footer="0.3"/>
  <pageSetup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A0EA6-ACC9-4DE4-A03D-DE8F49E9E806}">
  <sheetPr codeName="Sheet148">
    <tabColor indexed="9"/>
  </sheetPr>
  <dimension ref="A1:AQ134"/>
  <sheetViews>
    <sheetView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Case Night Covers</v>
      </c>
      <c r="C7" s="98" t="s">
        <v>1508</v>
      </c>
      <c r="D7" s="97" t="s">
        <v>211</v>
      </c>
      <c r="E7" s="97">
        <f>C113</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Case Night Covers_CI, E - Refr (RET)</v>
      </c>
      <c r="J11" s="83" t="str">
        <f t="shared" ref="J11:J20" si="3">IF(B11="","",CONCATENATE($C$7,IF(C11="","",CONCATENATE(" with ",C11," Secondary Fuel"))))</f>
        <v>Case Night Covers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Case Night Covers_CI,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Case Night Covers_CI,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Case Night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Case Night Covers_CI,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Case Night Covers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1507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Case Night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1506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1505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C134</f>
        <v>2019.4285714285713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E134</f>
        <v>9.0148189159877934E-2</v>
      </c>
      <c r="D65" s="74"/>
      <c r="E65" s="67"/>
      <c r="F65" s="65"/>
      <c r="G65" s="65"/>
      <c r="H65" s="65"/>
      <c r="I65" s="65"/>
      <c r="J65" s="65"/>
      <c r="K65" s="65"/>
      <c r="L65" s="65"/>
      <c r="M65" s="69" t="s">
        <v>1504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C114*C112</f>
        <v>504</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G134</f>
        <v>0.37969366156662987</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Case Night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1503</v>
      </c>
    </row>
    <row r="107" spans="1:22" s="63" customFormat="1" ht="15.75" thickBot="1">
      <c r="B107" s="63" t="s">
        <v>50</v>
      </c>
    </row>
    <row r="109" spans="1:22">
      <c r="B109" s="501" t="s">
        <v>1489</v>
      </c>
      <c r="C109" s="93"/>
      <c r="D109" s="93"/>
      <c r="E109" s="93"/>
      <c r="K109"/>
      <c r="L109"/>
      <c r="M109"/>
    </row>
    <row r="110" spans="1:22">
      <c r="B110" s="94" t="s">
        <v>1488</v>
      </c>
      <c r="C110" s="94" t="s">
        <v>410</v>
      </c>
      <c r="D110" s="94" t="s">
        <v>409</v>
      </c>
      <c r="E110" s="94" t="s">
        <v>122</v>
      </c>
      <c r="K110"/>
      <c r="L110"/>
      <c r="M110"/>
    </row>
    <row r="111" spans="1:22">
      <c r="B111" s="93" t="s">
        <v>1502</v>
      </c>
      <c r="C111" s="93" t="s">
        <v>35</v>
      </c>
      <c r="D111" s="93" t="s">
        <v>1500</v>
      </c>
      <c r="E111" s="286" t="s">
        <v>1487</v>
      </c>
      <c r="K111"/>
      <c r="L111"/>
      <c r="M111"/>
    </row>
    <row r="112" spans="1:22">
      <c r="B112" s="93" t="s">
        <v>1501</v>
      </c>
      <c r="C112" s="97">
        <v>12</v>
      </c>
      <c r="D112" s="93" t="s">
        <v>1500</v>
      </c>
      <c r="E112" s="286" t="s">
        <v>1485</v>
      </c>
      <c r="K112"/>
      <c r="L112"/>
      <c r="M112"/>
    </row>
    <row r="113" spans="2:13">
      <c r="B113" s="93" t="s">
        <v>518</v>
      </c>
      <c r="C113" s="93">
        <v>5</v>
      </c>
      <c r="D113" s="93" t="s">
        <v>1500</v>
      </c>
      <c r="E113" s="286"/>
      <c r="K113"/>
      <c r="L113"/>
      <c r="M113"/>
    </row>
    <row r="114" spans="2:13">
      <c r="B114" s="93" t="s">
        <v>438</v>
      </c>
      <c r="C114" s="93">
        <v>42</v>
      </c>
      <c r="D114" s="93" t="s">
        <v>1500</v>
      </c>
      <c r="E114" s="286" t="s">
        <v>1468</v>
      </c>
      <c r="K114"/>
      <c r="L114"/>
      <c r="M114"/>
    </row>
    <row r="115" spans="2:13">
      <c r="B115" s="93"/>
      <c r="C115" s="93"/>
      <c r="D115" s="93"/>
      <c r="E115" s="93"/>
      <c r="K115"/>
      <c r="L115"/>
      <c r="M115"/>
    </row>
    <row r="116" spans="2:13">
      <c r="B116" s="94" t="s">
        <v>1457</v>
      </c>
      <c r="C116" s="94" t="s">
        <v>1456</v>
      </c>
      <c r="D116" s="94" t="s">
        <v>1499</v>
      </c>
      <c r="E116" s="94" t="s">
        <v>1455</v>
      </c>
      <c r="K116" s="504"/>
      <c r="L116" s="292"/>
      <c r="M116" s="292"/>
    </row>
    <row r="117" spans="2:13">
      <c r="B117" s="496" t="s">
        <v>1449</v>
      </c>
      <c r="C117" s="286" t="s">
        <v>1452</v>
      </c>
      <c r="D117" s="93">
        <v>1453</v>
      </c>
      <c r="E117" s="93">
        <v>131</v>
      </c>
      <c r="K117" s="503"/>
      <c r="L117" s="291"/>
      <c r="M117" s="291"/>
    </row>
    <row r="118" spans="2:13">
      <c r="B118" s="496" t="s">
        <v>1448</v>
      </c>
      <c r="C118" s="286" t="s">
        <v>1453</v>
      </c>
      <c r="D118" s="93">
        <v>3292</v>
      </c>
      <c r="E118" s="93">
        <v>296</v>
      </c>
      <c r="K118"/>
      <c r="L118"/>
      <c r="M118"/>
    </row>
    <row r="119" spans="2:13">
      <c r="B119" s="496" t="s">
        <v>1447</v>
      </c>
      <c r="C119" s="286" t="s">
        <v>1452</v>
      </c>
      <c r="D119" s="93">
        <v>2800</v>
      </c>
      <c r="E119" s="93">
        <v>252</v>
      </c>
      <c r="K119"/>
      <c r="L119"/>
      <c r="M119"/>
    </row>
    <row r="120" spans="2:13">
      <c r="B120" s="496" t="s">
        <v>1498</v>
      </c>
      <c r="C120" s="286" t="s">
        <v>1452</v>
      </c>
      <c r="D120" s="93">
        <v>439</v>
      </c>
      <c r="E120" s="93">
        <v>40</v>
      </c>
      <c r="K120"/>
      <c r="L120"/>
      <c r="M120"/>
    </row>
    <row r="121" spans="2:13">
      <c r="B121" s="496" t="s">
        <v>1497</v>
      </c>
      <c r="C121" s="286" t="s">
        <v>1453</v>
      </c>
      <c r="D121" s="93">
        <v>1007</v>
      </c>
      <c r="E121" s="93">
        <v>91</v>
      </c>
      <c r="K121"/>
      <c r="L121"/>
      <c r="M121"/>
    </row>
    <row r="122" spans="2:13">
      <c r="B122" s="496" t="s">
        <v>1496</v>
      </c>
      <c r="C122" s="286" t="s">
        <v>1452</v>
      </c>
      <c r="D122" s="93">
        <v>1350</v>
      </c>
      <c r="E122" s="93">
        <v>121</v>
      </c>
      <c r="K122"/>
      <c r="L122"/>
      <c r="M122"/>
    </row>
    <row r="123" spans="2:13">
      <c r="B123" s="496" t="s">
        <v>1495</v>
      </c>
      <c r="C123" s="286" t="s">
        <v>1453</v>
      </c>
      <c r="D123" s="93">
        <v>2749</v>
      </c>
      <c r="E123" s="93">
        <v>247</v>
      </c>
      <c r="K123"/>
      <c r="L123"/>
      <c r="M123"/>
    </row>
    <row r="124" spans="2:13">
      <c r="K124"/>
      <c r="L124"/>
      <c r="M124"/>
    </row>
    <row r="125" spans="2:13">
      <c r="B125" s="94" t="s">
        <v>533</v>
      </c>
      <c r="C125" s="94"/>
      <c r="D125" s="94"/>
      <c r="E125" s="94"/>
      <c r="F125" s="94"/>
      <c r="G125" s="94"/>
      <c r="H125" s="94"/>
      <c r="I125" s="95"/>
      <c r="J125" s="95"/>
    </row>
    <row r="126" spans="2:13">
      <c r="B126" s="94" t="s">
        <v>1451</v>
      </c>
      <c r="C126" s="94" t="s">
        <v>500</v>
      </c>
      <c r="D126" s="94" t="s">
        <v>499</v>
      </c>
      <c r="E126" s="497" t="s">
        <v>244</v>
      </c>
      <c r="F126" s="497" t="s">
        <v>9</v>
      </c>
      <c r="G126" s="497" t="s">
        <v>8</v>
      </c>
      <c r="H126" s="497" t="s">
        <v>7</v>
      </c>
      <c r="I126" s="95"/>
      <c r="J126" s="95"/>
    </row>
    <row r="127" spans="2:13">
      <c r="B127" s="496" t="s">
        <v>1449</v>
      </c>
      <c r="C127" s="93">
        <f t="shared" ref="C127:C133" si="28">VLOOKUP(B127,$B$116:$E$123,4,FALSE)*$C$112</f>
        <v>1572</v>
      </c>
      <c r="D127" s="93"/>
      <c r="E127" s="260">
        <f t="shared" ref="E127:E133" si="29">VLOOKUP(B127,$B$116:$E$123,4,FALSE)/VLOOKUP(B127,$B$116:$E$123,3,FALSE)</f>
        <v>9.0158293186510668E-2</v>
      </c>
      <c r="F127" s="93"/>
      <c r="G127" s="93">
        <f>$C$114*$C$112/C127</f>
        <v>0.32061068702290074</v>
      </c>
      <c r="H127" s="93">
        <f>1/COUNT($G$127:$G$133)</f>
        <v>0.14285714285714285</v>
      </c>
    </row>
    <row r="128" spans="2:13">
      <c r="B128" s="496" t="s">
        <v>1448</v>
      </c>
      <c r="C128" s="93">
        <f t="shared" si="28"/>
        <v>3552</v>
      </c>
      <c r="D128" s="93"/>
      <c r="E128" s="260">
        <f t="shared" si="29"/>
        <v>8.9914945321992706E-2</v>
      </c>
      <c r="F128" s="93"/>
      <c r="G128" s="93">
        <f t="shared" ref="G128:G133" si="30">$C$114*$C$112/C128</f>
        <v>0.14189189189189189</v>
      </c>
      <c r="H128" s="93">
        <f t="shared" ref="H128:H133" si="31">1/COUNT($G$127:$G$133)</f>
        <v>0.14285714285714285</v>
      </c>
    </row>
    <row r="129" spans="2:8">
      <c r="B129" s="496" t="s">
        <v>1447</v>
      </c>
      <c r="C129" s="93">
        <f t="shared" si="28"/>
        <v>3024</v>
      </c>
      <c r="D129" s="93"/>
      <c r="E129" s="260">
        <f t="shared" si="29"/>
        <v>0.09</v>
      </c>
      <c r="F129" s="93"/>
      <c r="G129" s="93">
        <f t="shared" si="30"/>
        <v>0.16666666666666666</v>
      </c>
      <c r="H129" s="93">
        <f t="shared" si="31"/>
        <v>0.14285714285714285</v>
      </c>
    </row>
    <row r="130" spans="2:8">
      <c r="B130" s="496" t="s">
        <v>1498</v>
      </c>
      <c r="C130" s="93">
        <f t="shared" si="28"/>
        <v>480</v>
      </c>
      <c r="D130" s="93"/>
      <c r="E130" s="260">
        <f t="shared" si="29"/>
        <v>9.1116173120728935E-2</v>
      </c>
      <c r="F130" s="93"/>
      <c r="G130" s="93">
        <f t="shared" si="30"/>
        <v>1.05</v>
      </c>
      <c r="H130" s="93">
        <f t="shared" si="31"/>
        <v>0.14285714285714285</v>
      </c>
    </row>
    <row r="131" spans="2:8">
      <c r="B131" s="496" t="s">
        <v>1497</v>
      </c>
      <c r="C131" s="93">
        <f t="shared" si="28"/>
        <v>1092</v>
      </c>
      <c r="D131" s="93"/>
      <c r="E131" s="260">
        <f t="shared" si="29"/>
        <v>9.0367428003972197E-2</v>
      </c>
      <c r="F131" s="93"/>
      <c r="G131" s="93">
        <f t="shared" si="30"/>
        <v>0.46153846153846156</v>
      </c>
      <c r="H131" s="93">
        <f t="shared" si="31"/>
        <v>0.14285714285714285</v>
      </c>
    </row>
    <row r="132" spans="2:8">
      <c r="B132" s="496" t="s">
        <v>1496</v>
      </c>
      <c r="C132" s="93">
        <f t="shared" si="28"/>
        <v>1452</v>
      </c>
      <c r="D132" s="93"/>
      <c r="E132" s="260">
        <f t="shared" si="29"/>
        <v>8.9629629629629629E-2</v>
      </c>
      <c r="F132" s="93"/>
      <c r="G132" s="93">
        <f t="shared" si="30"/>
        <v>0.34710743801652894</v>
      </c>
      <c r="H132" s="93">
        <f t="shared" si="31"/>
        <v>0.14285714285714285</v>
      </c>
    </row>
    <row r="133" spans="2:8">
      <c r="B133" s="496" t="s">
        <v>1495</v>
      </c>
      <c r="C133" s="93">
        <f t="shared" si="28"/>
        <v>2964</v>
      </c>
      <c r="D133" s="93"/>
      <c r="E133" s="260">
        <f t="shared" si="29"/>
        <v>8.9850854856311391E-2</v>
      </c>
      <c r="F133" s="93"/>
      <c r="G133" s="93">
        <f t="shared" si="30"/>
        <v>0.17004048582995951</v>
      </c>
      <c r="H133" s="93">
        <f t="shared" si="31"/>
        <v>0.14285714285714285</v>
      </c>
    </row>
    <row r="134" spans="2:8">
      <c r="B134" s="7" t="s">
        <v>0</v>
      </c>
      <c r="C134" s="7">
        <f>SUMPRODUCT(C127:C133,$H$127:$H$133)</f>
        <v>2019.4285714285713</v>
      </c>
      <c r="D134" s="7">
        <f>SUMPRODUCT(D127:D133,$H$127:$H$133)</f>
        <v>0</v>
      </c>
      <c r="E134" s="7">
        <f>SUMPRODUCT(E127:E133,$H$127:$H$133)</f>
        <v>9.0148189159877934E-2</v>
      </c>
      <c r="F134" s="7">
        <f>SUMPRODUCT(F127:F133,$H$127:$H$133)</f>
        <v>0</v>
      </c>
      <c r="G134" s="7">
        <f>SUMPRODUCT(G127:G133,$H$127:$H$133)</f>
        <v>0.37969366156662987</v>
      </c>
      <c r="H134" s="93"/>
    </row>
  </sheetData>
  <dataValidations count="5">
    <dataValidation type="list" allowBlank="1" showInputMessage="1" showErrorMessage="1" sqref="C59:L59" xr:uid="{00000000-0002-0000-AC00-000004000000}">
      <formula1>$N$19:$AQ$19</formula1>
    </dataValidation>
    <dataValidation type="list" allowBlank="1" showInputMessage="1" showErrorMessage="1" sqref="E11:E20" xr:uid="{00000000-0002-0000-AC00-000003000000}">
      <formula1>$N$16:$O$16</formula1>
    </dataValidation>
    <dataValidation type="list" allowBlank="1" showInputMessage="1" showErrorMessage="1" sqref="D11:D20" xr:uid="{00000000-0002-0000-AC00-000002000000}">
      <formula1>$N$22:$AE$22</formula1>
    </dataValidation>
    <dataValidation type="list" allowBlank="1" showInputMessage="1" showErrorMessage="1" sqref="B11:C20" xr:uid="{00000000-0002-0000-AC00-000001000000}">
      <formula1>$N$7:$Q$7</formula1>
    </dataValidation>
    <dataValidation type="list" allowBlank="1" showInputMessage="1" showErrorMessage="1" sqref="D7" xr:uid="{00000000-0002-0000-AC00-000000000000}">
      <formula1>$N$11:$O$11</formula1>
    </dataValidation>
  </dataValidations>
  <pageMargins left="0.7" right="0.7" top="0.75" bottom="0.75" header="0.3" footer="0.3"/>
  <pageSetup orientation="portrait" r:id="rId1"/>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A5785-6030-47C2-BD7A-D6A9E4575918}">
  <sheetPr codeName="Sheet29">
    <tabColor rgb="FFFFFFFF"/>
  </sheetPr>
  <dimension ref="A1:AQ125"/>
  <sheetViews>
    <sheetView topLeftCell="A93" zoomScale="80" zoomScaleNormal="80" workbookViewId="0">
      <selection activeCell="B110" sqref="B110:G12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CompCondenser</v>
      </c>
      <c r="C7" s="98" t="s">
        <v>2433</v>
      </c>
      <c r="D7" s="97" t="s">
        <v>211</v>
      </c>
      <c r="E7" s="97">
        <f>C114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CompCondenser_CI, E - Refr (MD)</v>
      </c>
      <c r="J11" s="83" t="str">
        <f t="shared" ref="J11:J20" si="3">IF(B11="","",CONCATENATE($C$7,IF(C11="","",CONCATENATE(" with ",C11," Secondary Fuel"))))</f>
        <v>ECM Compressor/Condenser Fan Motors</v>
      </c>
      <c r="K11" s="83"/>
      <c r="M11" s="94" t="s">
        <v>123</v>
      </c>
      <c r="N11" s="93" t="s">
        <v>212</v>
      </c>
      <c r="O11" s="93" t="s">
        <v>211</v>
      </c>
    </row>
    <row r="12" spans="1:17">
      <c r="A12" s="1">
        <v>2</v>
      </c>
      <c r="B12" s="97" t="s">
        <v>205</v>
      </c>
      <c r="C12" s="97"/>
      <c r="D12" s="97" t="s">
        <v>164</v>
      </c>
      <c r="E12" s="99" t="s">
        <v>204</v>
      </c>
      <c r="F12" s="99"/>
      <c r="G12" s="83" t="str">
        <f t="shared" si="0"/>
        <v>E</v>
      </c>
      <c r="H12" s="91" t="str">
        <f t="shared" si="1"/>
        <v>Refr</v>
      </c>
      <c r="I12" s="83" t="str">
        <f t="shared" ca="1" si="2"/>
        <v>CI ECM CompCondenser_CI, E - Refr (RET)</v>
      </c>
      <c r="J12" s="83" t="str">
        <f t="shared" si="3"/>
        <v>ECM Compressor/Condenser Fan Motors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CompCondenser_CI, E - Refr (MD)</v>
      </c>
      <c r="D33" s="83" t="str">
        <f t="shared" ca="1" si="5"/>
        <v>CI ECM CompCondenser_CI,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CompCondenser_CI, E - Refr (MD)</v>
      </c>
      <c r="N33" s="84" t="str">
        <f t="shared" ca="1" si="6"/>
        <v>CI ECM CompCondenser_CI,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Compressor/Condenser Fan Motors</v>
      </c>
      <c r="D34" s="83" t="str">
        <f t="shared" si="8"/>
        <v>ECM Compressor/Condenser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CompCondenser_CI, E - Refr (MD)</v>
      </c>
      <c r="D35" s="82" t="str">
        <f ca="1">D33</f>
        <v>CI ECM CompCondenser_CI,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Compressor/Condenser Fan Motors</v>
      </c>
      <c r="D36" s="82" t="str">
        <f>D34</f>
        <v>ECM Compressor/Condenser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2389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f t="shared" ref="D39:L39" si="11">IF(VLOOKUP(D$31,$A$11:$K$20,2,FALSE)="","",IF($E$7="","",$E$7))</f>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Compressor/Condenser Fan Motors</v>
      </c>
      <c r="D52" s="66" t="str">
        <f t="shared" si="16"/>
        <v>ECM Compressor/Condenser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2391</v>
      </c>
      <c r="D55" s="65" t="s">
        <v>2391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2390</v>
      </c>
      <c r="D56" s="65" t="s">
        <v>2390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#REF!</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#REF!</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0</v>
      </c>
      <c r="D64" s="67"/>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0</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Compressor/Condenser Fan Motors</v>
      </c>
      <c r="D71" s="66" t="str">
        <f t="shared" si="21"/>
        <v>ECM Compressor/Condenser Fan Motors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57"/>
      <c r="D114" s="57"/>
      <c r="E114"/>
    </row>
    <row r="115" spans="2:17">
      <c r="B115" s="57"/>
      <c r="C115" s="649"/>
      <c r="D115" s="57"/>
      <c r="E115"/>
    </row>
    <row r="116" spans="2:17">
      <c r="B116" s="57"/>
      <c r="C116" s="649"/>
      <c r="D116" s="57"/>
      <c r="E116"/>
    </row>
    <row r="117" spans="2:17">
      <c r="B117" s="58"/>
      <c r="C117" s="58"/>
      <c r="D117" s="58"/>
      <c r="E117" s="540"/>
    </row>
    <row r="118" spans="2:17">
      <c r="B118" s="215"/>
      <c r="C118" s="94"/>
      <c r="D118" s="94"/>
      <c r="E118" s="94"/>
      <c r="F118" s="94"/>
    </row>
    <row r="119" spans="2:17">
      <c r="B119" s="305"/>
      <c r="C119" s="93"/>
      <c r="D119" s="643"/>
      <c r="E119" s="93"/>
      <c r="F119" s="93"/>
    </row>
    <row r="120" spans="2:17">
      <c r="B120" s="305"/>
      <c r="C120" s="93"/>
      <c r="D120" s="643"/>
      <c r="E120" s="93"/>
      <c r="F120" s="93"/>
    </row>
    <row r="121" spans="2:17">
      <c r="B121" s="305"/>
      <c r="C121" s="93"/>
      <c r="D121" s="643"/>
      <c r="E121" s="93"/>
      <c r="F121" s="93"/>
    </row>
    <row r="122" spans="2:17">
      <c r="B122" s="305"/>
      <c r="C122" s="93"/>
      <c r="D122" s="643"/>
      <c r="E122" s="93"/>
      <c r="F122" s="93"/>
    </row>
    <row r="123" spans="2:17">
      <c r="B123" s="305"/>
      <c r="C123" s="93"/>
      <c r="D123" s="643"/>
      <c r="E123" s="93"/>
      <c r="F123" s="93"/>
    </row>
    <row r="124" spans="2:17">
      <c r="B124" s="305"/>
      <c r="C124" s="93"/>
      <c r="D124" s="643"/>
      <c r="E124" s="93"/>
      <c r="F124" s="93"/>
    </row>
    <row r="125" spans="2:17">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4E78002F-9A2C-4F63-8015-303CA0F72C48}">
      <formula1>$N$19:$AQ$19</formula1>
    </dataValidation>
    <dataValidation type="list" allowBlank="1" showInputMessage="1" showErrorMessage="1" sqref="E11:E20" xr:uid="{CA0C69AC-4074-4F7B-BE3D-70F4BB1CCF7F}">
      <formula1>$N$16:$O$16</formula1>
    </dataValidation>
    <dataValidation type="list" allowBlank="1" showInputMessage="1" showErrorMessage="1" sqref="D11:D20" xr:uid="{14E0F32E-ED00-48D5-94A8-81D336B6B990}">
      <formula1>$N$22:$AE$22</formula1>
    </dataValidation>
    <dataValidation type="list" allowBlank="1" showInputMessage="1" showErrorMessage="1" sqref="B11:C20" xr:uid="{6AD1803E-D752-4694-A263-100B5F691B89}">
      <formula1>$N$7:$Q$7</formula1>
    </dataValidation>
    <dataValidation type="list" allowBlank="1" showInputMessage="1" showErrorMessage="1" sqref="D7" xr:uid="{C0CAA686-BEF0-4A9B-B658-2B74D9AB4792}">
      <formula1>$N$11:$O$11</formula1>
    </dataValidation>
  </dataValidation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F96B7-3B2A-40F7-AB73-30D57292E490}">
  <sheetPr codeName="Sheet30">
    <tabColor rgb="FFFFFFFF"/>
  </sheetPr>
  <dimension ref="A1:AQ125"/>
  <sheetViews>
    <sheetView topLeftCell="A18"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Evap Fan</v>
      </c>
      <c r="C7" s="98" t="s">
        <v>2388</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Evap Fan_CI, E - Refr (RET)</v>
      </c>
      <c r="J11" s="83" t="str">
        <f t="shared" ref="J11:J20" si="3">IF(B11="","",CONCATENATE($C$7,IF(C11="","",CONCATENATE(" with ",C11," Secondary Fuel"))))</f>
        <v>ECM Evaporator Fan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Evap Fan_CI,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Evap Fan_CI,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Evaporator Fan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Evap Fan_CI,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Evaporator Fan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2389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Evaporator Fan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2391</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2390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2951.9999999999995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304.59000000000003</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0.10318089430894312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Evaporator Fan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8760</v>
      </c>
      <c r="D112" s="57" t="s">
        <v>2279</v>
      </c>
      <c r="E112"/>
    </row>
    <row r="113" spans="2:17">
      <c r="B113" s="57" t="s">
        <v>34</v>
      </c>
      <c r="C113" s="57">
        <v>1</v>
      </c>
      <c r="D113" s="57" t="s">
        <v>2279</v>
      </c>
      <c r="E113"/>
    </row>
    <row r="114" spans="2:17">
      <c r="B114" s="57" t="s">
        <v>518</v>
      </c>
      <c r="C114" s="57">
        <v>15</v>
      </c>
      <c r="D114" s="57" t="s">
        <v>2279</v>
      </c>
      <c r="E114"/>
    </row>
    <row r="115" spans="2:17">
      <c r="B115" s="57" t="s">
        <v>2280</v>
      </c>
      <c r="C115" s="649">
        <v>230.94</v>
      </c>
      <c r="D115" s="57" t="s">
        <v>2279</v>
      </c>
      <c r="E115"/>
    </row>
    <row r="116" spans="2:17">
      <c r="B116" s="57" t="s">
        <v>2281</v>
      </c>
      <c r="C116" s="649">
        <v>73.650000000000006</v>
      </c>
      <c r="D116" s="57" t="s">
        <v>2279</v>
      </c>
      <c r="E116"/>
    </row>
    <row r="117" spans="2:17">
      <c r="B117" s="58"/>
      <c r="C117" s="58"/>
      <c r="D117" s="58"/>
      <c r="E117" s="540"/>
    </row>
    <row r="118" spans="2:17">
      <c r="B118" s="215" t="s">
        <v>2282</v>
      </c>
      <c r="C118" s="94" t="s">
        <v>500</v>
      </c>
      <c r="D118" s="94" t="s">
        <v>499</v>
      </c>
      <c r="E118" s="94" t="s">
        <v>2007</v>
      </c>
      <c r="F118" s="94" t="s">
        <v>7</v>
      </c>
    </row>
    <row r="119" spans="2:17">
      <c r="B119" s="305" t="s">
        <v>1541</v>
      </c>
      <c r="C119" s="93">
        <v>652</v>
      </c>
      <c r="D119" s="643">
        <f t="shared" ref="D119:D124" si="26">C119*$C$113/$C$112</f>
        <v>7.4429223744292242E-2</v>
      </c>
      <c r="E119" s="93"/>
      <c r="F119" s="93">
        <f t="shared" ref="F119:F124" si="27">1/COUNT($C$119:$C$124)</f>
        <v>0.16666666666666666</v>
      </c>
    </row>
    <row r="120" spans="2:17">
      <c r="B120" s="305" t="s">
        <v>2283</v>
      </c>
      <c r="C120" s="93">
        <v>1586</v>
      </c>
      <c r="D120" s="643">
        <f t="shared" si="26"/>
        <v>0.18105022831050227</v>
      </c>
      <c r="E120" s="93"/>
      <c r="F120" s="93">
        <f t="shared" si="27"/>
        <v>0.16666666666666666</v>
      </c>
    </row>
    <row r="121" spans="2:17">
      <c r="B121" s="305" t="s">
        <v>1687</v>
      </c>
      <c r="C121" s="93">
        <v>2320</v>
      </c>
      <c r="D121" s="643">
        <f t="shared" si="26"/>
        <v>0.26484018264840181</v>
      </c>
      <c r="E121" s="93"/>
      <c r="F121" s="93">
        <f t="shared" si="27"/>
        <v>0.16666666666666666</v>
      </c>
    </row>
    <row r="122" spans="2:17">
      <c r="B122" s="305" t="s">
        <v>1686</v>
      </c>
      <c r="C122" s="93">
        <v>3380</v>
      </c>
      <c r="D122" s="643">
        <f t="shared" si="26"/>
        <v>0.38584474885844749</v>
      </c>
      <c r="E122" s="93"/>
      <c r="F122" s="93">
        <f t="shared" si="27"/>
        <v>0.16666666666666666</v>
      </c>
    </row>
    <row r="123" spans="2:17">
      <c r="B123" s="305" t="s">
        <v>1685</v>
      </c>
      <c r="C123" s="93">
        <v>4481</v>
      </c>
      <c r="D123" s="643">
        <f t="shared" si="26"/>
        <v>0.51152968036529678</v>
      </c>
      <c r="E123" s="93"/>
      <c r="F123" s="93">
        <f t="shared" si="27"/>
        <v>0.16666666666666666</v>
      </c>
    </row>
    <row r="124" spans="2:17">
      <c r="B124" s="305" t="s">
        <v>1684</v>
      </c>
      <c r="C124" s="93">
        <v>5293</v>
      </c>
      <c r="D124" s="643">
        <f t="shared" si="26"/>
        <v>0.60422374429223746</v>
      </c>
      <c r="E124" s="93"/>
      <c r="F124" s="93">
        <f t="shared" si="27"/>
        <v>0.16666666666666666</v>
      </c>
    </row>
    <row r="125" spans="2:17">
      <c r="B125" s="26"/>
      <c r="C125" s="2">
        <f>SUMPRODUCT(C119:C124,$F$119:$F$124)</f>
        <v>2951.9999999999995</v>
      </c>
      <c r="D125" s="2">
        <f>SUMPRODUCT(D119:D124,$F$119:$F$124)</f>
        <v>0.33698630136986302</v>
      </c>
      <c r="E125" s="290">
        <f>SUMPRODUCT(E119:E124,$F$119:$F$124)</f>
        <v>0</v>
      </c>
      <c r="F125" s="26"/>
      <c r="J125" s="26"/>
      <c r="K125" s="26"/>
      <c r="L125" s="26"/>
      <c r="M125" s="26"/>
      <c r="N125" s="26"/>
      <c r="O125" s="27"/>
      <c r="P125" s="27"/>
      <c r="Q125" s="27"/>
    </row>
  </sheetData>
  <phoneticPr fontId="35" type="noConversion"/>
  <dataValidations count="5">
    <dataValidation type="list" allowBlank="1" showInputMessage="1" showErrorMessage="1" sqref="D7" xr:uid="{C1125522-CF51-420F-A79A-3C284A8A4585}">
      <formula1>$N$11:$O$11</formula1>
    </dataValidation>
    <dataValidation type="list" allowBlank="1" showInputMessage="1" showErrorMessage="1" sqref="B11:C20" xr:uid="{2E0FA8A8-B3AA-4CA0-B4EC-56D25367CD44}">
      <formula1>$N$7:$Q$7</formula1>
    </dataValidation>
    <dataValidation type="list" allowBlank="1" showInputMessage="1" showErrorMessage="1" sqref="D11:D20" xr:uid="{1881B9D6-EDF2-4746-8E38-2031AB0D9B1D}">
      <formula1>$N$22:$AE$22</formula1>
    </dataValidation>
    <dataValidation type="list" allowBlank="1" showInputMessage="1" showErrorMessage="1" sqref="E11:E20" xr:uid="{E710070E-EFB6-4E4D-8C22-44F68EB795E5}">
      <formula1>$N$16:$O$16</formula1>
    </dataValidation>
    <dataValidation type="list" allowBlank="1" showInputMessage="1" showErrorMessage="1" sqref="C59:L59" xr:uid="{CD6BE770-117C-4E69-AC2F-192B30678728}">
      <formula1>$N$19:$AQ$19</formula1>
    </dataValidation>
  </dataValidation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916A6-28C5-47C8-B7EC-12D0BB84777B}">
  <sheetPr codeName="Sheet31">
    <tabColor rgb="FFFFFFFF"/>
  </sheetPr>
  <dimension ref="A1:AQ125"/>
  <sheetViews>
    <sheetView topLeftCell="A27" zoomScale="80" zoomScaleNormal="80" workbookViewId="0">
      <selection activeCell="E8" sqref="E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Eff Ref Compressor</v>
      </c>
      <c r="C7" s="98" t="s">
        <v>2434</v>
      </c>
      <c r="D7" s="97" t="s">
        <v>211</v>
      </c>
      <c r="E7" s="97">
        <f>C114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Eff Ref Compressor_CI, E - Refr (RET)</v>
      </c>
      <c r="J11" s="83" t="str">
        <f t="shared" ref="J11:J20" si="3">IF(B11="","",CONCATENATE($C$7,IF(C11="","",CONCATENATE(" with ",C11," Secondary Fuel"))))</f>
        <v>Efficient Refrigeratio Compressor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Eff Ref Compressor_CI,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Eff Ref Compressor_CI,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Efficient Refrigeratio Compressor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Eff Ref Compressor_CI,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Efficient Refrigeratio Compressor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Efficient Refrigeratio Compressor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Efficient Refrigeratio Compressor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57"/>
      <c r="D114" s="57"/>
      <c r="E114"/>
    </row>
    <row r="115" spans="2:17">
      <c r="B115" s="57"/>
      <c r="C115" s="649"/>
      <c r="D115" s="57"/>
      <c r="E115"/>
    </row>
    <row r="116" spans="2:17">
      <c r="B116" s="57"/>
      <c r="C116" s="649"/>
      <c r="D116" s="57"/>
      <c r="E116"/>
    </row>
    <row r="117" spans="2:17">
      <c r="B117" s="58"/>
      <c r="C117" s="58"/>
      <c r="D117" s="58"/>
      <c r="E117" s="540"/>
    </row>
    <row r="118" spans="2:17">
      <c r="B118" s="215"/>
      <c r="C118" s="94"/>
      <c r="D118" s="94"/>
      <c r="E118" s="94"/>
      <c r="F118" s="94"/>
    </row>
    <row r="119" spans="2:17">
      <c r="B119" s="305"/>
      <c r="C119" s="93"/>
      <c r="D119" s="643"/>
      <c r="E119" s="93"/>
      <c r="F119" s="93"/>
    </row>
    <row r="120" spans="2:17">
      <c r="B120" s="305"/>
      <c r="C120" s="93"/>
      <c r="D120" s="643"/>
      <c r="E120" s="93"/>
      <c r="F120" s="93"/>
    </row>
    <row r="121" spans="2:17">
      <c r="B121" s="305"/>
      <c r="C121" s="93"/>
      <c r="D121" s="643"/>
      <c r="E121" s="93"/>
      <c r="F121" s="93"/>
    </row>
    <row r="122" spans="2:17">
      <c r="B122" s="305"/>
      <c r="C122" s="93"/>
      <c r="D122" s="643"/>
      <c r="E122" s="93"/>
      <c r="F122" s="93"/>
    </row>
    <row r="123" spans="2:17">
      <c r="B123" s="305"/>
      <c r="C123" s="93"/>
      <c r="D123" s="643"/>
      <c r="E123" s="93"/>
      <c r="F123" s="93"/>
    </row>
    <row r="124" spans="2:17">
      <c r="B124" s="305"/>
      <c r="C124" s="93"/>
      <c r="D124" s="643"/>
      <c r="E124" s="93"/>
      <c r="F124" s="93"/>
    </row>
    <row r="125" spans="2:17">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2AA1749F-87AA-4558-9BD3-ED305EC16319}">
      <formula1>$N$19:$AQ$19</formula1>
    </dataValidation>
    <dataValidation type="list" allowBlank="1" showInputMessage="1" showErrorMessage="1" sqref="E11:E20" xr:uid="{8EAC161D-5C79-4FE1-AE82-4F10E61FC17B}">
      <formula1>$N$16:$O$16</formula1>
    </dataValidation>
    <dataValidation type="list" allowBlank="1" showInputMessage="1" showErrorMessage="1" sqref="D11:D20" xr:uid="{4E6FFC6B-832B-4FAB-B1BE-D0DD5D47CD73}">
      <formula1>$N$22:$AE$22</formula1>
    </dataValidation>
    <dataValidation type="list" allowBlank="1" showInputMessage="1" showErrorMessage="1" sqref="B11:C20" xr:uid="{316295DF-1B4B-4627-9402-0474C5E1728F}">
      <formula1>$N$7:$Q$7</formula1>
    </dataValidation>
    <dataValidation type="list" allowBlank="1" showInputMessage="1" showErrorMessage="1" sqref="D7" xr:uid="{E06B6400-EC5B-4233-8287-231B67BF3088}">
      <formula1>$N$11:$O$11</formula1>
    </dataValidation>
  </dataValidation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170A-D10C-4896-9181-2E40B3212BE1}">
  <sheetPr codeName="Sheet157">
    <tabColor indexed="9"/>
  </sheetPr>
  <dimension ref="A1:AQ137"/>
  <sheetViews>
    <sheetView topLeftCell="A42"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Ice Maker</v>
      </c>
      <c r="C7" s="98" t="s">
        <v>1758</v>
      </c>
      <c r="D7" s="97" t="s">
        <v>211</v>
      </c>
      <c r="E7" s="97">
        <v>9</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Ice Maker_CI, E - Refr (MD)</v>
      </c>
      <c r="J11" s="83" t="str">
        <f t="shared" ref="J11:J20" si="3">IF(B11="","",CONCATENATE($C$7,IF(C11="","",CONCATENATE(" with ",C11," Secondary Fuel"))))</f>
        <v>Ice Maker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Ice Maker_CI,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Ice Maker_CI,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Ice Maker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Ice Maker_CI,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Ice Maker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1757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Ice Maker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1756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1755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J137</f>
        <v>1737.6694244371317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L137</f>
        <v>0.12817114095709387</v>
      </c>
      <c r="D65" s="67"/>
      <c r="E65" s="67"/>
      <c r="F65" s="65"/>
      <c r="G65" s="65"/>
      <c r="H65" s="65"/>
      <c r="I65" s="65"/>
      <c r="J65" s="65"/>
      <c r="K65" s="65"/>
      <c r="L65" s="65"/>
      <c r="M65" s="69" t="s">
        <v>1552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M137</f>
        <v>304.58999999999992</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N137</f>
        <v>0.39885021943975923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Ice Maker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1754</v>
      </c>
    </row>
    <row r="107" spans="1:22" s="63" customFormat="1" ht="15.75" thickBot="1">
      <c r="B107" s="63" t="s">
        <v>50</v>
      </c>
    </row>
    <row r="109" spans="1:22">
      <c r="B109" s="505" t="s">
        <v>46</v>
      </c>
      <c r="C109" s="505" t="s">
        <v>45</v>
      </c>
      <c r="D109" s="505" t="s">
        <v>44</v>
      </c>
      <c r="E109" s="505" t="s">
        <v>43</v>
      </c>
    </row>
    <row r="110" spans="1:22">
      <c r="B110" s="286" t="s">
        <v>518</v>
      </c>
      <c r="C110" s="286">
        <v>15</v>
      </c>
      <c r="D110" s="286" t="s">
        <v>1747</v>
      </c>
      <c r="E110" s="286"/>
    </row>
    <row r="111" spans="1:22">
      <c r="B111" s="93" t="s">
        <v>438</v>
      </c>
      <c r="C111" s="534">
        <v>304.58999999999997</v>
      </c>
      <c r="D111" s="286" t="s">
        <v>1747</v>
      </c>
      <c r="E111" s="93"/>
    </row>
    <row r="112" spans="1:22">
      <c r="B112" s="93" t="s">
        <v>34</v>
      </c>
      <c r="C112" s="97">
        <v>1</v>
      </c>
      <c r="D112" s="286" t="s">
        <v>1747</v>
      </c>
      <c r="E112" s="286"/>
    </row>
    <row r="113" spans="2:15">
      <c r="B113" s="93" t="s">
        <v>1743</v>
      </c>
      <c r="C113" s="93" t="s">
        <v>35</v>
      </c>
      <c r="D113" s="286" t="s">
        <v>1747</v>
      </c>
      <c r="E113" s="93" t="s">
        <v>1753</v>
      </c>
    </row>
    <row r="114" spans="2:15">
      <c r="B114" s="93" t="s">
        <v>1752</v>
      </c>
      <c r="C114" s="93" t="s">
        <v>35</v>
      </c>
      <c r="D114" s="286" t="s">
        <v>1747</v>
      </c>
      <c r="E114" s="93" t="s">
        <v>1751</v>
      </c>
    </row>
    <row r="115" spans="2:15">
      <c r="B115" s="93" t="s">
        <v>1750</v>
      </c>
      <c r="C115" s="93">
        <v>0.56999999999999995</v>
      </c>
      <c r="D115" s="286" t="s">
        <v>1747</v>
      </c>
      <c r="E115" s="93" t="s">
        <v>1749</v>
      </c>
    </row>
    <row r="116" spans="2:15">
      <c r="B116" s="93" t="s">
        <v>575</v>
      </c>
      <c r="C116" s="93" t="s">
        <v>555</v>
      </c>
      <c r="D116" s="286" t="s">
        <v>1747</v>
      </c>
      <c r="E116" s="93" t="s">
        <v>1748</v>
      </c>
    </row>
    <row r="117" spans="2:15">
      <c r="B117" s="93" t="s">
        <v>309</v>
      </c>
      <c r="C117" s="93">
        <v>8766</v>
      </c>
      <c r="D117" s="286" t="s">
        <v>1747</v>
      </c>
      <c r="E117" s="93" t="s">
        <v>369</v>
      </c>
    </row>
    <row r="119" spans="2:15" ht="30">
      <c r="B119" s="718" t="s">
        <v>1746</v>
      </c>
      <c r="C119" s="94" t="s">
        <v>1745</v>
      </c>
      <c r="D119" s="536" t="s">
        <v>1744</v>
      </c>
      <c r="E119" s="94" t="s">
        <v>1743</v>
      </c>
      <c r="F119" s="94" t="s">
        <v>1742</v>
      </c>
      <c r="G119" s="94" t="s">
        <v>575</v>
      </c>
      <c r="H119" s="94" t="s">
        <v>1743</v>
      </c>
      <c r="I119" s="94" t="s">
        <v>1742</v>
      </c>
      <c r="J119" s="94" t="s">
        <v>500</v>
      </c>
      <c r="K119" s="94" t="s">
        <v>499</v>
      </c>
      <c r="L119" s="497" t="s">
        <v>244</v>
      </c>
      <c r="M119" s="496" t="s">
        <v>9</v>
      </c>
      <c r="N119" s="94" t="s">
        <v>8</v>
      </c>
      <c r="O119" s="94" t="s">
        <v>7</v>
      </c>
    </row>
    <row r="120" spans="2:15">
      <c r="B120" s="718"/>
      <c r="C120" s="710" t="s">
        <v>1716</v>
      </c>
      <c r="D120" s="93" t="s">
        <v>1741</v>
      </c>
      <c r="E120" s="286" t="s">
        <v>1740</v>
      </c>
      <c r="F120" s="286" t="s">
        <v>1739</v>
      </c>
      <c r="G120" s="93">
        <v>250</v>
      </c>
      <c r="H120" s="286">
        <f>10-0.01233*G120</f>
        <v>6.9175000000000004</v>
      </c>
      <c r="I120" s="93">
        <f>9.2-0.01134*G120</f>
        <v>6.3649999999999993</v>
      </c>
      <c r="J120" s="93">
        <f t="shared" ref="J120:J136" si="28">((H120-I120)/100)*$C$115*G120*365.25</f>
        <v>287.56589062500052</v>
      </c>
      <c r="K120" s="93">
        <f t="shared" ref="K120:K136" si="29">J120*$C$112/($C$117*$C$115)</f>
        <v>5.7552083333333441E-2</v>
      </c>
      <c r="L120" s="260">
        <f t="shared" ref="L120:L136" si="30">J120/((H120/100)*$C$115*G120*365.25)</f>
        <v>7.9869895193350346E-2</v>
      </c>
      <c r="M120" s="312">
        <f t="shared" ref="M120:M136" si="31">$C$111</f>
        <v>304.58999999999997</v>
      </c>
      <c r="N120" s="312">
        <f t="shared" ref="N120:N136" si="32">M120/J120</f>
        <v>1.0592007255728382</v>
      </c>
      <c r="O120" s="93">
        <f>1/COUNT($N$120:$N$136)</f>
        <v>5.8823529411764705E-2</v>
      </c>
    </row>
    <row r="121" spans="2:15">
      <c r="B121" s="718"/>
      <c r="C121" s="710"/>
      <c r="D121" s="93" t="s">
        <v>1738</v>
      </c>
      <c r="E121" s="286" t="s">
        <v>1737</v>
      </c>
      <c r="F121" s="286" t="s">
        <v>1736</v>
      </c>
      <c r="G121" s="93">
        <v>550</v>
      </c>
      <c r="H121" s="286">
        <f>7.05-0.0025*G121</f>
        <v>5.6749999999999998</v>
      </c>
      <c r="I121" s="286">
        <f>6.49-0.0023*G121</f>
        <v>5.2250000000000005</v>
      </c>
      <c r="J121" s="93">
        <f t="shared" si="28"/>
        <v>515.27643749999913</v>
      </c>
      <c r="K121" s="93">
        <f t="shared" si="29"/>
        <v>0.10312499999999983</v>
      </c>
      <c r="L121" s="260">
        <f t="shared" si="30"/>
        <v>7.9295154185021907E-2</v>
      </c>
      <c r="M121" s="312">
        <f t="shared" si="31"/>
        <v>304.58999999999997</v>
      </c>
      <c r="N121" s="312">
        <f t="shared" si="32"/>
        <v>0.59111959684746984</v>
      </c>
      <c r="O121" s="93">
        <f t="shared" ref="O121:O136" si="33">1/COUNT($N$120:$N$136)</f>
        <v>5.8823529411764705E-2</v>
      </c>
    </row>
    <row r="122" spans="2:15">
      <c r="B122" s="718"/>
      <c r="C122" s="710"/>
      <c r="D122" s="93" t="s">
        <v>1735</v>
      </c>
      <c r="E122" s="286" t="s">
        <v>1734</v>
      </c>
      <c r="F122" s="286" t="s">
        <v>1733</v>
      </c>
      <c r="G122" s="93">
        <v>1150</v>
      </c>
      <c r="H122" s="286">
        <f>5.55-0.00063*G122</f>
        <v>4.8254999999999999</v>
      </c>
      <c r="I122" s="286">
        <f>5.11-0.00058*G122</f>
        <v>4.4430000000000005</v>
      </c>
      <c r="J122" s="93">
        <f t="shared" si="28"/>
        <v>915.7867593749985</v>
      </c>
      <c r="K122" s="93">
        <f t="shared" si="29"/>
        <v>0.1832812499999997</v>
      </c>
      <c r="L122" s="260">
        <f t="shared" si="30"/>
        <v>7.9266397264532051E-2</v>
      </c>
      <c r="M122" s="312">
        <f t="shared" si="31"/>
        <v>304.58999999999997</v>
      </c>
      <c r="N122" s="312">
        <f t="shared" si="32"/>
        <v>0.33259926165330783</v>
      </c>
      <c r="O122" s="93">
        <f t="shared" si="33"/>
        <v>5.8823529411764705E-2</v>
      </c>
    </row>
    <row r="123" spans="2:15">
      <c r="B123" s="718"/>
      <c r="C123" s="710"/>
      <c r="D123" s="93" t="s">
        <v>1732</v>
      </c>
      <c r="E123" s="93">
        <v>4.6100000000000003</v>
      </c>
      <c r="F123" s="93" t="s">
        <v>1731</v>
      </c>
      <c r="G123" s="93">
        <v>2750</v>
      </c>
      <c r="H123" s="93">
        <v>4.6100000000000003</v>
      </c>
      <c r="I123" s="93">
        <v>4.24</v>
      </c>
      <c r="J123" s="93">
        <f t="shared" si="28"/>
        <v>2118.3586875000001</v>
      </c>
      <c r="K123" s="93">
        <f t="shared" si="29"/>
        <v>0.42395833333333338</v>
      </c>
      <c r="L123" s="260">
        <f t="shared" si="30"/>
        <v>8.0260303687635592E-2</v>
      </c>
      <c r="M123" s="312">
        <f t="shared" si="31"/>
        <v>304.58999999999997</v>
      </c>
      <c r="N123" s="312">
        <f t="shared" si="32"/>
        <v>0.14378584788181675</v>
      </c>
      <c r="O123" s="93">
        <f t="shared" si="33"/>
        <v>5.8823529411764705E-2</v>
      </c>
    </row>
    <row r="124" spans="2:15">
      <c r="B124" s="718"/>
      <c r="C124" s="710" t="s">
        <v>1707</v>
      </c>
      <c r="D124" s="93" t="s">
        <v>1730</v>
      </c>
      <c r="E124" s="286" t="s">
        <v>1729</v>
      </c>
      <c r="F124" s="286" t="s">
        <v>1728</v>
      </c>
      <c r="G124" s="93">
        <v>750</v>
      </c>
      <c r="H124" s="286">
        <f>7.97-0.00342*G124</f>
        <v>5.4049999999999994</v>
      </c>
      <c r="I124" s="286">
        <f>7.17-0.00308*G124</f>
        <v>4.8599999999999994</v>
      </c>
      <c r="J124" s="93">
        <f t="shared" si="28"/>
        <v>850.98684374999982</v>
      </c>
      <c r="K124" s="93">
        <f t="shared" si="29"/>
        <v>0.17031249999999998</v>
      </c>
      <c r="L124" s="260">
        <f t="shared" si="30"/>
        <v>0.10083256244218317</v>
      </c>
      <c r="M124" s="312">
        <f t="shared" si="31"/>
        <v>304.58999999999997</v>
      </c>
      <c r="N124" s="312">
        <f t="shared" si="32"/>
        <v>0.35792562744892614</v>
      </c>
      <c r="O124" s="93">
        <f t="shared" si="33"/>
        <v>5.8823529411764705E-2</v>
      </c>
    </row>
    <row r="125" spans="2:15">
      <c r="B125" s="718"/>
      <c r="C125" s="710"/>
      <c r="D125" s="93" t="s">
        <v>1727</v>
      </c>
      <c r="E125" s="93">
        <v>4.59</v>
      </c>
      <c r="F125" s="93" t="s">
        <v>1726</v>
      </c>
      <c r="G125" s="93">
        <v>2500</v>
      </c>
      <c r="H125" s="93">
        <v>4.59</v>
      </c>
      <c r="I125" s="93">
        <v>4.13</v>
      </c>
      <c r="J125" s="93">
        <f t="shared" si="28"/>
        <v>2394.2137499999999</v>
      </c>
      <c r="K125" s="93">
        <f t="shared" si="29"/>
        <v>0.47916666666666663</v>
      </c>
      <c r="L125" s="260">
        <f t="shared" si="30"/>
        <v>0.10021786492374729</v>
      </c>
      <c r="M125" s="312">
        <f t="shared" si="31"/>
        <v>304.58999999999997</v>
      </c>
      <c r="N125" s="312">
        <f t="shared" si="32"/>
        <v>0.12721921758239005</v>
      </c>
      <c r="O125" s="93">
        <f t="shared" si="33"/>
        <v>5.8823529411764705E-2</v>
      </c>
    </row>
    <row r="126" spans="2:15">
      <c r="B126" s="718"/>
      <c r="C126" s="710" t="s">
        <v>1701</v>
      </c>
      <c r="D126" s="93" t="s">
        <v>1725</v>
      </c>
      <c r="E126" s="286" t="s">
        <v>1724</v>
      </c>
      <c r="F126" s="286" t="s">
        <v>1723</v>
      </c>
      <c r="G126" s="93">
        <v>100</v>
      </c>
      <c r="H126" s="286">
        <f>14.79-0.0469*G126</f>
        <v>10.1</v>
      </c>
      <c r="I126" s="286">
        <f>12.57-0.0399*G126</f>
        <v>8.58</v>
      </c>
      <c r="J126" s="93">
        <f t="shared" si="28"/>
        <v>316.45259999999996</v>
      </c>
      <c r="K126" s="93">
        <f t="shared" si="29"/>
        <v>6.3333333333333325E-2</v>
      </c>
      <c r="L126" s="260">
        <f t="shared" si="30"/>
        <v>0.15049504950495049</v>
      </c>
      <c r="M126" s="312">
        <f t="shared" si="31"/>
        <v>304.58999999999997</v>
      </c>
      <c r="N126" s="312">
        <f t="shared" si="32"/>
        <v>0.96251381723518792</v>
      </c>
      <c r="O126" s="93">
        <f t="shared" si="33"/>
        <v>5.8823529411764705E-2</v>
      </c>
    </row>
    <row r="127" spans="2:15">
      <c r="B127" s="718"/>
      <c r="C127" s="710"/>
      <c r="D127" s="93" t="s">
        <v>1722</v>
      </c>
      <c r="E127" s="286" t="s">
        <v>1721</v>
      </c>
      <c r="F127" s="286" t="s">
        <v>1720</v>
      </c>
      <c r="G127" s="93">
        <v>155</v>
      </c>
      <c r="H127" s="286">
        <f>12.42-0.02533*G127</f>
        <v>8.4938500000000001</v>
      </c>
      <c r="I127" s="286">
        <f>10.56-0.0215*G127</f>
        <v>7.2275000000000009</v>
      </c>
      <c r="J127" s="93">
        <f t="shared" si="28"/>
        <v>408.64908718124974</v>
      </c>
      <c r="K127" s="93">
        <f t="shared" si="29"/>
        <v>8.1785104166666622E-2</v>
      </c>
      <c r="L127" s="260">
        <f t="shared" si="30"/>
        <v>0.14909022410332173</v>
      </c>
      <c r="M127" s="312">
        <f t="shared" si="31"/>
        <v>304.58999999999997</v>
      </c>
      <c r="N127" s="312">
        <f t="shared" si="32"/>
        <v>0.74535832711869965</v>
      </c>
      <c r="O127" s="93">
        <f t="shared" si="33"/>
        <v>5.8823529411764705E-2</v>
      </c>
    </row>
    <row r="128" spans="2:15">
      <c r="B128" s="718"/>
      <c r="C128" s="710"/>
      <c r="D128" s="93" t="s">
        <v>1719</v>
      </c>
      <c r="E128" s="93">
        <v>7.35</v>
      </c>
      <c r="F128" s="93" t="s">
        <v>1718</v>
      </c>
      <c r="G128" s="93">
        <v>2100</v>
      </c>
      <c r="H128" s="93">
        <v>7.35</v>
      </c>
      <c r="I128" s="93">
        <v>6.25</v>
      </c>
      <c r="J128" s="93">
        <f t="shared" si="28"/>
        <v>4809.2467499999975</v>
      </c>
      <c r="K128" s="93">
        <f t="shared" si="29"/>
        <v>0.96249999999999958</v>
      </c>
      <c r="L128" s="260">
        <f t="shared" si="30"/>
        <v>0.14965986394557818</v>
      </c>
      <c r="M128" s="312">
        <f t="shared" si="31"/>
        <v>304.58999999999997</v>
      </c>
      <c r="N128" s="312">
        <f t="shared" si="32"/>
        <v>6.3334242519371697E-2</v>
      </c>
      <c r="O128" s="93">
        <f t="shared" si="33"/>
        <v>5.8823529411764705E-2</v>
      </c>
    </row>
    <row r="129" spans="2:15">
      <c r="B129" s="717" t="s">
        <v>1717</v>
      </c>
      <c r="C129" s="710" t="s">
        <v>1716</v>
      </c>
      <c r="D129" s="93" t="s">
        <v>1715</v>
      </c>
      <c r="E129" s="286" t="s">
        <v>1714</v>
      </c>
      <c r="F129" s="286" t="s">
        <v>1713</v>
      </c>
      <c r="G129" s="93">
        <v>250</v>
      </c>
      <c r="H129" s="286">
        <f>9.19-0.00629*G129</f>
        <v>7.6174999999999997</v>
      </c>
      <c r="I129" s="286">
        <f>7.9-0.005409*G129</f>
        <v>6.5477500000000006</v>
      </c>
      <c r="J129" s="93">
        <f t="shared" si="28"/>
        <v>556.78481718749947</v>
      </c>
      <c r="K129" s="93">
        <f t="shared" si="29"/>
        <v>0.11143229166666656</v>
      </c>
      <c r="L129" s="260">
        <f t="shared" si="30"/>
        <v>0.14043321299638978</v>
      </c>
      <c r="M129" s="312">
        <f t="shared" si="31"/>
        <v>304.58999999999997</v>
      </c>
      <c r="N129" s="312">
        <f t="shared" si="32"/>
        <v>0.54705155492310797</v>
      </c>
      <c r="O129" s="93">
        <f t="shared" si="33"/>
        <v>5.8823529411764705E-2</v>
      </c>
    </row>
    <row r="130" spans="2:15">
      <c r="B130" s="717"/>
      <c r="C130" s="710"/>
      <c r="D130" s="93" t="s">
        <v>1712</v>
      </c>
      <c r="E130" s="286" t="s">
        <v>1711</v>
      </c>
      <c r="F130" s="286" t="s">
        <v>1710</v>
      </c>
      <c r="G130" s="93">
        <v>550</v>
      </c>
      <c r="H130" s="286">
        <f>8.23-0.0032*G130</f>
        <v>6.4700000000000006</v>
      </c>
      <c r="I130" s="286">
        <f>7.08-0.002752*G130</f>
        <v>5.5663999999999998</v>
      </c>
      <c r="J130" s="93">
        <f t="shared" si="28"/>
        <v>1034.675086500001</v>
      </c>
      <c r="K130" s="93">
        <f t="shared" si="29"/>
        <v>0.2070750000000002</v>
      </c>
      <c r="L130" s="260">
        <f t="shared" si="30"/>
        <v>0.13965996908809905</v>
      </c>
      <c r="M130" s="312">
        <f t="shared" si="31"/>
        <v>304.58999999999997</v>
      </c>
      <c r="N130" s="312">
        <f t="shared" si="32"/>
        <v>0.2943822693463487</v>
      </c>
      <c r="O130" s="93">
        <f t="shared" si="33"/>
        <v>5.8823529411764705E-2</v>
      </c>
    </row>
    <row r="131" spans="2:15">
      <c r="B131" s="717"/>
      <c r="C131" s="710"/>
      <c r="D131" s="93" t="s">
        <v>1709</v>
      </c>
      <c r="E131" s="93">
        <v>5.61</v>
      </c>
      <c r="F131" s="93" t="s">
        <v>1708</v>
      </c>
      <c r="G131" s="93">
        <v>2500</v>
      </c>
      <c r="H131" s="93">
        <v>5.61</v>
      </c>
      <c r="I131" s="93">
        <v>4.82</v>
      </c>
      <c r="J131" s="93">
        <f t="shared" si="28"/>
        <v>4111.8018750000001</v>
      </c>
      <c r="K131" s="93">
        <f t="shared" si="29"/>
        <v>0.82291666666666674</v>
      </c>
      <c r="L131" s="260">
        <f t="shared" si="30"/>
        <v>0.14081996434937613</v>
      </c>
      <c r="M131" s="312">
        <f t="shared" si="31"/>
        <v>304.58999999999997</v>
      </c>
      <c r="N131" s="312">
        <f t="shared" si="32"/>
        <v>7.4077012769492925E-2</v>
      </c>
      <c r="O131" s="93">
        <f t="shared" si="33"/>
        <v>5.8823529411764705E-2</v>
      </c>
    </row>
    <row r="132" spans="2:15">
      <c r="B132" s="717"/>
      <c r="C132" s="710" t="s">
        <v>1707</v>
      </c>
      <c r="D132" s="93" t="s">
        <v>1706</v>
      </c>
      <c r="E132" s="286" t="s">
        <v>1705</v>
      </c>
      <c r="F132" s="286" t="s">
        <v>1704</v>
      </c>
      <c r="G132" s="93">
        <v>750</v>
      </c>
      <c r="H132" s="286">
        <f>9.7-0.0058*G132</f>
        <v>5.35</v>
      </c>
      <c r="I132" s="286">
        <f>7.76-0.00464*G132</f>
        <v>4.2799999999999994</v>
      </c>
      <c r="J132" s="93">
        <f t="shared" si="28"/>
        <v>1670.7448125000003</v>
      </c>
      <c r="K132" s="93">
        <f t="shared" si="29"/>
        <v>0.33437500000000009</v>
      </c>
      <c r="L132" s="260">
        <f t="shared" si="30"/>
        <v>0.20000000000000004</v>
      </c>
      <c r="M132" s="312">
        <f t="shared" si="31"/>
        <v>304.58999999999997</v>
      </c>
      <c r="N132" s="312">
        <f t="shared" si="32"/>
        <v>0.18230791304641558</v>
      </c>
      <c r="O132" s="93">
        <f t="shared" si="33"/>
        <v>5.8823529411764705E-2</v>
      </c>
    </row>
    <row r="133" spans="2:15">
      <c r="B133" s="717"/>
      <c r="C133" s="710"/>
      <c r="D133" s="93" t="s">
        <v>1703</v>
      </c>
      <c r="E133" s="93">
        <v>5.0599999999999996</v>
      </c>
      <c r="F133" s="93" t="s">
        <v>1702</v>
      </c>
      <c r="G133" s="93">
        <v>2400</v>
      </c>
      <c r="H133" s="93">
        <v>5.0599999999999996</v>
      </c>
      <c r="I133" s="93">
        <v>4.05</v>
      </c>
      <c r="J133" s="93">
        <f t="shared" si="28"/>
        <v>5046.5861999999979</v>
      </c>
      <c r="K133" s="93">
        <f t="shared" si="29"/>
        <v>1.0099999999999996</v>
      </c>
      <c r="L133" s="260">
        <f t="shared" si="30"/>
        <v>0.19960474308300388</v>
      </c>
      <c r="M133" s="312">
        <f t="shared" si="31"/>
        <v>304.58999999999997</v>
      </c>
      <c r="N133" s="312">
        <f t="shared" si="32"/>
        <v>6.0355651905836881E-2</v>
      </c>
      <c r="O133" s="93">
        <f t="shared" si="33"/>
        <v>5.8823529411764705E-2</v>
      </c>
    </row>
    <row r="134" spans="2:15">
      <c r="B134" s="717"/>
      <c r="C134" s="710" t="s">
        <v>1701</v>
      </c>
      <c r="D134" s="93" t="s">
        <v>1700</v>
      </c>
      <c r="E134" s="286" t="s">
        <v>1699</v>
      </c>
      <c r="F134" s="286" t="s">
        <v>1698</v>
      </c>
      <c r="G134" s="93">
        <v>150</v>
      </c>
      <c r="H134" s="286">
        <f>14.22-0.03*G134</f>
        <v>9.7200000000000006</v>
      </c>
      <c r="I134" s="286">
        <f>12.37-0.0261*G134</f>
        <v>8.4549999999999983</v>
      </c>
      <c r="J134" s="93">
        <f t="shared" si="28"/>
        <v>395.04526875000073</v>
      </c>
      <c r="K134" s="93">
        <f t="shared" si="29"/>
        <v>7.9062500000000147E-2</v>
      </c>
      <c r="L134" s="260">
        <f t="shared" si="30"/>
        <v>0.13014403292181093</v>
      </c>
      <c r="M134" s="312">
        <f t="shared" si="31"/>
        <v>304.58999999999997</v>
      </c>
      <c r="N134" s="312">
        <f t="shared" si="32"/>
        <v>0.77102556110539266</v>
      </c>
      <c r="O134" s="93">
        <f t="shared" si="33"/>
        <v>5.8823529411764705E-2</v>
      </c>
    </row>
    <row r="135" spans="2:15">
      <c r="B135" s="717"/>
      <c r="C135" s="710"/>
      <c r="D135" s="93" t="s">
        <v>1697</v>
      </c>
      <c r="E135" s="286" t="s">
        <v>1696</v>
      </c>
      <c r="F135" s="286" t="s">
        <v>1695</v>
      </c>
      <c r="G135" s="93">
        <v>450</v>
      </c>
      <c r="H135" s="286">
        <f>9.47-0.00624*G135</f>
        <v>6.6620000000000008</v>
      </c>
      <c r="I135" s="286">
        <f>8.24-0.005429*G135</f>
        <v>5.7969500000000007</v>
      </c>
      <c r="J135" s="93">
        <f t="shared" si="28"/>
        <v>810.43614956249996</v>
      </c>
      <c r="K135" s="93">
        <f t="shared" si="29"/>
        <v>0.16219687499999999</v>
      </c>
      <c r="L135" s="260">
        <f t="shared" si="30"/>
        <v>0.12984839387571295</v>
      </c>
      <c r="M135" s="312">
        <f t="shared" si="31"/>
        <v>304.58999999999997</v>
      </c>
      <c r="N135" s="312">
        <f t="shared" si="32"/>
        <v>0.37583466651188702</v>
      </c>
      <c r="O135" s="93">
        <f t="shared" si="33"/>
        <v>5.8823529411764705E-2</v>
      </c>
    </row>
    <row r="136" spans="2:15">
      <c r="B136" s="717"/>
      <c r="C136" s="710"/>
      <c r="D136" s="93" t="s">
        <v>1694</v>
      </c>
      <c r="E136" s="93">
        <v>5.0999999999999996</v>
      </c>
      <c r="F136" s="93" t="s">
        <v>1693</v>
      </c>
      <c r="G136" s="93">
        <v>2400</v>
      </c>
      <c r="H136" s="93">
        <v>5.0999999999999996</v>
      </c>
      <c r="I136" s="93">
        <v>4.4400000000000004</v>
      </c>
      <c r="J136" s="93">
        <f t="shared" si="28"/>
        <v>3297.7691999999961</v>
      </c>
      <c r="K136" s="93">
        <f t="shared" si="29"/>
        <v>0.65999999999999925</v>
      </c>
      <c r="L136" s="260">
        <f t="shared" si="30"/>
        <v>0.12941176470588223</v>
      </c>
      <c r="M136" s="312">
        <f t="shared" si="31"/>
        <v>304.58999999999997</v>
      </c>
      <c r="N136" s="312">
        <f t="shared" si="32"/>
        <v>9.2362437007417114E-2</v>
      </c>
      <c r="O136" s="93">
        <f t="shared" si="33"/>
        <v>5.8823529411764705E-2</v>
      </c>
    </row>
    <row r="137" spans="2:15">
      <c r="B137" s="7" t="s">
        <v>0</v>
      </c>
      <c r="C137" s="7"/>
      <c r="D137" s="7"/>
      <c r="E137" s="7"/>
      <c r="F137" s="7"/>
      <c r="G137" s="7"/>
      <c r="H137" s="7"/>
      <c r="I137" s="7"/>
      <c r="J137" s="7">
        <f>SUMPRODUCT(J120:J136,$O$120:$O$136)</f>
        <v>1737.6694244371317</v>
      </c>
      <c r="K137" s="7">
        <f>SUMPRODUCT(K120:K136,$O$120:$O$136)</f>
        <v>0.34776897671568613</v>
      </c>
      <c r="L137" s="7">
        <f>SUMPRODUCT(L120:L136,$O$120:$O$136)</f>
        <v>0.12817114095709387</v>
      </c>
      <c r="M137" s="7">
        <f>SUMPRODUCT(M120:M136,$O$120:$O$136)</f>
        <v>304.58999999999992</v>
      </c>
      <c r="N137" s="7">
        <f>SUMPRODUCT(N120:N136,$O$120:$O$136)</f>
        <v>0.39885021943975923</v>
      </c>
    </row>
  </sheetData>
  <mergeCells count="8">
    <mergeCell ref="C134:C136"/>
    <mergeCell ref="B129:B136"/>
    <mergeCell ref="C120:C123"/>
    <mergeCell ref="C124:C125"/>
    <mergeCell ref="C126:C128"/>
    <mergeCell ref="B119:B128"/>
    <mergeCell ref="C129:C131"/>
    <mergeCell ref="C132:C133"/>
  </mergeCells>
  <dataValidations count="5">
    <dataValidation type="list" allowBlank="1" showInputMessage="1" showErrorMessage="1" sqref="C59:L59" xr:uid="{00000000-0002-0000-9D00-000004000000}">
      <formula1>$N$19:$AQ$19</formula1>
    </dataValidation>
    <dataValidation type="list" allowBlank="1" showInputMessage="1" showErrorMessage="1" sqref="E11:E20" xr:uid="{00000000-0002-0000-9D00-000003000000}">
      <formula1>$N$16:$O$16</formula1>
    </dataValidation>
    <dataValidation type="list" allowBlank="1" showInputMessage="1" showErrorMessage="1" sqref="D11:D20" xr:uid="{00000000-0002-0000-9D00-000002000000}">
      <formula1>$N$22:$AE$22</formula1>
    </dataValidation>
    <dataValidation type="list" allowBlank="1" showInputMessage="1" showErrorMessage="1" sqref="B11:C20" xr:uid="{00000000-0002-0000-9D00-000001000000}">
      <formula1>$N$7:$Q$7</formula1>
    </dataValidation>
    <dataValidation type="list" allowBlank="1" showInputMessage="1" showErrorMessage="1" sqref="D7" xr:uid="{00000000-0002-0000-9D00-000000000000}">
      <formula1>$N$11:$O$11</formula1>
    </dataValidation>
  </dataValidations>
  <pageMargins left="0.7" right="0.7" top="0.75" bottom="0.75" header="0.3" footer="0.3"/>
  <pageSetup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BE149-08B7-4EFE-966E-DA864C5EF109}">
  <sheetPr codeName="Sheet154">
    <tabColor indexed="9"/>
  </sheetPr>
  <dimension ref="A1:AQ138"/>
  <sheetViews>
    <sheetView topLeftCell="A33"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 Bev Vending Machine</v>
      </c>
      <c r="C7" s="98" t="s">
        <v>1535</v>
      </c>
      <c r="D7" s="97" t="s">
        <v>211</v>
      </c>
      <c r="E7" s="97">
        <f>C110</f>
        <v>14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 Bev Vending Machine_CI, E - Refr (MD)</v>
      </c>
      <c r="J11" s="83" t="str">
        <f t="shared" ref="J11:J20" si="3">IF(B11="","",CONCATENATE($C$7,IF(C11="","",CONCATENATE(" with ",C11," Secondary Fuel"))))</f>
        <v>ENERGY STAR Refrigerated Vending Machine</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Refr Bev Vending Machine_CI,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 Bev Vending Machine_CI,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Refrigerated Vending Machine</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ES Refr Bev Vending Machine_CI,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Refrigerated Vending Machine</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1534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Refrigerated Vending Machine</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1533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1532</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C129</f>
        <v>124.81129375000013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E129</f>
        <v>9.5000000000000098E-2</v>
      </c>
      <c r="D65" s="67"/>
      <c r="E65" s="67"/>
      <c r="F65" s="65"/>
      <c r="G65" s="65"/>
      <c r="H65" s="65"/>
      <c r="I65" s="65"/>
      <c r="J65" s="65"/>
      <c r="K65" s="65"/>
      <c r="L65" s="65"/>
      <c r="M65" s="69">
        <v>3</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500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G129</f>
        <v>0.24962258750000027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42</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Refrigerated Vending Machine</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4">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4">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4">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4">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4">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4">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4">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34">
      <c r="B105" s="1" t="s">
        <v>1531</v>
      </c>
    </row>
    <row r="107" spans="1:34" s="63" customFormat="1" ht="15.75" thickBot="1">
      <c r="B107" s="63" t="s">
        <v>50</v>
      </c>
    </row>
    <row r="109" spans="1:34">
      <c r="A109"/>
      <c r="B109" s="505" t="s">
        <v>46</v>
      </c>
      <c r="C109" s="505" t="s">
        <v>45</v>
      </c>
      <c r="D109" s="505" t="s">
        <v>44</v>
      </c>
      <c r="E109" s="505" t="s">
        <v>43</v>
      </c>
      <c r="F109"/>
      <c r="G109"/>
      <c r="H109"/>
      <c r="I109"/>
      <c r="J109"/>
      <c r="K109"/>
      <c r="L109"/>
      <c r="M109"/>
      <c r="N109"/>
      <c r="O109"/>
      <c r="P109"/>
      <c r="Q109"/>
      <c r="R109"/>
      <c r="S109"/>
      <c r="T109"/>
      <c r="U109"/>
      <c r="V109"/>
      <c r="W109"/>
      <c r="X109"/>
      <c r="Y109"/>
      <c r="Z109"/>
      <c r="AA109"/>
      <c r="AB109"/>
      <c r="AC109"/>
      <c r="AD109"/>
      <c r="AE109"/>
      <c r="AF109"/>
      <c r="AG109"/>
      <c r="AH109"/>
    </row>
    <row r="110" spans="1:34">
      <c r="A110"/>
      <c r="B110" s="286" t="s">
        <v>518</v>
      </c>
      <c r="C110" s="286">
        <v>14</v>
      </c>
      <c r="D110" s="286" t="s">
        <v>1528</v>
      </c>
      <c r="E110" s="286"/>
      <c r="F110"/>
      <c r="G110"/>
      <c r="H110"/>
      <c r="I110"/>
      <c r="J110"/>
      <c r="K110"/>
      <c r="L110"/>
      <c r="M110"/>
      <c r="N110"/>
      <c r="O110"/>
      <c r="P110"/>
      <c r="Q110"/>
      <c r="R110"/>
      <c r="S110"/>
      <c r="T110"/>
      <c r="U110"/>
      <c r="V110"/>
      <c r="W110"/>
      <c r="X110"/>
      <c r="Y110"/>
      <c r="Z110"/>
      <c r="AA110"/>
      <c r="AB110"/>
      <c r="AC110"/>
      <c r="AD110"/>
      <c r="AE110"/>
      <c r="AF110"/>
      <c r="AG110"/>
      <c r="AH110"/>
    </row>
    <row r="111" spans="1:34">
      <c r="A111"/>
      <c r="B111" s="93" t="s">
        <v>438</v>
      </c>
      <c r="C111" s="93">
        <v>500</v>
      </c>
      <c r="D111" s="286" t="s">
        <v>1528</v>
      </c>
      <c r="E111" s="93"/>
      <c r="H111"/>
      <c r="I111"/>
      <c r="J111"/>
      <c r="K111"/>
      <c r="L111"/>
      <c r="M111"/>
      <c r="N111"/>
      <c r="O111"/>
      <c r="P111"/>
      <c r="Q111"/>
      <c r="R111"/>
      <c r="S111"/>
      <c r="T111"/>
      <c r="U111"/>
      <c r="V111"/>
      <c r="W111"/>
      <c r="X111"/>
      <c r="Y111"/>
      <c r="Z111"/>
      <c r="AA111"/>
      <c r="AB111"/>
      <c r="AC111"/>
      <c r="AD111"/>
      <c r="AE111"/>
      <c r="AF111"/>
      <c r="AG111"/>
      <c r="AH111"/>
    </row>
    <row r="112" spans="1:34">
      <c r="A112"/>
      <c r="B112" s="93" t="s">
        <v>1523</v>
      </c>
      <c r="C112" s="93" t="s">
        <v>35</v>
      </c>
      <c r="D112" s="286" t="s">
        <v>1528</v>
      </c>
      <c r="E112" s="286" t="s">
        <v>1530</v>
      </c>
      <c r="I112"/>
      <c r="J112"/>
      <c r="K112"/>
      <c r="L112"/>
      <c r="M112"/>
      <c r="N112"/>
      <c r="O112"/>
      <c r="P112"/>
      <c r="Q112"/>
      <c r="R112"/>
      <c r="S112"/>
      <c r="T112"/>
      <c r="U112"/>
      <c r="V112"/>
      <c r="W112"/>
      <c r="X112"/>
      <c r="Y112"/>
      <c r="Z112"/>
      <c r="AA112"/>
      <c r="AB112"/>
      <c r="AC112"/>
      <c r="AD112"/>
      <c r="AE112"/>
      <c r="AF112"/>
      <c r="AG112"/>
      <c r="AH112"/>
    </row>
    <row r="113" spans="1:34">
      <c r="A113"/>
      <c r="B113" s="93" t="s">
        <v>1522</v>
      </c>
      <c r="C113" s="93" t="s">
        <v>35</v>
      </c>
      <c r="D113" s="286" t="s">
        <v>1528</v>
      </c>
      <c r="E113" s="286" t="s">
        <v>1529</v>
      </c>
      <c r="H113"/>
      <c r="I113"/>
      <c r="J113"/>
      <c r="K113"/>
      <c r="L113"/>
      <c r="M113"/>
      <c r="N113"/>
      <c r="O113"/>
      <c r="P113"/>
      <c r="Q113"/>
      <c r="R113"/>
      <c r="S113"/>
      <c r="T113"/>
      <c r="U113"/>
      <c r="V113"/>
      <c r="W113"/>
      <c r="X113"/>
      <c r="Y113"/>
      <c r="Z113"/>
      <c r="AA113"/>
      <c r="AB113"/>
      <c r="AC113"/>
      <c r="AD113"/>
      <c r="AE113"/>
      <c r="AF113"/>
      <c r="AG113"/>
      <c r="AH113"/>
    </row>
    <row r="114" spans="1:34">
      <c r="A114"/>
      <c r="B114" s="93" t="s">
        <v>408</v>
      </c>
      <c r="C114" s="93">
        <v>365</v>
      </c>
      <c r="D114" s="286" t="s">
        <v>1528</v>
      </c>
      <c r="E114" s="93"/>
      <c r="H114"/>
      <c r="I114"/>
      <c r="J114"/>
      <c r="K114"/>
      <c r="L114"/>
      <c r="M114"/>
      <c r="N114"/>
      <c r="O114"/>
      <c r="P114"/>
      <c r="Q114"/>
      <c r="R114"/>
      <c r="S114"/>
      <c r="T114"/>
      <c r="U114"/>
      <c r="V114"/>
      <c r="W114"/>
      <c r="X114"/>
      <c r="Y114"/>
      <c r="Z114"/>
      <c r="AA114"/>
      <c r="AB114"/>
      <c r="AC114"/>
      <c r="AD114"/>
      <c r="AE114"/>
      <c r="AF114"/>
      <c r="AG114"/>
      <c r="AH114"/>
    </row>
    <row r="115" spans="1:34">
      <c r="A115"/>
      <c r="H115"/>
      <c r="I115"/>
      <c r="J115"/>
      <c r="K115"/>
      <c r="L115"/>
      <c r="M115"/>
      <c r="N115"/>
      <c r="O115"/>
      <c r="P115"/>
      <c r="Q115"/>
      <c r="R115"/>
      <c r="S115"/>
      <c r="T115"/>
      <c r="U115"/>
      <c r="V115"/>
      <c r="W115"/>
      <c r="X115"/>
      <c r="Y115"/>
      <c r="Z115"/>
      <c r="AA115"/>
      <c r="AB115"/>
      <c r="AC115"/>
      <c r="AD115"/>
      <c r="AE115"/>
      <c r="AF115"/>
      <c r="AG115"/>
      <c r="AH115"/>
    </row>
    <row r="116" spans="1:34">
      <c r="A116"/>
      <c r="H116"/>
      <c r="I116"/>
      <c r="J116"/>
      <c r="K116"/>
      <c r="L116"/>
      <c r="M116"/>
      <c r="N116"/>
      <c r="O116"/>
      <c r="P116"/>
      <c r="Q116"/>
      <c r="R116"/>
      <c r="S116"/>
      <c r="T116"/>
      <c r="U116"/>
      <c r="V116"/>
      <c r="W116"/>
      <c r="X116"/>
      <c r="Y116"/>
      <c r="Z116"/>
      <c r="AA116"/>
      <c r="AB116"/>
      <c r="AC116"/>
      <c r="AD116"/>
      <c r="AE116"/>
      <c r="AF116"/>
      <c r="AG116"/>
      <c r="AH116"/>
    </row>
    <row r="117" spans="1:34">
      <c r="A117"/>
      <c r="B117" s="94" t="s">
        <v>22</v>
      </c>
      <c r="C117" s="94" t="s">
        <v>1527</v>
      </c>
      <c r="D117" s="94" t="s">
        <v>1526</v>
      </c>
      <c r="E117" s="94" t="s">
        <v>1525</v>
      </c>
      <c r="F117" s="94" t="s">
        <v>1524</v>
      </c>
      <c r="G117" s="94" t="s">
        <v>1523</v>
      </c>
      <c r="H117" s="94" t="s">
        <v>1522</v>
      </c>
      <c r="I117"/>
      <c r="J117"/>
      <c r="K117"/>
      <c r="L117"/>
      <c r="M117"/>
      <c r="N117"/>
      <c r="O117"/>
      <c r="P117"/>
      <c r="Q117"/>
      <c r="R117"/>
      <c r="S117"/>
      <c r="T117"/>
      <c r="U117"/>
      <c r="V117"/>
      <c r="W117"/>
      <c r="X117"/>
      <c r="Y117"/>
      <c r="Z117"/>
      <c r="AA117"/>
      <c r="AB117"/>
      <c r="AC117"/>
      <c r="AD117"/>
      <c r="AE117"/>
      <c r="AF117"/>
      <c r="AG117"/>
      <c r="AH117"/>
    </row>
    <row r="118" spans="1:34">
      <c r="A118"/>
      <c r="B118" s="94" t="s">
        <v>1510</v>
      </c>
      <c r="C118" s="93" t="s">
        <v>1521</v>
      </c>
      <c r="D118" s="93">
        <f>(11.5+38.5)/2</f>
        <v>25</v>
      </c>
      <c r="E118" s="93" t="s">
        <v>1520</v>
      </c>
      <c r="F118" s="93" t="s">
        <v>1519</v>
      </c>
      <c r="G118" s="93">
        <f>0.052*D118+2.43</f>
        <v>3.7300000000000004</v>
      </c>
      <c r="H118" s="93">
        <f>0.04836*D118+2.2599</f>
        <v>3.4689000000000001</v>
      </c>
      <c r="I118"/>
      <c r="J118"/>
      <c r="K118"/>
      <c r="L118"/>
      <c r="M118"/>
      <c r="N118"/>
      <c r="O118"/>
      <c r="P118"/>
      <c r="Q118"/>
      <c r="R118"/>
      <c r="S118"/>
      <c r="T118"/>
      <c r="U118"/>
      <c r="V118"/>
      <c r="W118"/>
      <c r="X118"/>
      <c r="Y118"/>
      <c r="Z118"/>
      <c r="AA118"/>
      <c r="AB118"/>
      <c r="AC118"/>
      <c r="AD118"/>
      <c r="AE118"/>
      <c r="AF118"/>
      <c r="AG118"/>
      <c r="AH118"/>
    </row>
    <row r="119" spans="1:34">
      <c r="A119"/>
      <c r="B119" s="94" t="s">
        <v>1509</v>
      </c>
      <c r="C119" s="93" t="s">
        <v>1518</v>
      </c>
      <c r="D119" s="93">
        <f>(21.8+30.5)/2</f>
        <v>26.15</v>
      </c>
      <c r="E119" s="93" t="s">
        <v>1517</v>
      </c>
      <c r="F119" s="93" t="s">
        <v>1516</v>
      </c>
      <c r="G119" s="93">
        <f>0.052*D119+2.2</f>
        <v>3.5598000000000001</v>
      </c>
      <c r="H119" s="93">
        <f>0.04576*D119+1.936</f>
        <v>3.1326239999999999</v>
      </c>
      <c r="I119"/>
      <c r="J119"/>
      <c r="K119"/>
      <c r="L119"/>
      <c r="M119"/>
      <c r="N119"/>
      <c r="O119"/>
      <c r="P119"/>
      <c r="Q119"/>
      <c r="R119"/>
      <c r="S119"/>
      <c r="T119"/>
      <c r="U119"/>
      <c r="V119"/>
      <c r="W119"/>
      <c r="X119"/>
      <c r="Y119"/>
      <c r="Z119"/>
      <c r="AA119"/>
      <c r="AB119"/>
      <c r="AC119"/>
      <c r="AD119"/>
      <c r="AE119"/>
      <c r="AF119"/>
      <c r="AG119"/>
      <c r="AH119"/>
    </row>
    <row r="120" spans="1:34">
      <c r="A120"/>
      <c r="B120" s="94" t="s">
        <v>1364</v>
      </c>
      <c r="C120" s="93" t="s">
        <v>1515</v>
      </c>
      <c r="D120" s="93">
        <f>(9.7+16)/2</f>
        <v>12.85</v>
      </c>
      <c r="E120" s="93" t="s">
        <v>1514</v>
      </c>
      <c r="F120" s="93" t="s">
        <v>1513</v>
      </c>
      <c r="G120" s="93">
        <f>0.086*D120+2.66</f>
        <v>3.7651000000000003</v>
      </c>
      <c r="H120" s="93">
        <f>0.07998*D120+2.4738</f>
        <v>3.5015429999999999</v>
      </c>
      <c r="I120"/>
      <c r="J120"/>
      <c r="K120"/>
      <c r="L120"/>
      <c r="M120"/>
      <c r="N120"/>
      <c r="O120"/>
      <c r="P120"/>
      <c r="Q120"/>
      <c r="R120"/>
      <c r="S120"/>
      <c r="T120"/>
      <c r="U120"/>
      <c r="V120"/>
      <c r="W120"/>
      <c r="X120"/>
      <c r="Y120"/>
      <c r="Z120"/>
      <c r="AA120"/>
      <c r="AB120"/>
      <c r="AC120"/>
      <c r="AD120"/>
      <c r="AE120"/>
      <c r="AF120"/>
      <c r="AG120"/>
      <c r="AH120"/>
    </row>
    <row r="121" spans="1:34">
      <c r="B121" s="94" t="s">
        <v>1363</v>
      </c>
      <c r="C121" s="93" t="s">
        <v>1135</v>
      </c>
      <c r="D121" s="93">
        <v>12.85</v>
      </c>
      <c r="E121" s="93" t="s">
        <v>1512</v>
      </c>
      <c r="F121" s="93" t="s">
        <v>1511</v>
      </c>
      <c r="G121" s="93">
        <f>0.111*D121+2.04</f>
        <v>3.4663500000000003</v>
      </c>
      <c r="H121" s="93">
        <f>0.09768*D121+1.7952</f>
        <v>3.0503879999999999</v>
      </c>
    </row>
    <row r="122" spans="1:34">
      <c r="C122" s="28"/>
    </row>
    <row r="123" spans="1:34">
      <c r="B123" s="94" t="s">
        <v>533</v>
      </c>
      <c r="C123" s="93"/>
      <c r="D123" s="93"/>
      <c r="E123" s="93"/>
      <c r="F123" s="93"/>
      <c r="G123" s="93"/>
      <c r="H123" s="93"/>
    </row>
    <row r="124" spans="1:34">
      <c r="B124" s="94" t="s">
        <v>22</v>
      </c>
      <c r="C124" s="94" t="s">
        <v>500</v>
      </c>
      <c r="D124" s="94" t="s">
        <v>10</v>
      </c>
      <c r="E124" s="497" t="s">
        <v>244</v>
      </c>
      <c r="F124" s="496" t="s">
        <v>9</v>
      </c>
      <c r="G124" s="94" t="s">
        <v>8</v>
      </c>
      <c r="H124" s="94" t="s">
        <v>7</v>
      </c>
    </row>
    <row r="125" spans="1:34">
      <c r="B125" s="94" t="s">
        <v>1510</v>
      </c>
      <c r="C125" s="93">
        <f>(VLOOKUP(B125,$B$117:$H$121,6,FALSE)-VLOOKUP(B125,$B$117:$H$121,7,FALSE))*$C$114</f>
        <v>95.301500000000118</v>
      </c>
      <c r="D125" s="93"/>
      <c r="E125" s="260">
        <f>C125/(VLOOKUP(B125,$B$117:$H$121,6,FALSE)*$C$114)</f>
        <v>7.000000000000009E-2</v>
      </c>
      <c r="F125" s="93"/>
      <c r="G125" s="93">
        <f>C125/$C$111</f>
        <v>0.19060300000000024</v>
      </c>
      <c r="H125" s="93">
        <f>1/COUNT($G$125:$G$128)</f>
        <v>0.25</v>
      </c>
    </row>
    <row r="126" spans="1:34">
      <c r="B126" s="94" t="s">
        <v>1509</v>
      </c>
      <c r="C126" s="93">
        <f>(VLOOKUP(B126,$B$117:$H$121,6,FALSE)-VLOOKUP(B126,$B$117:$H$121,7,FALSE))*$C$114</f>
        <v>155.91924000000009</v>
      </c>
      <c r="D126" s="93"/>
      <c r="E126" s="260">
        <f>C126/(VLOOKUP(B126,$B$117:$H$121,6,FALSE)*$C$114)</f>
        <v>0.12000000000000006</v>
      </c>
      <c r="F126" s="93"/>
      <c r="G126" s="93">
        <f>C126/$C$111</f>
        <v>0.3118384800000002</v>
      </c>
      <c r="H126" s="93">
        <f>1/COUNT($G$125:$G$128)</f>
        <v>0.25</v>
      </c>
    </row>
    <row r="127" spans="1:34">
      <c r="B127" s="94" t="s">
        <v>1364</v>
      </c>
      <c r="C127" s="93">
        <f>(VLOOKUP(B127,$B$117:$H$121,6,FALSE)-VLOOKUP(B127,$B$117:$H$121,7,FALSE))*$C$114</f>
        <v>96.198305000000175</v>
      </c>
      <c r="D127" s="93"/>
      <c r="E127" s="260">
        <f>C127/(VLOOKUP(B127,$B$117:$H$121,6,FALSE)*$C$114)</f>
        <v>7.0000000000000118E-2</v>
      </c>
      <c r="F127" s="93"/>
      <c r="G127" s="93">
        <f>C127/$C$111</f>
        <v>0.19239661000000036</v>
      </c>
      <c r="H127" s="93">
        <f>1/COUNT($G$125:$G$128)</f>
        <v>0.25</v>
      </c>
    </row>
    <row r="128" spans="1:34">
      <c r="B128" s="94" t="s">
        <v>1363</v>
      </c>
      <c r="C128" s="93">
        <f>(VLOOKUP(B128,$B$117:$H$121,6,FALSE)-VLOOKUP(B128,$B$117:$H$121,7,FALSE))*$C$114</f>
        <v>151.82613000000015</v>
      </c>
      <c r="D128" s="93"/>
      <c r="E128" s="260">
        <f>C128/(VLOOKUP(B128,$B$117:$H$121,6,FALSE)*$C$114)</f>
        <v>0.12000000000000012</v>
      </c>
      <c r="F128" s="93"/>
      <c r="G128" s="93">
        <f>C128/$C$111</f>
        <v>0.30365226000000028</v>
      </c>
      <c r="H128" s="93">
        <f>1/COUNT($G$125:$G$128)</f>
        <v>0.25</v>
      </c>
    </row>
    <row r="129" spans="2:8">
      <c r="B129" s="7" t="s">
        <v>0</v>
      </c>
      <c r="C129" s="7">
        <f>SUMPRODUCT(C125:C128,$H$125:$H$128)</f>
        <v>124.81129375000013</v>
      </c>
      <c r="D129" s="7">
        <f>SUMPRODUCT(D125:D128,$H$125:$H$128)</f>
        <v>0</v>
      </c>
      <c r="E129" s="7">
        <f>SUMPRODUCT(E125:E128,$H$125:$H$128)</f>
        <v>9.5000000000000098E-2</v>
      </c>
      <c r="F129" s="7">
        <f>SUMPRODUCT(F125:F128,$H$125:$H$128)</f>
        <v>0</v>
      </c>
      <c r="G129" s="7">
        <f>SUMPRODUCT(G125:G128,$H$125:$H$128)</f>
        <v>0.24962258750000027</v>
      </c>
      <c r="H129" s="93"/>
    </row>
    <row r="131" spans="2:8">
      <c r="F131"/>
    </row>
    <row r="132" spans="2:8" ht="14.65" customHeight="1">
      <c r="F132"/>
    </row>
    <row r="133" spans="2:8">
      <c r="F133"/>
    </row>
    <row r="134" spans="2:8" ht="14.65" customHeight="1">
      <c r="F134"/>
    </row>
    <row r="135" spans="2:8">
      <c r="F135"/>
    </row>
    <row r="136" spans="2:8">
      <c r="F136"/>
    </row>
    <row r="137" spans="2:8">
      <c r="F137"/>
    </row>
    <row r="138" spans="2:8">
      <c r="F138"/>
    </row>
  </sheetData>
  <dataValidations count="5">
    <dataValidation type="list" allowBlank="1" showInputMessage="1" showErrorMessage="1" sqref="C59:L59" xr:uid="{00000000-0002-0000-9F00-000004000000}">
      <formula1>$N$19:$AQ$19</formula1>
    </dataValidation>
    <dataValidation type="list" allowBlank="1" showInputMessage="1" showErrorMessage="1" sqref="E11:E20" xr:uid="{00000000-0002-0000-9F00-000003000000}">
      <formula1>$N$16:$O$16</formula1>
    </dataValidation>
    <dataValidation type="list" allowBlank="1" showInputMessage="1" showErrorMessage="1" sqref="D11:D20" xr:uid="{00000000-0002-0000-9F00-000002000000}">
      <formula1>$N$22:$AE$22</formula1>
    </dataValidation>
    <dataValidation type="list" allowBlank="1" showInputMessage="1" showErrorMessage="1" sqref="B11:C20" xr:uid="{00000000-0002-0000-9F00-000001000000}">
      <formula1>$N$7:$Q$7</formula1>
    </dataValidation>
    <dataValidation type="list" allowBlank="1" showInputMessage="1" showErrorMessage="1" sqref="D7" xr:uid="{00000000-0002-0000-9F00-000000000000}">
      <formula1>$N$11:$O$11</formula1>
    </dataValidation>
  </dataValidations>
  <pageMargins left="0.7" right="0.7" top="0.75" bottom="0.75" header="0.3" footer="0.3"/>
  <pageSetup orientation="portrait" r:id="rId1"/>
  <legacy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EF5A-6C5B-4D62-AA7F-24E13E34264E}">
  <sheetPr codeName="Sheet32">
    <tabColor indexed="9"/>
  </sheetPr>
  <dimension ref="A1:AQ164"/>
  <sheetViews>
    <sheetView workbookViewId="0">
      <selection activeCell="D7" sqref="D7"/>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Refrigerator</v>
      </c>
      <c r="C7" s="98" t="s">
        <v>655</v>
      </c>
      <c r="D7" s="97" t="s">
        <v>211</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Refrigerator_CI,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CI ES Refrigerator_CI,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Refrigerator_CI, E - Refr (MD)</v>
      </c>
      <c r="D33" s="83" t="str">
        <f t="shared" ca="1" si="5"/>
        <v>CI ES Refrigerator_CI,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Refrigerator_CI, E - Refr (MD)</v>
      </c>
      <c r="N33" s="84" t="str">
        <f t="shared" ca="1" si="6"/>
        <v>CI ES Refrigerator_CI,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ES Refrigerator_CI, E - Refr (MD)</v>
      </c>
      <c r="D35" s="65" t="str">
        <f ca="1">D33</f>
        <v>CI ES Refrigerator_CI,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710" t="s">
        <v>632</v>
      </c>
      <c r="C124" s="710"/>
      <c r="D124" s="710" t="s">
        <v>631</v>
      </c>
      <c r="E124" s="710"/>
      <c r="F124" s="710"/>
      <c r="G124" s="710" t="s">
        <v>630</v>
      </c>
      <c r="H124" s="710"/>
      <c r="I124" s="710"/>
      <c r="J124" s="93"/>
      <c r="K124" s="93"/>
      <c r="L124" s="93"/>
      <c r="M124" s="93"/>
      <c r="N124" s="93"/>
    </row>
    <row r="125" spans="2:14">
      <c r="B125" s="711"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711"/>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c r="B127" s="711"/>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c r="B128" s="711"/>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c r="B129" s="711"/>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c r="B130" s="711"/>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c r="B131" s="711"/>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c r="B132" s="711"/>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c r="B133" s="711"/>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c r="B134" s="711"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c r="B135" s="711"/>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c r="B136" s="711"/>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c r="B137" s="711"/>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c r="B138" s="711"/>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c r="B139" s="711"/>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c r="B140" s="711"/>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c r="B141" s="711"/>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710" t="s">
        <v>632</v>
      </c>
      <c r="C146" s="710"/>
      <c r="D146" s="710" t="s">
        <v>2312</v>
      </c>
      <c r="E146" s="710"/>
      <c r="F146" s="710"/>
      <c r="G146" s="710" t="s">
        <v>630</v>
      </c>
      <c r="H146" s="710"/>
      <c r="I146" s="710"/>
      <c r="J146" s="93"/>
      <c r="K146" s="93"/>
      <c r="L146" s="93"/>
      <c r="M146" s="93"/>
      <c r="N146" s="93"/>
    </row>
    <row r="147" spans="2:14">
      <c r="B147" s="711"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711"/>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c r="B149" s="711"/>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c r="B150" s="711"/>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c r="B151" s="711"/>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c r="B152" s="711"/>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c r="B153" s="711"/>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c r="B154" s="711"/>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c r="B155" s="711"/>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c r="B156" s="711"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c r="B157" s="711"/>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c r="B158" s="711"/>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c r="B159" s="711"/>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c r="B160" s="711"/>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c r="B161" s="711"/>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c r="B162" s="711"/>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c r="B163" s="711"/>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D7" xr:uid="{B50723DF-C286-4540-8BE0-6470AF2BB6D6}">
      <formula1>$N$11:$O$11</formula1>
    </dataValidation>
    <dataValidation type="list" allowBlank="1" showInputMessage="1" showErrorMessage="1" sqref="B11:C20" xr:uid="{75C833CC-CBA2-4442-B5AE-8D911CCF9D93}">
      <formula1>$N$7:$Q$7</formula1>
    </dataValidation>
    <dataValidation type="list" allowBlank="1" showInputMessage="1" showErrorMessage="1" sqref="D11:D20" xr:uid="{B7967B02-64AD-4AC2-A500-DDE75F001D6F}">
      <formula1>$N$22:$AE$22</formula1>
    </dataValidation>
    <dataValidation type="list" allowBlank="1" showInputMessage="1" showErrorMessage="1" sqref="E11:E20" xr:uid="{CA9D5D70-3332-4A98-94A5-6C68B18CCBD8}">
      <formula1>$N$16:$O$16</formula1>
    </dataValidation>
    <dataValidation type="list" allowBlank="1" showInputMessage="1" showErrorMessage="1" sqref="C59:L59" xr:uid="{7045FED4-34BF-4D62-8156-93B9CB3217AD}">
      <formula1>$N$19:$AQ$19</formula1>
    </dataValidation>
  </dataValidation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9ACB-3A15-4F1C-823F-AC6AE296D046}">
  <sheetPr codeName="Sheet33">
    <tabColor indexed="9"/>
  </sheetPr>
  <dimension ref="A1:AQ164"/>
  <sheetViews>
    <sheetView workbookViewId="0">
      <selection activeCell="D7" sqref="D7"/>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Refrigerator Res Style</v>
      </c>
      <c r="C7" s="98" t="s">
        <v>655</v>
      </c>
      <c r="D7" s="97" t="s">
        <v>211</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 Res Style_CI,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CI ES Refrigerator Res Style_CI,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Refrigerator Res Style_CI, E - Refr (MD)</v>
      </c>
      <c r="D33" s="83" t="str">
        <f t="shared" ca="1" si="5"/>
        <v>CI ES Refrigerator Res Style_CI,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 Res Style_CI, E - Refr (MD)</v>
      </c>
      <c r="N33" s="84" t="str">
        <f t="shared" ca="1" si="6"/>
        <v>CI ES Refrigerator Res Style_CI,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ES Refrigerator Res Style_CI, E - Refr (MD)</v>
      </c>
      <c r="D35" s="65" t="str">
        <f ca="1">D33</f>
        <v>CI ES Refrigerator Res Style_CI,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710" t="s">
        <v>632</v>
      </c>
      <c r="C124" s="710"/>
      <c r="D124" s="710" t="s">
        <v>631</v>
      </c>
      <c r="E124" s="710"/>
      <c r="F124" s="710"/>
      <c r="G124" s="710" t="s">
        <v>630</v>
      </c>
      <c r="H124" s="710"/>
      <c r="I124" s="710"/>
      <c r="J124" s="93"/>
      <c r="K124" s="93"/>
      <c r="L124" s="93"/>
      <c r="M124" s="93"/>
      <c r="N124" s="93"/>
    </row>
    <row r="125" spans="2:14">
      <c r="B125" s="711"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711"/>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c r="B127" s="711"/>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c r="B128" s="711"/>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c r="B129" s="711"/>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c r="B130" s="711"/>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c r="B131" s="711"/>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c r="B132" s="711"/>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c r="B133" s="711"/>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c r="B134" s="711"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c r="B135" s="711"/>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c r="B136" s="711"/>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c r="B137" s="711"/>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c r="B138" s="711"/>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c r="B139" s="711"/>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c r="B140" s="711"/>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c r="B141" s="711"/>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710" t="s">
        <v>632</v>
      </c>
      <c r="C146" s="710"/>
      <c r="D146" s="710" t="s">
        <v>2312</v>
      </c>
      <c r="E146" s="710"/>
      <c r="F146" s="710"/>
      <c r="G146" s="710" t="s">
        <v>630</v>
      </c>
      <c r="H146" s="710"/>
      <c r="I146" s="710"/>
      <c r="J146" s="93"/>
      <c r="K146" s="93"/>
      <c r="L146" s="93"/>
      <c r="M146" s="93"/>
      <c r="N146" s="93"/>
    </row>
    <row r="147" spans="2:14">
      <c r="B147" s="711"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711"/>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c r="B149" s="711"/>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c r="B150" s="711"/>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c r="B151" s="711"/>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c r="B152" s="711"/>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c r="B153" s="711"/>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c r="B154" s="711"/>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c r="B155" s="711"/>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c r="B156" s="711"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c r="B157" s="711"/>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c r="B158" s="711"/>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c r="B159" s="711"/>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c r="B160" s="711"/>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c r="B161" s="711"/>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c r="B162" s="711"/>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c r="B163" s="711"/>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C59:L59" xr:uid="{3CEC06F2-AB5B-4C51-B8AB-D6DA0F75CFFE}">
      <formula1>$N$19:$AQ$19</formula1>
    </dataValidation>
    <dataValidation type="list" allowBlank="1" showInputMessage="1" showErrorMessage="1" sqref="E11:E20" xr:uid="{36DDF184-7CD7-48A5-B8A9-FCAFFEF0AB4E}">
      <formula1>$N$16:$O$16</formula1>
    </dataValidation>
    <dataValidation type="list" allowBlank="1" showInputMessage="1" showErrorMessage="1" sqref="D11:D20" xr:uid="{C2C0669E-38FC-4E6E-992E-487BA3421DD6}">
      <formula1>$N$22:$AE$22</formula1>
    </dataValidation>
    <dataValidation type="list" allowBlank="1" showInputMessage="1" showErrorMessage="1" sqref="B11:C20" xr:uid="{E7DC216F-AA65-49C0-9A06-3E64421D2669}">
      <formula1>$N$7:$Q$7</formula1>
    </dataValidation>
    <dataValidation type="list" allowBlank="1" showInputMessage="1" showErrorMessage="1" sqref="D7" xr:uid="{F954380B-E724-4B7C-A507-F5B86751B196}">
      <formula1>$N$11:$O$11</formula1>
    </dataValidation>
  </dataValidation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820B-6809-4B7B-8FC8-3D1E229A158A}">
  <sheetPr codeName="Sheet4">
    <tabColor indexed="9"/>
  </sheetPr>
  <dimension ref="A1:AQ132"/>
  <sheetViews>
    <sheetView topLeftCell="A27" zoomScale="85" zoomScaleNormal="85" workbookViewId="0">
      <selection activeCell="C54" sqref="C54"/>
    </sheetView>
  </sheetViews>
  <sheetFormatPr defaultColWidth="8.85546875" defaultRowHeight="15"/>
  <cols>
    <col min="1" max="1" width="10.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Evap Fan Speed Controls</v>
      </c>
      <c r="C7" s="98" t="s">
        <v>1555</v>
      </c>
      <c r="D7" s="97" t="s">
        <v>211</v>
      </c>
      <c r="E7" s="97">
        <f>C110</f>
        <v>13</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Speed Controls_CI, E - Refr (RET)</v>
      </c>
      <c r="J11" s="83" t="str">
        <f t="shared" ref="J11:J20" si="3">IF(B11="","",CONCATENATE($C$7,IF(C11="","",CONCATENATE(" with ",C11," Secondary Fuel"))))</f>
        <v>Evaporator Fan Speed Controls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Evap Fan Speed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Speed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Evaporator Fan Speed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Evap Fan Speed Controls_CI, E - Refr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Evaporator Fan Speed Controls</v>
      </c>
      <c r="D36" s="65"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13</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Evaporator Fan Speed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1553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2393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C132</f>
        <v>1350.1666666666665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E132</f>
        <v>0</v>
      </c>
      <c r="D65" s="74"/>
      <c r="E65" s="67"/>
      <c r="F65" s="65"/>
      <c r="G65" s="65"/>
      <c r="H65" s="65"/>
      <c r="I65" s="65"/>
      <c r="J65" s="65"/>
      <c r="K65" s="65"/>
      <c r="L65" s="65"/>
      <c r="M65" s="69" t="s">
        <v>1552</v>
      </c>
      <c r="N65" s="69" t="s">
        <v>1552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161.75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G132</f>
        <v>0.2997338221302312</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Evaporator Fan Speed Controls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1551</v>
      </c>
    </row>
    <row r="107" spans="1:22" s="63" customFormat="1" ht="15.75" thickBot="1">
      <c r="B107" s="63" t="s">
        <v>50</v>
      </c>
    </row>
    <row r="109" spans="1:22">
      <c r="B109" s="505" t="s">
        <v>46</v>
      </c>
      <c r="C109" s="505" t="s">
        <v>45</v>
      </c>
      <c r="D109" s="505" t="s">
        <v>44</v>
      </c>
      <c r="E109" s="505" t="s">
        <v>43</v>
      </c>
    </row>
    <row r="110" spans="1:22">
      <c r="B110" s="286" t="s">
        <v>518</v>
      </c>
      <c r="C110" s="286">
        <v>13</v>
      </c>
      <c r="D110" s="286" t="s">
        <v>1547</v>
      </c>
      <c r="E110" s="286"/>
    </row>
    <row r="111" spans="1:22">
      <c r="B111" s="93" t="s">
        <v>438</v>
      </c>
      <c r="C111" s="93">
        <v>161.75</v>
      </c>
      <c r="D111" s="286" t="s">
        <v>1547</v>
      </c>
      <c r="E111" s="93"/>
    </row>
    <row r="112" spans="1:22">
      <c r="B112" s="93" t="s">
        <v>1544</v>
      </c>
      <c r="C112" s="93" t="s">
        <v>35</v>
      </c>
      <c r="D112" s="286" t="s">
        <v>1547</v>
      </c>
      <c r="E112" s="286" t="s">
        <v>1550</v>
      </c>
    </row>
    <row r="113" spans="2:8">
      <c r="B113" s="93" t="s">
        <v>1543</v>
      </c>
      <c r="C113" s="93" t="s">
        <v>35</v>
      </c>
      <c r="D113" s="286" t="s">
        <v>1547</v>
      </c>
      <c r="E113" s="286" t="s">
        <v>1549</v>
      </c>
    </row>
    <row r="114" spans="2:8">
      <c r="B114" s="93" t="s">
        <v>1548</v>
      </c>
      <c r="C114" s="93">
        <v>1</v>
      </c>
      <c r="D114" s="286" t="s">
        <v>1547</v>
      </c>
      <c r="E114" s="93" t="s">
        <v>1546</v>
      </c>
    </row>
    <row r="116" spans="2:8">
      <c r="B116" s="94" t="s">
        <v>1545</v>
      </c>
      <c r="C116" s="94" t="s">
        <v>1544</v>
      </c>
      <c r="D116" s="94" t="s">
        <v>1543</v>
      </c>
    </row>
    <row r="117" spans="2:8">
      <c r="B117" s="93" t="s">
        <v>1541</v>
      </c>
      <c r="C117" s="93">
        <v>198</v>
      </c>
      <c r="D117" s="93">
        <v>2.3E-2</v>
      </c>
    </row>
    <row r="118" spans="2:8">
      <c r="B118" s="93" t="s">
        <v>1540</v>
      </c>
      <c r="C118" s="93">
        <v>293</v>
      </c>
      <c r="D118" s="93">
        <v>3.3000000000000002E-2</v>
      </c>
    </row>
    <row r="119" spans="2:8">
      <c r="B119" s="93" t="s">
        <v>1539</v>
      </c>
      <c r="C119" s="93">
        <v>856</v>
      </c>
      <c r="D119" s="93">
        <v>9.8000000000000004E-2</v>
      </c>
    </row>
    <row r="120" spans="2:8">
      <c r="B120" s="93" t="s">
        <v>1538</v>
      </c>
      <c r="C120" s="93">
        <v>1419</v>
      </c>
      <c r="D120" s="93">
        <v>0.16200000000000001</v>
      </c>
    </row>
    <row r="121" spans="2:8">
      <c r="B121" s="93" t="s">
        <v>1537</v>
      </c>
      <c r="C121" s="93">
        <v>2126</v>
      </c>
      <c r="D121" s="93">
        <v>0.24299999999999999</v>
      </c>
    </row>
    <row r="122" spans="2:8">
      <c r="B122" s="93" t="s">
        <v>1536</v>
      </c>
      <c r="C122" s="93">
        <v>3209</v>
      </c>
      <c r="D122" s="93">
        <v>0.36599999999999999</v>
      </c>
    </row>
    <row r="124" spans="2:8">
      <c r="B124" s="94" t="s">
        <v>533</v>
      </c>
      <c r="C124" s="93"/>
      <c r="D124" s="93"/>
      <c r="E124" s="93"/>
      <c r="F124" s="93"/>
      <c r="G124" s="93"/>
      <c r="H124" s="93"/>
    </row>
    <row r="125" spans="2:8">
      <c r="B125" s="94" t="s">
        <v>1542</v>
      </c>
      <c r="C125" s="94" t="s">
        <v>500</v>
      </c>
      <c r="D125" s="94" t="s">
        <v>10</v>
      </c>
      <c r="E125" s="497" t="s">
        <v>244</v>
      </c>
      <c r="F125" s="496" t="s">
        <v>9</v>
      </c>
      <c r="G125" s="94" t="s">
        <v>8</v>
      </c>
      <c r="H125" s="94" t="s">
        <v>7</v>
      </c>
    </row>
    <row r="126" spans="2:8">
      <c r="B126" s="93" t="s">
        <v>1541</v>
      </c>
      <c r="C126" s="93">
        <f t="shared" ref="C126:C131" si="28">VLOOKUP(B126,$B$116:$D$122,2,FALSE)*$C$114</f>
        <v>198</v>
      </c>
      <c r="D126" s="93">
        <f t="shared" ref="D126:D131" si="29">VLOOKUP(B126,$B$116:$D$122,3,FALSE)*$C$114</f>
        <v>2.3E-2</v>
      </c>
      <c r="E126" s="497"/>
      <c r="F126" s="496"/>
      <c r="G126" s="93">
        <f t="shared" ref="G126:G131" si="30">$C$111/C126</f>
        <v>0.81691919191919193</v>
      </c>
      <c r="H126" s="94">
        <f t="shared" ref="H126:H131" si="31">1/COUNT($G$126:$G$131)</f>
        <v>0.16666666666666666</v>
      </c>
    </row>
    <row r="127" spans="2:8">
      <c r="B127" s="93" t="s">
        <v>1540</v>
      </c>
      <c r="C127" s="93">
        <f t="shared" si="28"/>
        <v>293</v>
      </c>
      <c r="D127" s="93">
        <f t="shared" si="29"/>
        <v>3.3000000000000002E-2</v>
      </c>
      <c r="E127" s="260"/>
      <c r="F127" s="93"/>
      <c r="G127" s="93">
        <f t="shared" si="30"/>
        <v>0.55204778156996592</v>
      </c>
      <c r="H127" s="94">
        <f t="shared" si="31"/>
        <v>0.16666666666666666</v>
      </c>
    </row>
    <row r="128" spans="2:8">
      <c r="B128" s="93" t="s">
        <v>1539</v>
      </c>
      <c r="C128" s="93">
        <f t="shared" si="28"/>
        <v>856</v>
      </c>
      <c r="D128" s="93">
        <f t="shared" si="29"/>
        <v>9.8000000000000004E-2</v>
      </c>
      <c r="E128" s="260"/>
      <c r="F128" s="93"/>
      <c r="G128" s="93">
        <f t="shared" si="30"/>
        <v>0.18896028037383178</v>
      </c>
      <c r="H128" s="94">
        <f t="shared" si="31"/>
        <v>0.16666666666666666</v>
      </c>
    </row>
    <row r="129" spans="2:8">
      <c r="B129" s="93" t="s">
        <v>1538</v>
      </c>
      <c r="C129" s="93">
        <f t="shared" si="28"/>
        <v>1419</v>
      </c>
      <c r="D129" s="93">
        <f t="shared" si="29"/>
        <v>0.16200000000000001</v>
      </c>
      <c r="E129" s="260"/>
      <c r="F129" s="93"/>
      <c r="G129" s="93">
        <f t="shared" si="30"/>
        <v>0.11398872445384073</v>
      </c>
      <c r="H129" s="94">
        <f t="shared" si="31"/>
        <v>0.16666666666666666</v>
      </c>
    </row>
    <row r="130" spans="2:8">
      <c r="B130" s="93" t="s">
        <v>1537</v>
      </c>
      <c r="C130" s="93">
        <f t="shared" si="28"/>
        <v>2126</v>
      </c>
      <c r="D130" s="93">
        <f t="shared" si="29"/>
        <v>0.24299999999999999</v>
      </c>
      <c r="E130" s="260"/>
      <c r="F130" s="93"/>
      <c r="G130" s="93">
        <f t="shared" si="30"/>
        <v>7.6081843838193788E-2</v>
      </c>
      <c r="H130" s="94">
        <f t="shared" si="31"/>
        <v>0.16666666666666666</v>
      </c>
    </row>
    <row r="131" spans="2:8">
      <c r="B131" s="93" t="s">
        <v>1536</v>
      </c>
      <c r="C131" s="93">
        <f t="shared" si="28"/>
        <v>3209</v>
      </c>
      <c r="D131" s="93">
        <f t="shared" si="29"/>
        <v>0.36599999999999999</v>
      </c>
      <c r="E131" s="93"/>
      <c r="F131" s="93"/>
      <c r="G131" s="93">
        <f t="shared" si="30"/>
        <v>5.0405110626363353E-2</v>
      </c>
      <c r="H131" s="94">
        <f t="shared" si="31"/>
        <v>0.16666666666666666</v>
      </c>
    </row>
    <row r="132" spans="2:8">
      <c r="B132" s="7" t="s">
        <v>0</v>
      </c>
      <c r="C132" s="7">
        <f>SUMPRODUCT(C126:C131,$H$126:$H$131)</f>
        <v>1350.1666666666665</v>
      </c>
      <c r="D132" s="7">
        <f>SUMPRODUCT(D126:D131,$H$126:$H$131)</f>
        <v>0.15416666666666667</v>
      </c>
      <c r="E132" s="7">
        <f>SUMPRODUCT(E126:E131,$H$126:$H$131)</f>
        <v>0</v>
      </c>
      <c r="F132" s="7">
        <f>SUMPRODUCT(F126:F131,$H$126:$H$131)</f>
        <v>0</v>
      </c>
      <c r="G132" s="7">
        <f>SUMPRODUCT(G126:G131,$H$126:$H$131)</f>
        <v>0.2997338221302312</v>
      </c>
      <c r="H132" s="93"/>
    </row>
  </sheetData>
  <dataValidations count="5">
    <dataValidation type="list" allowBlank="1" showInputMessage="1" showErrorMessage="1" sqref="C59:L59" xr:uid="{00000000-0002-0000-A200-000004000000}">
      <formula1>$N$19:$AQ$19</formula1>
    </dataValidation>
    <dataValidation type="list" allowBlank="1" showInputMessage="1" showErrorMessage="1" sqref="E11:E20" xr:uid="{00000000-0002-0000-A200-000003000000}">
      <formula1>$N$16:$O$16</formula1>
    </dataValidation>
    <dataValidation type="list" allowBlank="1" showInputMessage="1" showErrorMessage="1" sqref="D11:D20" xr:uid="{00000000-0002-0000-A200-000002000000}">
      <formula1>$N$22:$AE$22</formula1>
    </dataValidation>
    <dataValidation type="list" allowBlank="1" showInputMessage="1" showErrorMessage="1" sqref="B11:C20" xr:uid="{00000000-0002-0000-A200-000001000000}">
      <formula1>$N$7:$Q$7</formula1>
    </dataValidation>
    <dataValidation type="list" allowBlank="1" showInputMessage="1" showErrorMessage="1" sqref="D7" xr:uid="{00000000-0002-0000-A200-000000000000}">
      <formula1>$N$11:$O$11</formula1>
    </dataValidation>
  </dataValidation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7C44-941C-4CBC-BD93-37D6B76455CA}">
  <sheetPr codeName="Sheet282">
    <tabColor indexed="9"/>
  </sheetPr>
  <dimension ref="A1:AQ148"/>
  <sheetViews>
    <sheetView topLeftCell="A18"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Floating Head Pressure Ctrl</v>
      </c>
      <c r="C7" s="97" t="s">
        <v>1576</v>
      </c>
      <c r="D7" s="97" t="s">
        <v>211</v>
      </c>
      <c r="E7" s="97">
        <f>C110</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Floating Head Pressure Ctrl_CI, E - Refr (RET)</v>
      </c>
      <c r="J11" s="83" t="str">
        <f t="shared" ref="J11:J20" si="3">IF(B11="","",CONCATENATE($C$7,IF(C11="","",CONCATENATE(" with ",C11," Secondary Fuel"))))</f>
        <v>Floating Head Pressure Control</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Floating Head Pressure Ctrl_CI,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Floating Head Pressure Ctrl_CI,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Floating Head Pressure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Floating Head Pressure Ctrl_CI,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Floating Head Pressure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Floating Head Pressure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2395</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2394</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D148</f>
        <v>854.66666666666652</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F148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C111</f>
        <v>161.75</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H148</f>
        <v>0.21519721128773045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Floating Head Pressure Control</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1571</v>
      </c>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1567</v>
      </c>
      <c r="E110" s="286"/>
    </row>
    <row r="111" spans="1:22">
      <c r="B111" s="93" t="s">
        <v>438</v>
      </c>
      <c r="C111" s="93">
        <v>161.75</v>
      </c>
      <c r="D111" s="286" t="s">
        <v>1567</v>
      </c>
      <c r="E111" s="93"/>
    </row>
    <row r="112" spans="1:22">
      <c r="B112" s="93" t="s">
        <v>1570</v>
      </c>
      <c r="C112" s="97">
        <v>3</v>
      </c>
      <c r="D112" s="286" t="s">
        <v>1567</v>
      </c>
      <c r="E112" s="286" t="s">
        <v>1569</v>
      </c>
    </row>
    <row r="113" spans="2:6">
      <c r="B113" s="93" t="s">
        <v>1568</v>
      </c>
      <c r="C113" s="93" t="s">
        <v>35</v>
      </c>
      <c r="D113" s="286" t="s">
        <v>1567</v>
      </c>
      <c r="E113" s="286" t="s">
        <v>1566</v>
      </c>
    </row>
    <row r="114" spans="2:6">
      <c r="B114" s="93"/>
      <c r="C114" s="93"/>
      <c r="D114" s="286"/>
      <c r="E114" s="93"/>
    </row>
    <row r="117" spans="2:6">
      <c r="B117" s="94" t="s">
        <v>1466</v>
      </c>
      <c r="C117" s="94" t="s">
        <v>1562</v>
      </c>
      <c r="D117" s="94" t="s">
        <v>1565</v>
      </c>
      <c r="E117" s="94" t="s">
        <v>1564</v>
      </c>
      <c r="F117" s="94" t="s">
        <v>1556</v>
      </c>
    </row>
    <row r="118" spans="2:6">
      <c r="B118" s="93" t="s">
        <v>1462</v>
      </c>
      <c r="C118" s="93" t="s">
        <v>1558</v>
      </c>
      <c r="D118" s="93">
        <v>252</v>
      </c>
      <c r="E118" s="93">
        <v>131</v>
      </c>
      <c r="F118" s="93">
        <v>170</v>
      </c>
    </row>
    <row r="119" spans="2:6">
      <c r="B119" s="93" t="s">
        <v>1462</v>
      </c>
      <c r="C119" s="93" t="s">
        <v>1557</v>
      </c>
      <c r="D119" s="93">
        <v>482</v>
      </c>
      <c r="E119" s="93">
        <v>451</v>
      </c>
      <c r="F119" s="93">
        <v>461</v>
      </c>
    </row>
    <row r="120" spans="2:6">
      <c r="B120" s="93" t="s">
        <v>1462</v>
      </c>
      <c r="C120" s="93" t="s">
        <v>841</v>
      </c>
      <c r="D120" s="93">
        <v>367</v>
      </c>
      <c r="E120" s="93">
        <v>291</v>
      </c>
      <c r="F120" s="93">
        <v>315</v>
      </c>
    </row>
    <row r="121" spans="2:6">
      <c r="B121" s="93" t="s">
        <v>1461</v>
      </c>
      <c r="C121" s="93" t="s">
        <v>1558</v>
      </c>
      <c r="D121" s="93">
        <v>252</v>
      </c>
      <c r="E121" s="93">
        <v>131</v>
      </c>
      <c r="F121" s="93">
        <v>170</v>
      </c>
    </row>
    <row r="122" spans="2:6">
      <c r="B122" s="93" t="s">
        <v>1461</v>
      </c>
      <c r="C122" s="93" t="s">
        <v>1557</v>
      </c>
      <c r="D122" s="93">
        <v>465</v>
      </c>
      <c r="E122" s="93">
        <v>435</v>
      </c>
      <c r="F122" s="93">
        <v>445</v>
      </c>
    </row>
    <row r="123" spans="2:6">
      <c r="B123" s="93" t="s">
        <v>1461</v>
      </c>
      <c r="C123" s="93" t="s">
        <v>841</v>
      </c>
      <c r="D123" s="93">
        <v>358</v>
      </c>
      <c r="E123" s="93">
        <v>283</v>
      </c>
      <c r="F123" s="93">
        <v>307</v>
      </c>
    </row>
    <row r="124" spans="2:6">
      <c r="B124" s="93" t="s">
        <v>1460</v>
      </c>
      <c r="C124" s="93" t="s">
        <v>1558</v>
      </c>
      <c r="D124" s="93">
        <v>252</v>
      </c>
      <c r="E124" s="93">
        <v>131</v>
      </c>
      <c r="F124" s="93">
        <v>170</v>
      </c>
    </row>
    <row r="125" spans="2:6">
      <c r="B125" s="93" t="s">
        <v>1460</v>
      </c>
      <c r="C125" s="93" t="s">
        <v>1557</v>
      </c>
      <c r="D125" s="93">
        <v>403</v>
      </c>
      <c r="E125" s="93">
        <v>377</v>
      </c>
      <c r="F125" s="93">
        <v>385</v>
      </c>
    </row>
    <row r="126" spans="2:6">
      <c r="B126" s="93" t="s">
        <v>1460</v>
      </c>
      <c r="C126" s="93" t="s">
        <v>841</v>
      </c>
      <c r="D126" s="93">
        <v>327</v>
      </c>
      <c r="E126" s="93">
        <v>254</v>
      </c>
      <c r="F126" s="93">
        <v>278</v>
      </c>
    </row>
    <row r="127" spans="2:6">
      <c r="B127" s="93" t="s">
        <v>1459</v>
      </c>
      <c r="C127" s="93" t="s">
        <v>1558</v>
      </c>
      <c r="D127" s="93">
        <v>252</v>
      </c>
      <c r="E127" s="93">
        <v>131</v>
      </c>
      <c r="F127" s="93">
        <v>170</v>
      </c>
    </row>
    <row r="128" spans="2:6">
      <c r="B128" s="93" t="s">
        <v>1459</v>
      </c>
      <c r="C128" s="93" t="s">
        <v>1557</v>
      </c>
      <c r="D128" s="93">
        <v>321</v>
      </c>
      <c r="E128" s="93">
        <v>301</v>
      </c>
      <c r="F128" s="93">
        <v>307</v>
      </c>
    </row>
    <row r="129" spans="2:9">
      <c r="B129" s="93" t="s">
        <v>1459</v>
      </c>
      <c r="C129" s="93" t="s">
        <v>841</v>
      </c>
      <c r="D129" s="93">
        <v>287</v>
      </c>
      <c r="E129" s="93">
        <v>216</v>
      </c>
      <c r="F129" s="93">
        <v>239</v>
      </c>
    </row>
    <row r="130" spans="2:9">
      <c r="B130" s="93" t="s">
        <v>1458</v>
      </c>
      <c r="C130" s="93" t="s">
        <v>1558</v>
      </c>
      <c r="D130" s="93">
        <v>252</v>
      </c>
      <c r="E130" s="93">
        <v>131</v>
      </c>
      <c r="F130" s="93">
        <v>170</v>
      </c>
    </row>
    <row r="131" spans="2:9">
      <c r="B131" s="93" t="s">
        <v>1458</v>
      </c>
      <c r="C131" s="93" t="s">
        <v>1557</v>
      </c>
      <c r="D131" s="93">
        <v>328</v>
      </c>
      <c r="E131" s="93">
        <v>307</v>
      </c>
      <c r="F131" s="93">
        <v>314</v>
      </c>
    </row>
    <row r="132" spans="2:9">
      <c r="B132" s="93" t="s">
        <v>1458</v>
      </c>
      <c r="C132" s="93" t="s">
        <v>841</v>
      </c>
      <c r="D132" s="93">
        <v>290</v>
      </c>
      <c r="E132" s="93">
        <v>219</v>
      </c>
      <c r="F132" s="93">
        <v>242</v>
      </c>
    </row>
    <row r="133" spans="2:9">
      <c r="B133" s="94" t="s">
        <v>590</v>
      </c>
      <c r="C133" s="94" t="s">
        <v>1558</v>
      </c>
      <c r="D133" s="94">
        <f t="shared" ref="D133:F135" si="29">AVERAGE(D118,D121,D124,D127,D130)</f>
        <v>252</v>
      </c>
      <c r="E133" s="94">
        <f t="shared" si="29"/>
        <v>131</v>
      </c>
      <c r="F133" s="94">
        <f t="shared" si="29"/>
        <v>170</v>
      </c>
    </row>
    <row r="134" spans="2:9">
      <c r="B134" s="94" t="s">
        <v>590</v>
      </c>
      <c r="C134" s="94" t="s">
        <v>1557</v>
      </c>
      <c r="D134" s="94">
        <f t="shared" si="29"/>
        <v>399.8</v>
      </c>
      <c r="E134" s="94">
        <f t="shared" si="29"/>
        <v>374.2</v>
      </c>
      <c r="F134" s="94">
        <f t="shared" si="29"/>
        <v>382.4</v>
      </c>
    </row>
    <row r="135" spans="2:9">
      <c r="B135" s="94" t="s">
        <v>590</v>
      </c>
      <c r="C135" s="94" t="s">
        <v>841</v>
      </c>
      <c r="D135" s="94">
        <f t="shared" si="29"/>
        <v>325.8</v>
      </c>
      <c r="E135" s="94">
        <f t="shared" si="29"/>
        <v>252.6</v>
      </c>
      <c r="F135" s="94">
        <f t="shared" si="29"/>
        <v>276.2</v>
      </c>
    </row>
    <row r="136" spans="2:9">
      <c r="B136" s="93"/>
      <c r="C136" s="94"/>
      <c r="D136" s="94"/>
      <c r="E136" s="94"/>
      <c r="F136" s="94"/>
    </row>
    <row r="138" spans="2:9">
      <c r="B138" s="94" t="s">
        <v>1563</v>
      </c>
      <c r="C138" s="94" t="s">
        <v>1562</v>
      </c>
      <c r="D138" s="94" t="s">
        <v>1561</v>
      </c>
      <c r="E138" s="94" t="s">
        <v>499</v>
      </c>
      <c r="F138" s="497" t="s">
        <v>244</v>
      </c>
      <c r="G138" s="496" t="s">
        <v>9</v>
      </c>
      <c r="H138" s="94" t="s">
        <v>8</v>
      </c>
      <c r="I138" s="94" t="s">
        <v>7</v>
      </c>
    </row>
    <row r="139" spans="2:9">
      <c r="B139" s="94" t="s">
        <v>1560</v>
      </c>
      <c r="C139" s="94" t="s">
        <v>1558</v>
      </c>
      <c r="D139" s="93">
        <f>$C$112*VLOOKUP(C139,$C$133:$F$136,2,FALSE)</f>
        <v>756</v>
      </c>
      <c r="E139" s="93"/>
      <c r="F139" s="93"/>
      <c r="G139" s="93"/>
      <c r="H139" s="93">
        <f t="shared" ref="H139:H147" si="30">$C$111/D139</f>
        <v>0.21395502645502645</v>
      </c>
      <c r="I139" s="93">
        <f>1/COUNT($H$139:$H$147)</f>
        <v>0.1111111111111111</v>
      </c>
    </row>
    <row r="140" spans="2:9">
      <c r="B140" s="94" t="s">
        <v>1560</v>
      </c>
      <c r="C140" s="94" t="s">
        <v>1557</v>
      </c>
      <c r="D140" s="93">
        <f>$C$112*VLOOKUP(C140,$C$133:$F$136,2,FALSE)</f>
        <v>1199.4000000000001</v>
      </c>
      <c r="E140" s="93"/>
      <c r="F140" s="93"/>
      <c r="G140" s="93"/>
      <c r="H140" s="93">
        <f t="shared" si="30"/>
        <v>0.13485909621477404</v>
      </c>
      <c r="I140" s="93">
        <f t="shared" ref="I140:I147" si="31">1/COUNT($H$139:$H$147)</f>
        <v>0.1111111111111111</v>
      </c>
    </row>
    <row r="141" spans="2:9">
      <c r="B141" s="94" t="s">
        <v>1560</v>
      </c>
      <c r="C141" s="94" t="s">
        <v>841</v>
      </c>
      <c r="D141" s="93">
        <f>$C$112*VLOOKUP(C141,$C$133:$F$136,2,FALSE)</f>
        <v>977.40000000000009</v>
      </c>
      <c r="E141" s="93"/>
      <c r="F141" s="93"/>
      <c r="G141" s="93"/>
      <c r="H141" s="93">
        <f t="shared" si="30"/>
        <v>0.16549007571107016</v>
      </c>
      <c r="I141" s="93">
        <f t="shared" si="31"/>
        <v>0.1111111111111111</v>
      </c>
    </row>
    <row r="142" spans="2:9">
      <c r="B142" s="94" t="s">
        <v>1559</v>
      </c>
      <c r="C142" s="94" t="s">
        <v>1558</v>
      </c>
      <c r="D142" s="93">
        <f>$C$112*VLOOKUP(C142,$C$133:$F$136,3,FALSE)</f>
        <v>393</v>
      </c>
      <c r="E142" s="93"/>
      <c r="F142" s="93"/>
      <c r="G142" s="93"/>
      <c r="H142" s="93">
        <f t="shared" si="30"/>
        <v>0.41157760814249361</v>
      </c>
      <c r="I142" s="93">
        <f t="shared" si="31"/>
        <v>0.1111111111111111</v>
      </c>
    </row>
    <row r="143" spans="2:9">
      <c r="B143" s="94" t="s">
        <v>1559</v>
      </c>
      <c r="C143" s="94" t="s">
        <v>1557</v>
      </c>
      <c r="D143" s="93">
        <f>$C$112*VLOOKUP(C143,$C$133:$F$136,3,FALSE)</f>
        <v>1122.5999999999999</v>
      </c>
      <c r="E143" s="93"/>
      <c r="F143" s="93"/>
      <c r="G143" s="93"/>
      <c r="H143" s="93">
        <f t="shared" si="30"/>
        <v>0.14408515945127384</v>
      </c>
      <c r="I143" s="93">
        <f t="shared" si="31"/>
        <v>0.1111111111111111</v>
      </c>
    </row>
    <row r="144" spans="2:9">
      <c r="B144" s="94" t="s">
        <v>1559</v>
      </c>
      <c r="C144" s="94" t="s">
        <v>841</v>
      </c>
      <c r="D144" s="93">
        <f>$C$112*VLOOKUP(C144,$C$133:$F$136,3,FALSE)</f>
        <v>757.8</v>
      </c>
      <c r="E144" s="93"/>
      <c r="F144" s="93"/>
      <c r="G144" s="93"/>
      <c r="H144" s="93">
        <f t="shared" si="30"/>
        <v>0.21344681974135657</v>
      </c>
      <c r="I144" s="93">
        <f t="shared" si="31"/>
        <v>0.1111111111111111</v>
      </c>
    </row>
    <row r="145" spans="2:9">
      <c r="B145" s="94" t="s">
        <v>1556</v>
      </c>
      <c r="C145" s="94" t="s">
        <v>1558</v>
      </c>
      <c r="D145" s="93">
        <f>$C$112*VLOOKUP(C145,$C$133:$F$136,4,FALSE)</f>
        <v>510</v>
      </c>
      <c r="E145" s="93"/>
      <c r="F145" s="93"/>
      <c r="G145" s="93"/>
      <c r="H145" s="93">
        <f t="shared" si="30"/>
        <v>0.31715686274509802</v>
      </c>
      <c r="I145" s="93">
        <f t="shared" si="31"/>
        <v>0.1111111111111111</v>
      </c>
    </row>
    <row r="146" spans="2:9">
      <c r="B146" s="94" t="s">
        <v>1556</v>
      </c>
      <c r="C146" s="94" t="s">
        <v>1557</v>
      </c>
      <c r="D146" s="93">
        <f>$C$112*VLOOKUP(C146,$C$133:$F$136,4,FALSE)</f>
        <v>1147.1999999999998</v>
      </c>
      <c r="E146" s="93"/>
      <c r="F146" s="93"/>
      <c r="G146" s="93"/>
      <c r="H146" s="93">
        <f t="shared" si="30"/>
        <v>0.14099546722454676</v>
      </c>
      <c r="I146" s="93">
        <f t="shared" si="31"/>
        <v>0.1111111111111111</v>
      </c>
    </row>
    <row r="147" spans="2:9">
      <c r="B147" s="94" t="s">
        <v>1556</v>
      </c>
      <c r="C147" s="94" t="s">
        <v>841</v>
      </c>
      <c r="D147" s="93">
        <f>$C$112*VLOOKUP(C147,$C$133:$F$136,4,FALSE)</f>
        <v>828.59999999999991</v>
      </c>
      <c r="E147" s="93"/>
      <c r="F147" s="93"/>
      <c r="G147" s="93"/>
      <c r="H147" s="93">
        <f t="shared" si="30"/>
        <v>0.19520878590393437</v>
      </c>
      <c r="I147" s="93">
        <f t="shared" si="31"/>
        <v>0.1111111111111111</v>
      </c>
    </row>
    <row r="148" spans="2:9">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00000000-0002-0000-A400-000004000000}">
      <formula1>$N$19:$AQ$19</formula1>
    </dataValidation>
    <dataValidation type="list" allowBlank="1" showInputMessage="1" showErrorMessage="1" sqref="E11:E20" xr:uid="{00000000-0002-0000-A400-000003000000}">
      <formula1>$N$16:$O$16</formula1>
    </dataValidation>
    <dataValidation type="list" allowBlank="1" showInputMessage="1" showErrorMessage="1" sqref="D11:D20" xr:uid="{00000000-0002-0000-A400-000002000000}">
      <formula1>$N$22:$AE$22</formula1>
    </dataValidation>
    <dataValidation type="list" allowBlank="1" showInputMessage="1" showErrorMessage="1" sqref="B11:C20" xr:uid="{00000000-0002-0000-A400-000001000000}">
      <formula1>$N$7:$Q$7</formula1>
    </dataValidation>
    <dataValidation type="list" allowBlank="1" showInputMessage="1" showErrorMessage="1" sqref="D7" xr:uid="{00000000-0002-0000-A400-000000000000}">
      <formula1>$N$11:$O$11</formula1>
    </dataValidation>
  </dataValidations>
  <pageMargins left="0.7" right="0.7" top="0.75" bottom="0.75" header="0.3" footer="0.3"/>
  <pageSetup orientation="portrait"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5FB8-4ACF-477F-ADC3-72078556BC4D}">
  <sheetPr codeName="Sheet35">
    <tabColor indexed="9"/>
  </sheetPr>
  <dimension ref="A1:AQ148"/>
  <sheetViews>
    <sheetView topLeftCell="A24" zoomScale="85" zoomScaleNormal="85" workbookViewId="0">
      <selection activeCell="C55" sqref="C55"/>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Eff Built Up</v>
      </c>
      <c r="C7" s="97" t="s">
        <v>2435</v>
      </c>
      <c r="D7" s="97" t="s">
        <v>211</v>
      </c>
      <c r="E7" s="97">
        <f>C110</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Built Up_CI, E - Refr (MD)</v>
      </c>
      <c r="J11" s="83" t="str">
        <f t="shared" ref="J11:J20" si="3">IF(B11="","",CONCATENATE($C$7,IF(C11="","",CONCATENATE(" with ",C11," Secondary Fuel"))))</f>
        <v>High Efficiency Built-up Refrigeration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Eff Built Up_CI,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Built Up_CI,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Efficiency Built-up Refrigeration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High Eff Built Up_CI,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High Efficiency Built-up Refrigeration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Efficiency Built-up Refrigeration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D148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C111</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H148</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Efficiency Built-up Refrigeration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s="1" t="s">
        <v>1571</v>
      </c>
    </row>
    <row r="107" spans="1:22" s="63" customFormat="1" ht="15.75" thickBot="1">
      <c r="B107" s="63" t="s">
        <v>50</v>
      </c>
    </row>
    <row r="108" spans="1:22">
      <c r="B108" s="28"/>
      <c r="C108" s="28"/>
      <c r="D108" s="28"/>
      <c r="E108" s="28"/>
      <c r="F108" s="28"/>
      <c r="G108" s="28"/>
      <c r="H108" s="28"/>
    </row>
    <row r="109" spans="1:22">
      <c r="B109" s="505"/>
      <c r="C109" s="505"/>
      <c r="D109" s="505"/>
      <c r="E109" s="505"/>
    </row>
    <row r="110" spans="1:22">
      <c r="B110" s="286"/>
      <c r="C110" s="286"/>
      <c r="D110" s="286"/>
      <c r="E110" s="286"/>
    </row>
    <row r="111" spans="1:22">
      <c r="B111" s="93"/>
      <c r="C111" s="93"/>
      <c r="D111" s="286"/>
      <c r="E111" s="93"/>
    </row>
    <row r="112" spans="1:22">
      <c r="B112" s="93"/>
      <c r="C112" s="97"/>
      <c r="D112" s="286"/>
      <c r="E112" s="286"/>
    </row>
    <row r="113" spans="2:6">
      <c r="B113" s="93"/>
      <c r="C113" s="93"/>
      <c r="D113" s="286"/>
      <c r="E113" s="286"/>
    </row>
    <row r="114" spans="2:6">
      <c r="B114" s="93"/>
      <c r="C114" s="93"/>
      <c r="D114" s="286"/>
      <c r="E114" s="93"/>
    </row>
    <row r="117" spans="2:6">
      <c r="B117" s="94"/>
      <c r="C117" s="94"/>
      <c r="D117" s="94"/>
      <c r="E117" s="94"/>
      <c r="F117" s="94"/>
    </row>
    <row r="118" spans="2:6">
      <c r="B118" s="93"/>
      <c r="C118" s="93"/>
      <c r="D118" s="93"/>
      <c r="E118" s="93"/>
      <c r="F118" s="93"/>
    </row>
    <row r="119" spans="2:6">
      <c r="B119" s="93"/>
      <c r="C119" s="93"/>
      <c r="D119" s="93"/>
      <c r="E119" s="93"/>
      <c r="F119" s="93"/>
    </row>
    <row r="120" spans="2:6">
      <c r="B120" s="93"/>
      <c r="C120" s="93"/>
      <c r="D120" s="93"/>
      <c r="E120" s="93"/>
      <c r="F120" s="93"/>
    </row>
    <row r="121" spans="2:6">
      <c r="B121" s="93"/>
      <c r="C121" s="93"/>
      <c r="D121" s="93"/>
      <c r="E121" s="93"/>
      <c r="F121" s="93"/>
    </row>
    <row r="122" spans="2:6">
      <c r="B122" s="93"/>
      <c r="C122" s="93"/>
      <c r="D122" s="93"/>
      <c r="E122" s="93"/>
      <c r="F122" s="93"/>
    </row>
    <row r="123" spans="2:6">
      <c r="B123" s="93"/>
      <c r="C123" s="93"/>
      <c r="D123" s="93"/>
      <c r="E123" s="93"/>
      <c r="F123" s="93"/>
    </row>
    <row r="124" spans="2:6">
      <c r="B124" s="93"/>
      <c r="C124" s="93"/>
      <c r="D124" s="93"/>
      <c r="E124" s="93"/>
      <c r="F124" s="93"/>
    </row>
    <row r="125" spans="2:6">
      <c r="B125" s="93"/>
      <c r="C125" s="93"/>
      <c r="D125" s="93"/>
      <c r="E125" s="93"/>
      <c r="F125" s="93"/>
    </row>
    <row r="126" spans="2:6">
      <c r="B126" s="93"/>
      <c r="C126" s="93"/>
      <c r="D126" s="93"/>
      <c r="E126" s="93"/>
      <c r="F126" s="93"/>
    </row>
    <row r="127" spans="2:6">
      <c r="B127" s="93"/>
      <c r="C127" s="93"/>
      <c r="D127" s="93"/>
      <c r="E127" s="93"/>
      <c r="F127" s="93"/>
    </row>
    <row r="128" spans="2:6">
      <c r="B128" s="93"/>
      <c r="C128" s="93"/>
      <c r="D128" s="93"/>
      <c r="E128" s="93"/>
      <c r="F128" s="93"/>
    </row>
    <row r="129" spans="2:9">
      <c r="B129" s="93"/>
      <c r="C129" s="93"/>
      <c r="D129" s="93"/>
      <c r="E129" s="93"/>
      <c r="F129" s="93"/>
    </row>
    <row r="130" spans="2:9">
      <c r="B130" s="93"/>
      <c r="C130" s="93"/>
      <c r="D130" s="93"/>
      <c r="E130" s="93"/>
      <c r="F130" s="93"/>
    </row>
    <row r="131" spans="2:9">
      <c r="B131" s="93"/>
      <c r="C131" s="93"/>
      <c r="D131" s="93"/>
      <c r="E131" s="93"/>
      <c r="F131" s="93"/>
    </row>
    <row r="132" spans="2:9">
      <c r="B132" s="93"/>
      <c r="C132" s="93"/>
      <c r="D132" s="93"/>
      <c r="E132" s="93"/>
      <c r="F132" s="93"/>
    </row>
    <row r="133" spans="2:9">
      <c r="B133" s="94"/>
      <c r="C133" s="94"/>
      <c r="D133" s="94"/>
      <c r="E133" s="94"/>
      <c r="F133" s="94"/>
    </row>
    <row r="134" spans="2:9">
      <c r="B134" s="94"/>
      <c r="C134" s="94"/>
      <c r="D134" s="94"/>
      <c r="E134" s="94"/>
      <c r="F134" s="94"/>
    </row>
    <row r="135" spans="2:9">
      <c r="B135" s="94"/>
      <c r="C135" s="94"/>
      <c r="D135" s="94"/>
      <c r="E135" s="94"/>
      <c r="F135" s="94"/>
    </row>
    <row r="136" spans="2:9">
      <c r="B136" s="93"/>
      <c r="C136" s="94"/>
      <c r="D136" s="94"/>
      <c r="E136" s="94"/>
      <c r="F136" s="94"/>
    </row>
    <row r="138" spans="2:9">
      <c r="B138" s="94"/>
      <c r="C138" s="94"/>
      <c r="D138" s="94"/>
      <c r="E138" s="94"/>
      <c r="F138" s="497"/>
      <c r="G138" s="496"/>
      <c r="H138" s="94"/>
      <c r="I138" s="94"/>
    </row>
    <row r="139" spans="2:9">
      <c r="B139" s="94"/>
      <c r="C139" s="94"/>
      <c r="D139" s="93"/>
      <c r="E139" s="93"/>
      <c r="F139" s="93"/>
      <c r="G139" s="93"/>
      <c r="H139" s="93"/>
      <c r="I139" s="93"/>
    </row>
    <row r="140" spans="2:9">
      <c r="B140" s="94"/>
      <c r="C140" s="94"/>
      <c r="D140" s="93"/>
      <c r="E140" s="93"/>
      <c r="F140" s="93"/>
      <c r="G140" s="93"/>
      <c r="H140" s="93"/>
      <c r="I140" s="93"/>
    </row>
    <row r="141" spans="2:9">
      <c r="B141" s="94"/>
      <c r="C141" s="94"/>
      <c r="D141" s="93"/>
      <c r="E141" s="93"/>
      <c r="F141" s="93"/>
      <c r="G141" s="93"/>
      <c r="H141" s="93"/>
      <c r="I141" s="93"/>
    </row>
    <row r="142" spans="2:9">
      <c r="B142" s="94"/>
      <c r="C142" s="94"/>
      <c r="D142" s="93"/>
      <c r="E142" s="93"/>
      <c r="F142" s="93"/>
      <c r="G142" s="93"/>
      <c r="H142" s="93"/>
      <c r="I142" s="93"/>
    </row>
    <row r="143" spans="2:9">
      <c r="B143" s="94"/>
      <c r="C143" s="94"/>
      <c r="D143" s="93"/>
      <c r="E143" s="93"/>
      <c r="F143" s="93"/>
      <c r="G143" s="93"/>
      <c r="H143" s="93"/>
      <c r="I143" s="93"/>
    </row>
    <row r="144" spans="2:9">
      <c r="B144" s="94"/>
      <c r="C144" s="94"/>
      <c r="D144" s="93"/>
      <c r="E144" s="93"/>
      <c r="F144" s="93"/>
      <c r="G144" s="93"/>
      <c r="H144" s="93"/>
      <c r="I144" s="93"/>
    </row>
    <row r="145" spans="2:9">
      <c r="B145" s="94"/>
      <c r="C145" s="94"/>
      <c r="D145" s="93"/>
      <c r="E145" s="93"/>
      <c r="F145" s="93"/>
      <c r="G145" s="93"/>
      <c r="H145" s="93"/>
      <c r="I145" s="93"/>
    </row>
    <row r="146" spans="2:9">
      <c r="B146" s="94"/>
      <c r="C146" s="94"/>
      <c r="D146" s="93"/>
      <c r="E146" s="93"/>
      <c r="F146" s="93"/>
      <c r="G146" s="93"/>
      <c r="H146" s="93"/>
      <c r="I146" s="93"/>
    </row>
    <row r="147" spans="2:9">
      <c r="B147" s="94"/>
      <c r="C147" s="94"/>
      <c r="D147" s="93"/>
      <c r="E147" s="93"/>
      <c r="F147" s="93"/>
      <c r="G147" s="93"/>
      <c r="H147" s="93"/>
      <c r="I147" s="93"/>
    </row>
    <row r="148" spans="2:9">
      <c r="B148" s="7"/>
      <c r="C148" s="7"/>
      <c r="D148" s="7"/>
      <c r="E148" s="7"/>
      <c r="F148" s="7"/>
      <c r="G148" s="7"/>
      <c r="H148" s="7"/>
    </row>
  </sheetData>
  <dataValidations count="5">
    <dataValidation type="list" allowBlank="1" showInputMessage="1" showErrorMessage="1" sqref="D7" xr:uid="{2F1CD168-5A85-4E7A-A947-521D67E2ADEF}">
      <formula1>$N$11:$O$11</formula1>
    </dataValidation>
    <dataValidation type="list" allowBlank="1" showInputMessage="1" showErrorMessage="1" sqref="B11:C20" xr:uid="{86CA0EC3-2BDC-4BD7-8A6F-25354BBFB881}">
      <formula1>$N$7:$Q$7</formula1>
    </dataValidation>
    <dataValidation type="list" allowBlank="1" showInputMessage="1" showErrorMessage="1" sqref="D11:D20" xr:uid="{20150478-523D-4222-9863-42FD626FDD18}">
      <formula1>$N$22:$AE$22</formula1>
    </dataValidation>
    <dataValidation type="list" allowBlank="1" showInputMessage="1" showErrorMessage="1" sqref="E11:E20" xr:uid="{F4E9D32A-E62E-42DB-8525-C11C8D5960D3}">
      <formula1>$N$16:$O$16</formula1>
    </dataValidation>
    <dataValidation type="list" allowBlank="1" showInputMessage="1" showErrorMessage="1" sqref="C59:L59" xr:uid="{18ADDC97-0B5E-40A6-927F-D219A9C046A5}">
      <formula1>$N$19:$AQ$19</formula1>
    </dataValidation>
  </dataValidations>
  <pageMargins left="0.7" right="0.7" top="0.75" bottom="0.75" header="0.3" footer="0.3"/>
  <pageSetup orientation="portrait"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412C-8761-4D8C-A839-B318BF4B9C7F}">
  <sheetPr codeName="Sheet42">
    <tabColor indexed="9"/>
  </sheetPr>
  <dimension ref="A1:AQ148"/>
  <sheetViews>
    <sheetView topLeftCell="A96" zoomScale="85" zoomScaleNormal="85" workbookViewId="0">
      <selection activeCell="C55" sqref="C55"/>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Eff Small Walk In</v>
      </c>
      <c r="C7" s="97" t="s">
        <v>2436</v>
      </c>
      <c r="D7" s="97" t="s">
        <v>211</v>
      </c>
      <c r="E7" s="97">
        <f>C110</f>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Small Walk In_CI, E - Refr (MD)</v>
      </c>
      <c r="J11" s="83" t="str">
        <f t="shared" ref="J11:J20" si="3">IF(B11="","",CONCATENATE($C$7,IF(C11="","",CONCATENATE(" with ",C11," Secondary Fuel"))))</f>
        <v>High Efficiency Small Walk-in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Eff Small Walk In_CI,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Small Walk In_CI,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Efficiency Small Walk-in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High Eff Small Walk In_CI,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High Efficiency Small Walk-in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Efficiency Small Walk-in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D148</f>
        <v>854.66666666666652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C111</f>
        <v>161.75</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H148</f>
        <v>0.21519721128773045</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Efficiency Small Walk-in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s="1" t="s">
        <v>1571</v>
      </c>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1567</v>
      </c>
      <c r="E110" s="286"/>
    </row>
    <row r="111" spans="1:22">
      <c r="B111" s="93" t="s">
        <v>438</v>
      </c>
      <c r="C111" s="93">
        <v>161.75</v>
      </c>
      <c r="D111" s="286" t="s">
        <v>1567</v>
      </c>
      <c r="E111" s="93"/>
    </row>
    <row r="112" spans="1:22">
      <c r="B112" s="93" t="s">
        <v>1570</v>
      </c>
      <c r="C112" s="97">
        <v>3</v>
      </c>
      <c r="D112" s="286" t="s">
        <v>1567</v>
      </c>
      <c r="E112" s="286" t="s">
        <v>1569</v>
      </c>
    </row>
    <row r="113" spans="2:6">
      <c r="B113" s="93" t="s">
        <v>1568</v>
      </c>
      <c r="C113" s="93" t="s">
        <v>35</v>
      </c>
      <c r="D113" s="286" t="s">
        <v>1567</v>
      </c>
      <c r="E113" s="286" t="s">
        <v>1566</v>
      </c>
    </row>
    <row r="114" spans="2:6">
      <c r="B114" s="93"/>
      <c r="C114" s="93"/>
      <c r="D114" s="286"/>
      <c r="E114" s="93"/>
    </row>
    <row r="117" spans="2:6">
      <c r="B117" s="94" t="s">
        <v>1466</v>
      </c>
      <c r="C117" s="94" t="s">
        <v>1562</v>
      </c>
      <c r="D117" s="94" t="s">
        <v>1565</v>
      </c>
      <c r="E117" s="94" t="s">
        <v>1564</v>
      </c>
      <c r="F117" s="94" t="s">
        <v>1556</v>
      </c>
    </row>
    <row r="118" spans="2:6">
      <c r="B118" s="93" t="s">
        <v>1462</v>
      </c>
      <c r="C118" s="93" t="s">
        <v>1558</v>
      </c>
      <c r="D118" s="93">
        <v>252</v>
      </c>
      <c r="E118" s="93">
        <v>131</v>
      </c>
      <c r="F118" s="93">
        <v>170</v>
      </c>
    </row>
    <row r="119" spans="2:6">
      <c r="B119" s="93" t="s">
        <v>1462</v>
      </c>
      <c r="C119" s="93" t="s">
        <v>1557</v>
      </c>
      <c r="D119" s="93">
        <v>482</v>
      </c>
      <c r="E119" s="93">
        <v>451</v>
      </c>
      <c r="F119" s="93">
        <v>461</v>
      </c>
    </row>
    <row r="120" spans="2:6">
      <c r="B120" s="93" t="s">
        <v>1462</v>
      </c>
      <c r="C120" s="93" t="s">
        <v>841</v>
      </c>
      <c r="D120" s="93">
        <v>367</v>
      </c>
      <c r="E120" s="93">
        <v>291</v>
      </c>
      <c r="F120" s="93">
        <v>315</v>
      </c>
    </row>
    <row r="121" spans="2:6">
      <c r="B121" s="93" t="s">
        <v>1461</v>
      </c>
      <c r="C121" s="93" t="s">
        <v>1558</v>
      </c>
      <c r="D121" s="93">
        <v>252</v>
      </c>
      <c r="E121" s="93">
        <v>131</v>
      </c>
      <c r="F121" s="93">
        <v>170</v>
      </c>
    </row>
    <row r="122" spans="2:6">
      <c r="B122" s="93" t="s">
        <v>1461</v>
      </c>
      <c r="C122" s="93" t="s">
        <v>1557</v>
      </c>
      <c r="D122" s="93">
        <v>465</v>
      </c>
      <c r="E122" s="93">
        <v>435</v>
      </c>
      <c r="F122" s="93">
        <v>445</v>
      </c>
    </row>
    <row r="123" spans="2:6">
      <c r="B123" s="93" t="s">
        <v>1461</v>
      </c>
      <c r="C123" s="93" t="s">
        <v>841</v>
      </c>
      <c r="D123" s="93">
        <v>358</v>
      </c>
      <c r="E123" s="93">
        <v>283</v>
      </c>
      <c r="F123" s="93">
        <v>307</v>
      </c>
    </row>
    <row r="124" spans="2:6">
      <c r="B124" s="93" t="s">
        <v>1460</v>
      </c>
      <c r="C124" s="93" t="s">
        <v>1558</v>
      </c>
      <c r="D124" s="93">
        <v>252</v>
      </c>
      <c r="E124" s="93">
        <v>131</v>
      </c>
      <c r="F124" s="93">
        <v>170</v>
      </c>
    </row>
    <row r="125" spans="2:6">
      <c r="B125" s="93" t="s">
        <v>1460</v>
      </c>
      <c r="C125" s="93" t="s">
        <v>1557</v>
      </c>
      <c r="D125" s="93">
        <v>403</v>
      </c>
      <c r="E125" s="93">
        <v>377</v>
      </c>
      <c r="F125" s="93">
        <v>385</v>
      </c>
    </row>
    <row r="126" spans="2:6">
      <c r="B126" s="93" t="s">
        <v>1460</v>
      </c>
      <c r="C126" s="93" t="s">
        <v>841</v>
      </c>
      <c r="D126" s="93">
        <v>327</v>
      </c>
      <c r="E126" s="93">
        <v>254</v>
      </c>
      <c r="F126" s="93">
        <v>278</v>
      </c>
    </row>
    <row r="127" spans="2:6">
      <c r="B127" s="93" t="s">
        <v>1459</v>
      </c>
      <c r="C127" s="93" t="s">
        <v>1558</v>
      </c>
      <c r="D127" s="93">
        <v>252</v>
      </c>
      <c r="E127" s="93">
        <v>131</v>
      </c>
      <c r="F127" s="93">
        <v>170</v>
      </c>
    </row>
    <row r="128" spans="2:6">
      <c r="B128" s="93" t="s">
        <v>1459</v>
      </c>
      <c r="C128" s="93" t="s">
        <v>1557</v>
      </c>
      <c r="D128" s="93">
        <v>321</v>
      </c>
      <c r="E128" s="93">
        <v>301</v>
      </c>
      <c r="F128" s="93">
        <v>307</v>
      </c>
    </row>
    <row r="129" spans="2:9">
      <c r="B129" s="93" t="s">
        <v>1459</v>
      </c>
      <c r="C129" s="93" t="s">
        <v>841</v>
      </c>
      <c r="D129" s="93">
        <v>287</v>
      </c>
      <c r="E129" s="93">
        <v>216</v>
      </c>
      <c r="F129" s="93">
        <v>239</v>
      </c>
    </row>
    <row r="130" spans="2:9">
      <c r="B130" s="93" t="s">
        <v>1458</v>
      </c>
      <c r="C130" s="93" t="s">
        <v>1558</v>
      </c>
      <c r="D130" s="93">
        <v>252</v>
      </c>
      <c r="E130" s="93">
        <v>131</v>
      </c>
      <c r="F130" s="93">
        <v>170</v>
      </c>
    </row>
    <row r="131" spans="2:9">
      <c r="B131" s="93" t="s">
        <v>1458</v>
      </c>
      <c r="C131" s="93" t="s">
        <v>1557</v>
      </c>
      <c r="D131" s="93">
        <v>328</v>
      </c>
      <c r="E131" s="93">
        <v>307</v>
      </c>
      <c r="F131" s="93">
        <v>314</v>
      </c>
    </row>
    <row r="132" spans="2:9">
      <c r="B132" s="93" t="s">
        <v>1458</v>
      </c>
      <c r="C132" s="93" t="s">
        <v>841</v>
      </c>
      <c r="D132" s="93">
        <v>290</v>
      </c>
      <c r="E132" s="93">
        <v>219</v>
      </c>
      <c r="F132" s="93">
        <v>242</v>
      </c>
    </row>
    <row r="133" spans="2:9">
      <c r="B133" s="94" t="s">
        <v>590</v>
      </c>
      <c r="C133" s="94" t="s">
        <v>1558</v>
      </c>
      <c r="D133" s="94">
        <f t="shared" ref="D133:F135" si="24">AVERAGE(D118,D121,D124,D127,D130)</f>
        <v>252</v>
      </c>
      <c r="E133" s="94">
        <f t="shared" si="24"/>
        <v>131</v>
      </c>
      <c r="F133" s="94">
        <f t="shared" si="24"/>
        <v>170</v>
      </c>
    </row>
    <row r="134" spans="2:9">
      <c r="B134" s="94" t="s">
        <v>590</v>
      </c>
      <c r="C134" s="94" t="s">
        <v>1557</v>
      </c>
      <c r="D134" s="94">
        <f t="shared" si="24"/>
        <v>399.8</v>
      </c>
      <c r="E134" s="94">
        <f t="shared" si="24"/>
        <v>374.2</v>
      </c>
      <c r="F134" s="94">
        <f t="shared" si="24"/>
        <v>382.4</v>
      </c>
    </row>
    <row r="135" spans="2:9">
      <c r="B135" s="94" t="s">
        <v>590</v>
      </c>
      <c r="C135" s="94" t="s">
        <v>841</v>
      </c>
      <c r="D135" s="94">
        <f t="shared" si="24"/>
        <v>325.8</v>
      </c>
      <c r="E135" s="94">
        <f t="shared" si="24"/>
        <v>252.6</v>
      </c>
      <c r="F135" s="94">
        <f t="shared" si="24"/>
        <v>276.2</v>
      </c>
    </row>
    <row r="136" spans="2:9">
      <c r="B136" s="93"/>
      <c r="C136" s="94"/>
      <c r="D136" s="94"/>
      <c r="E136" s="94"/>
      <c r="F136" s="94"/>
    </row>
    <row r="138" spans="2:9">
      <c r="B138" s="94" t="s">
        <v>1563</v>
      </c>
      <c r="C138" s="94" t="s">
        <v>1562</v>
      </c>
      <c r="D138" s="94" t="s">
        <v>1561</v>
      </c>
      <c r="E138" s="94" t="s">
        <v>499</v>
      </c>
      <c r="F138" s="497" t="s">
        <v>244</v>
      </c>
      <c r="G138" s="496" t="s">
        <v>9</v>
      </c>
      <c r="H138" s="94" t="s">
        <v>8</v>
      </c>
      <c r="I138" s="94" t="s">
        <v>7</v>
      </c>
    </row>
    <row r="139" spans="2:9">
      <c r="B139" s="94" t="s">
        <v>1560</v>
      </c>
      <c r="C139" s="94" t="s">
        <v>1558</v>
      </c>
      <c r="D139" s="93">
        <f>$C$112*VLOOKUP(C139,$C$133:$F$136,2,FALSE)</f>
        <v>756</v>
      </c>
      <c r="E139" s="93"/>
      <c r="F139" s="93"/>
      <c r="G139" s="93"/>
      <c r="H139" s="93">
        <f t="shared" ref="H139:H147" si="25">$C$111/D139</f>
        <v>0.21395502645502645</v>
      </c>
      <c r="I139" s="93">
        <f>1/COUNT($H$139:$H$147)</f>
        <v>0.1111111111111111</v>
      </c>
    </row>
    <row r="140" spans="2:9">
      <c r="B140" s="94" t="s">
        <v>1560</v>
      </c>
      <c r="C140" s="94" t="s">
        <v>1557</v>
      </c>
      <c r="D140" s="93">
        <f>$C$112*VLOOKUP(C140,$C$133:$F$136,2,FALSE)</f>
        <v>1199.4000000000001</v>
      </c>
      <c r="E140" s="93"/>
      <c r="F140" s="93"/>
      <c r="G140" s="93"/>
      <c r="H140" s="93">
        <f t="shared" si="25"/>
        <v>0.13485909621477404</v>
      </c>
      <c r="I140" s="93">
        <f t="shared" ref="I140:I147" si="26">1/COUNT($H$139:$H$147)</f>
        <v>0.1111111111111111</v>
      </c>
    </row>
    <row r="141" spans="2:9">
      <c r="B141" s="94" t="s">
        <v>1560</v>
      </c>
      <c r="C141" s="94" t="s">
        <v>841</v>
      </c>
      <c r="D141" s="93">
        <f>$C$112*VLOOKUP(C141,$C$133:$F$136,2,FALSE)</f>
        <v>977.40000000000009</v>
      </c>
      <c r="E141" s="93"/>
      <c r="F141" s="93"/>
      <c r="G141" s="93"/>
      <c r="H141" s="93">
        <f t="shared" si="25"/>
        <v>0.16549007571107016</v>
      </c>
      <c r="I141" s="93">
        <f t="shared" si="26"/>
        <v>0.1111111111111111</v>
      </c>
    </row>
    <row r="142" spans="2:9">
      <c r="B142" s="94" t="s">
        <v>1559</v>
      </c>
      <c r="C142" s="94" t="s">
        <v>1558</v>
      </c>
      <c r="D142" s="93">
        <f>$C$112*VLOOKUP(C142,$C$133:$F$136,3,FALSE)</f>
        <v>393</v>
      </c>
      <c r="E142" s="93"/>
      <c r="F142" s="93"/>
      <c r="G142" s="93"/>
      <c r="H142" s="93">
        <f t="shared" si="25"/>
        <v>0.41157760814249361</v>
      </c>
      <c r="I142" s="93">
        <f t="shared" si="26"/>
        <v>0.1111111111111111</v>
      </c>
    </row>
    <row r="143" spans="2:9">
      <c r="B143" s="94" t="s">
        <v>1559</v>
      </c>
      <c r="C143" s="94" t="s">
        <v>1557</v>
      </c>
      <c r="D143" s="93">
        <f>$C$112*VLOOKUP(C143,$C$133:$F$136,3,FALSE)</f>
        <v>1122.5999999999999</v>
      </c>
      <c r="E143" s="93"/>
      <c r="F143" s="93"/>
      <c r="G143" s="93"/>
      <c r="H143" s="93">
        <f t="shared" si="25"/>
        <v>0.14408515945127384</v>
      </c>
      <c r="I143" s="93">
        <f t="shared" si="26"/>
        <v>0.1111111111111111</v>
      </c>
    </row>
    <row r="144" spans="2:9">
      <c r="B144" s="94" t="s">
        <v>1559</v>
      </c>
      <c r="C144" s="94" t="s">
        <v>841</v>
      </c>
      <c r="D144" s="93">
        <f>$C$112*VLOOKUP(C144,$C$133:$F$136,3,FALSE)</f>
        <v>757.8</v>
      </c>
      <c r="E144" s="93"/>
      <c r="F144" s="93"/>
      <c r="G144" s="93"/>
      <c r="H144" s="93">
        <f t="shared" si="25"/>
        <v>0.21344681974135657</v>
      </c>
      <c r="I144" s="93">
        <f t="shared" si="26"/>
        <v>0.1111111111111111</v>
      </c>
    </row>
    <row r="145" spans="2:9">
      <c r="B145" s="94" t="s">
        <v>1556</v>
      </c>
      <c r="C145" s="94" t="s">
        <v>1558</v>
      </c>
      <c r="D145" s="93">
        <f>$C$112*VLOOKUP(C145,$C$133:$F$136,4,FALSE)</f>
        <v>510</v>
      </c>
      <c r="E145" s="93"/>
      <c r="F145" s="93"/>
      <c r="G145" s="93"/>
      <c r="H145" s="93">
        <f t="shared" si="25"/>
        <v>0.31715686274509802</v>
      </c>
      <c r="I145" s="93">
        <f t="shared" si="26"/>
        <v>0.1111111111111111</v>
      </c>
    </row>
    <row r="146" spans="2:9">
      <c r="B146" s="94" t="s">
        <v>1556</v>
      </c>
      <c r="C146" s="94" t="s">
        <v>1557</v>
      </c>
      <c r="D146" s="93">
        <f>$C$112*VLOOKUP(C146,$C$133:$F$136,4,FALSE)</f>
        <v>1147.1999999999998</v>
      </c>
      <c r="E146" s="93"/>
      <c r="F146" s="93"/>
      <c r="G146" s="93"/>
      <c r="H146" s="93">
        <f t="shared" si="25"/>
        <v>0.14099546722454676</v>
      </c>
      <c r="I146" s="93">
        <f t="shared" si="26"/>
        <v>0.1111111111111111</v>
      </c>
    </row>
    <row r="147" spans="2:9">
      <c r="B147" s="94" t="s">
        <v>1556</v>
      </c>
      <c r="C147" s="94" t="s">
        <v>841</v>
      </c>
      <c r="D147" s="93">
        <f>$C$112*VLOOKUP(C147,$C$133:$F$136,4,FALSE)</f>
        <v>828.59999999999991</v>
      </c>
      <c r="E147" s="93"/>
      <c r="F147" s="93"/>
      <c r="G147" s="93"/>
      <c r="H147" s="93">
        <f t="shared" si="25"/>
        <v>0.19520878590393437</v>
      </c>
      <c r="I147" s="93">
        <f t="shared" si="26"/>
        <v>0.1111111111111111</v>
      </c>
    </row>
    <row r="148" spans="2:9">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29E77B65-4523-464E-ADBE-E6503C23CB97}">
      <formula1>$N$19:$AQ$19</formula1>
    </dataValidation>
    <dataValidation type="list" allowBlank="1" showInputMessage="1" showErrorMessage="1" sqref="E11:E20" xr:uid="{C6DC9FAD-7102-47E6-AAA6-017FE04D784D}">
      <formula1>$N$16:$O$16</formula1>
    </dataValidation>
    <dataValidation type="list" allowBlank="1" showInputMessage="1" showErrorMessage="1" sqref="D11:D20" xr:uid="{E979A7AB-33EC-4E41-A283-67AA807F23BE}">
      <formula1>$N$22:$AE$22</formula1>
    </dataValidation>
    <dataValidation type="list" allowBlank="1" showInputMessage="1" showErrorMessage="1" sqref="B11:C20" xr:uid="{95A070B9-BF9A-41AE-B336-7D8A88871D03}">
      <formula1>$N$7:$Q$7</formula1>
    </dataValidation>
    <dataValidation type="list" allowBlank="1" showInputMessage="1" showErrorMessage="1" sqref="D7" xr:uid="{10AF2458-9062-4A4A-8D00-D9FD30B773C6}">
      <formula1>$N$11:$O$11</formula1>
    </dataValidation>
  </dataValidations>
  <pageMargins left="0.7" right="0.7" top="0.75" bottom="0.75" header="0.3" footer="0.3"/>
  <pageSetup orientation="portrait"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B962D-1F8F-48F7-9822-5F11BD5B39A0}">
  <sheetPr codeName="Sheet47">
    <tabColor indexed="9"/>
  </sheetPr>
  <dimension ref="A1:AQ161"/>
  <sheetViews>
    <sheetView topLeftCell="A90" zoomScale="85" zoomScaleNormal="85" workbookViewId="0">
      <selection activeCell="C114" sqref="C11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Loading Dock Pit Seals</v>
      </c>
      <c r="C7" s="97" t="s">
        <v>1630</v>
      </c>
      <c r="D7" s="97" t="s">
        <v>211</v>
      </c>
      <c r="E7" s="97">
        <f>C111</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Loading Dock Pit Seals_CI,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Loading Dock Pit Seals_CI,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Loading Dock Pit Seals_CI,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1574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1573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Speed Overhead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2211</v>
      </c>
      <c r="C111" s="286">
        <v>16</v>
      </c>
      <c r="D111" s="286" t="s">
        <v>1678</v>
      </c>
      <c r="E111" s="286"/>
    </row>
    <row r="112" spans="1:22">
      <c r="B112" s="93" t="s">
        <v>2212</v>
      </c>
      <c r="C112" s="93">
        <v>150</v>
      </c>
      <c r="D112" s="286" t="s">
        <v>1678</v>
      </c>
      <c r="E112" s="93"/>
    </row>
    <row r="113" spans="2:20">
      <c r="B113" s="93" t="s">
        <v>1616</v>
      </c>
      <c r="C113" s="97">
        <v>0.44</v>
      </c>
      <c r="D113" s="286" t="s">
        <v>1678</v>
      </c>
      <c r="E113" s="286"/>
    </row>
    <row r="114" spans="2:20">
      <c r="B114" s="93" t="s">
        <v>1484</v>
      </c>
      <c r="C114" s="93" t="s">
        <v>35</v>
      </c>
      <c r="D114" s="286" t="s">
        <v>1678</v>
      </c>
      <c r="E114" s="93" t="s">
        <v>1682</v>
      </c>
    </row>
    <row r="115" spans="2:20">
      <c r="B115" s="93" t="s">
        <v>1681</v>
      </c>
      <c r="C115" s="93">
        <v>1</v>
      </c>
      <c r="D115" s="286" t="s">
        <v>1678</v>
      </c>
      <c r="E115" s="93" t="s">
        <v>1680</v>
      </c>
    </row>
    <row r="116" spans="2:20">
      <c r="B116" s="93" t="s">
        <v>1147</v>
      </c>
      <c r="C116" s="93">
        <v>0.45</v>
      </c>
      <c r="D116" s="286" t="s">
        <v>1678</v>
      </c>
      <c r="E116" s="93" t="s">
        <v>1679</v>
      </c>
    </row>
    <row r="117" spans="2:20">
      <c r="B117" s="93" t="s">
        <v>1673</v>
      </c>
      <c r="C117" s="93" t="s">
        <v>35</v>
      </c>
      <c r="D117" s="286" t="s">
        <v>1678</v>
      </c>
      <c r="E117" s="93" t="s">
        <v>1677</v>
      </c>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C59:L59" xr:uid="{DDB52B70-51A3-4E25-B383-A5EBAC5375D2}">
      <formula1>$N$19:$AQ$19</formula1>
    </dataValidation>
    <dataValidation type="list" allowBlank="1" showInputMessage="1" showErrorMessage="1" sqref="E11:E20" xr:uid="{AE891ED8-46DA-4F81-B7C6-285CF50193D3}">
      <formula1>$N$16:$O$16</formula1>
    </dataValidation>
    <dataValidation type="list" allowBlank="1" showInputMessage="1" showErrorMessage="1" sqref="D11:D20" xr:uid="{16BC5A30-1DF9-4BBB-9A11-85F836B3A892}">
      <formula1>$N$22:$AE$22</formula1>
    </dataValidation>
    <dataValidation type="list" allowBlank="1" showInputMessage="1" showErrorMessage="1" sqref="B11:C20" xr:uid="{FE0FE88D-5056-4F88-93A9-3FB9A8C79E0F}">
      <formula1>$N$7:$Q$7</formula1>
    </dataValidation>
    <dataValidation type="list" allowBlank="1" showInputMessage="1" showErrorMessage="1" sqref="D7" xr:uid="{ABE0FB91-B9D0-4BDD-948D-4D8E0415AD1B}">
      <formula1>$N$11:$O$11</formula1>
    </dataValidation>
  </dataValidations>
  <pageMargins left="0.7" right="0.7" top="0.75" bottom="0.75" header="0.3" footer="0.3"/>
  <pageSetup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B389C-B156-4698-9959-E95697657EAB}">
  <sheetPr codeName="Sheet51">
    <tabColor indexed="9"/>
  </sheetPr>
  <dimension ref="A1:AQ161"/>
  <sheetViews>
    <sheetView topLeftCell="A36" zoomScale="85" zoomScaleNormal="85" workbookViewId="0">
      <selection activeCell="B111" sqref="B111:E11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Low Heat Doors</v>
      </c>
      <c r="C7" s="97" t="s">
        <v>2437</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Low Heat Doors_CI, E - Refr (RET)</v>
      </c>
      <c r="J11" s="83" t="str">
        <f t="shared" ref="J11:J20" si="3">IF(B11="","",CONCATENATE($C$7,IF(C11="","",CONCATENATE(" with ",C11," Secondary Fuel"))))</f>
        <v>Low Heat or No Heat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Low Heat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Heat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Low Heat or No Heat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Low Heat Doors_CI,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Low Heat or No Heat Doors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Heat or No Heat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Low Heat or No Heat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597422ED-CB83-426D-B40B-DE9398F51531}">
      <formula1>$N$11:$O$11</formula1>
    </dataValidation>
    <dataValidation type="list" allowBlank="1" showInputMessage="1" showErrorMessage="1" sqref="B11:C20" xr:uid="{E733A5DC-7857-4205-9AD7-734324E1FB9F}">
      <formula1>$N$7:$Q$7</formula1>
    </dataValidation>
    <dataValidation type="list" allowBlank="1" showInputMessage="1" showErrorMessage="1" sqref="D11:D20" xr:uid="{78C37D3A-A3C4-4B95-961B-0D6C00CA8EA4}">
      <formula1>$N$22:$AE$22</formula1>
    </dataValidation>
    <dataValidation type="list" allowBlank="1" showInputMessage="1" showErrorMessage="1" sqref="E11:E20" xr:uid="{47393C97-93DA-4D3A-8B8D-B613EE43192A}">
      <formula1>$N$16:$O$16</formula1>
    </dataValidation>
    <dataValidation type="list" allowBlank="1" showInputMessage="1" showErrorMessage="1" sqref="C59:L59" xr:uid="{D5424255-B97F-435A-BA41-92D8FBA6BF72}">
      <formula1>$N$19:$AQ$19</formula1>
    </dataValidation>
  </dataValidations>
  <pageMargins left="0.7" right="0.7" top="0.75" bottom="0.75" header="0.3" footer="0.3"/>
  <pageSetup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DB140-1C9E-47A8-87DB-2218FC2AB7D4}">
  <sheetPr codeName="Sheet52">
    <tabColor indexed="9"/>
  </sheetPr>
  <dimension ref="A1:AQ163"/>
  <sheetViews>
    <sheetView topLeftCell="A45" zoomScale="85" zoomScaleNormal="85" workbookViewId="0">
      <selection activeCell="D142" sqref="D142"/>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Evap Fan Perm Magnet</v>
      </c>
      <c r="C7" s="97" t="s">
        <v>2396</v>
      </c>
      <c r="D7" s="97" t="s">
        <v>211</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Perm Magnet_CI, E - Refr (RET)</v>
      </c>
      <c r="J11" s="83" t="str">
        <f t="shared" ref="J11:J20" si="3">IF(B11="","",CONCATENATE($C$7,IF(C11="","",CONCATENATE(" with ",C11," Secondary Fuel"))))</f>
        <v>Permanent Magnet Synchronous Fan Motor Evaporator Fan Motor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Evap Fan Perm Magnet_CI,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Perm Magnet_CI,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Permanent Magnet Synchronous Fan Motor Evaporator Fan Motor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Evap Fan Perm Magnet_CI,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Permanent Magnet Synchronous Fan Motor Evaporator Fan Motor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2411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Permanent Magnet Synchronous Fan Motor Evaporator Fan Motor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G130</f>
        <v>210.48260655997598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I130</f>
        <v>0.47488584474885842</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J130</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K130</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Permanent Magnet Synchronous Fan Motor Evaporator Fan Motor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2213</v>
      </c>
      <c r="F105"/>
    </row>
    <row r="106" spans="1:22">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2172</v>
      </c>
      <c r="C111" s="286" t="s">
        <v>1955</v>
      </c>
      <c r="D111" s="286" t="s">
        <v>2410</v>
      </c>
      <c r="E111" s="286"/>
    </row>
    <row r="112" spans="1:22">
      <c r="B112" s="93" t="s">
        <v>960</v>
      </c>
      <c r="C112" s="93" t="s">
        <v>1955</v>
      </c>
      <c r="D112" s="286" t="s">
        <v>2410</v>
      </c>
      <c r="E112" s="93"/>
    </row>
    <row r="113" spans="2:20">
      <c r="B113" s="93" t="s">
        <v>2214</v>
      </c>
      <c r="C113" s="97">
        <v>0.73</v>
      </c>
      <c r="D113" s="286" t="s">
        <v>2410</v>
      </c>
      <c r="E113" s="286"/>
    </row>
    <row r="114" spans="2:20">
      <c r="B114" s="93" t="s">
        <v>2215</v>
      </c>
      <c r="C114" s="93" t="s">
        <v>1955</v>
      </c>
      <c r="D114" s="286" t="s">
        <v>2410</v>
      </c>
      <c r="E114" s="93" t="s">
        <v>1682</v>
      </c>
    </row>
    <row r="115" spans="2:20">
      <c r="B115" s="93" t="s">
        <v>2216</v>
      </c>
      <c r="C115" s="93">
        <v>6062</v>
      </c>
      <c r="D115" s="286" t="s">
        <v>2410</v>
      </c>
      <c r="E115" s="93" t="s">
        <v>1680</v>
      </c>
    </row>
    <row r="116" spans="2:20">
      <c r="B116" s="93" t="s">
        <v>34</v>
      </c>
      <c r="C116" s="93">
        <v>1</v>
      </c>
      <c r="D116" s="286" t="s">
        <v>2410</v>
      </c>
      <c r="E116" s="93" t="s">
        <v>1679</v>
      </c>
    </row>
    <row r="117" spans="2:20">
      <c r="B117" s="93" t="s">
        <v>518</v>
      </c>
      <c r="C117" s="93">
        <v>15</v>
      </c>
      <c r="D117" s="286" t="s">
        <v>2410</v>
      </c>
      <c r="E117" s="93" t="s">
        <v>1677</v>
      </c>
    </row>
    <row r="118" spans="2:20">
      <c r="B118" s="93"/>
      <c r="C118" s="93"/>
      <c r="D118" s="286"/>
      <c r="E118" s="93"/>
    </row>
    <row r="119" spans="2:20">
      <c r="D119"/>
      <c r="E119"/>
    </row>
    <row r="120" spans="2:20">
      <c r="D120"/>
      <c r="E120"/>
    </row>
    <row r="121" spans="2:20">
      <c r="D121"/>
    </row>
    <row r="122" spans="2:20">
      <c r="B122" s="94" t="s">
        <v>2217</v>
      </c>
      <c r="C122" s="536"/>
      <c r="D122" s="94"/>
      <c r="E122" s="94"/>
      <c r="F122" s="94"/>
      <c r="G122" s="94"/>
      <c r="H122" s="94"/>
      <c r="I122" s="497"/>
      <c r="J122" s="496"/>
      <c r="K122" s="94"/>
      <c r="L122" s="94"/>
      <c r="M122" s="95"/>
      <c r="N122" s="95"/>
      <c r="O122" s="95"/>
      <c r="P122" s="95"/>
      <c r="Q122" s="95"/>
      <c r="R122" s="95"/>
      <c r="S122" s="95"/>
      <c r="T122" s="95"/>
    </row>
    <row r="123" spans="2:20">
      <c r="B123" s="94" t="s">
        <v>2222</v>
      </c>
      <c r="C123" s="94" t="s">
        <v>2221</v>
      </c>
      <c r="D123" s="94" t="s">
        <v>2172</v>
      </c>
      <c r="E123" s="94" t="s">
        <v>960</v>
      </c>
      <c r="F123" s="94" t="s">
        <v>2215</v>
      </c>
      <c r="G123" s="94" t="s">
        <v>500</v>
      </c>
      <c r="H123" s="94" t="s">
        <v>499</v>
      </c>
      <c r="I123" s="94" t="s">
        <v>2223</v>
      </c>
      <c r="J123" s="647" t="s">
        <v>438</v>
      </c>
      <c r="K123" s="647" t="s">
        <v>498</v>
      </c>
      <c r="L123" s="522" t="s">
        <v>2224</v>
      </c>
      <c r="M123" s="375"/>
      <c r="N123" s="375"/>
      <c r="O123" s="375"/>
      <c r="P123" s="375"/>
      <c r="Q123" s="375"/>
      <c r="R123" s="375"/>
      <c r="S123" s="375"/>
      <c r="T123" s="375"/>
    </row>
    <row r="124" spans="2:20">
      <c r="B124" s="94" t="s">
        <v>1631</v>
      </c>
      <c r="C124" s="93" t="s">
        <v>2218</v>
      </c>
      <c r="D124" s="93">
        <v>12</v>
      </c>
      <c r="E124" s="93">
        <v>0.2</v>
      </c>
      <c r="F124" s="93">
        <v>2.87</v>
      </c>
      <c r="G124" s="93">
        <f t="shared" ref="G124:G129" si="24">D124*((1/E124)-(1/$C$113))*(1+(1/F124))*$C$115/1000</f>
        <v>356.08137654527229</v>
      </c>
      <c r="H124" s="93">
        <f t="shared" ref="H124:H129" si="25">G124*$C$116/$C$115</f>
        <v>5.8739916949071644E-2</v>
      </c>
      <c r="I124" s="93">
        <f t="shared" ref="I124:I129" si="26">G124/(D124*(1/E124)*(1+(1/F124))*$C$115/1000)</f>
        <v>0.72602739726027388</v>
      </c>
      <c r="J124" s="535"/>
      <c r="K124" s="533"/>
      <c r="L124" s="532">
        <f t="shared" ref="L124:L129" si="27">1/COUNT($D$124:$D$129)</f>
        <v>0.16666666666666666</v>
      </c>
      <c r="M124" s="375"/>
      <c r="N124" s="375"/>
      <c r="O124" s="375"/>
      <c r="P124" s="375"/>
      <c r="Q124" s="375"/>
      <c r="R124" s="375"/>
      <c r="S124" s="375"/>
      <c r="T124" s="375"/>
    </row>
    <row r="125" spans="2:20">
      <c r="B125" s="94" t="s">
        <v>1631</v>
      </c>
      <c r="C125" s="93" t="s">
        <v>2219</v>
      </c>
      <c r="D125" s="93">
        <v>12</v>
      </c>
      <c r="E125" s="93">
        <v>0.28999999999999998</v>
      </c>
      <c r="F125" s="93">
        <v>2.87</v>
      </c>
      <c r="G125" s="93">
        <f t="shared" si="24"/>
        <v>203.87222599859447</v>
      </c>
      <c r="H125" s="93">
        <f t="shared" si="25"/>
        <v>3.3631182117880978E-2</v>
      </c>
      <c r="I125" s="93">
        <f t="shared" si="26"/>
        <v>0.60273972602739734</v>
      </c>
      <c r="J125" s="535"/>
      <c r="K125" s="533"/>
      <c r="L125" s="532">
        <f t="shared" si="27"/>
        <v>0.16666666666666666</v>
      </c>
      <c r="M125" s="375"/>
      <c r="N125" s="375"/>
      <c r="O125" s="375"/>
      <c r="P125" s="375"/>
      <c r="Q125" s="375"/>
      <c r="R125" s="375"/>
      <c r="S125" s="375"/>
      <c r="T125" s="375"/>
    </row>
    <row r="126" spans="2:20">
      <c r="B126" s="94" t="s">
        <v>1631</v>
      </c>
      <c r="C126" s="93" t="s">
        <v>2220</v>
      </c>
      <c r="D126" s="93">
        <v>12</v>
      </c>
      <c r="E126" s="93">
        <v>0.66</v>
      </c>
      <c r="F126" s="93">
        <v>2.87</v>
      </c>
      <c r="G126" s="93">
        <f t="shared" si="24"/>
        <v>14.251398718221312</v>
      </c>
      <c r="H126" s="93">
        <f t="shared" si="25"/>
        <v>2.3509400722898899E-3</v>
      </c>
      <c r="I126" s="93">
        <f t="shared" si="26"/>
        <v>9.589041095890416E-2</v>
      </c>
      <c r="J126" s="535"/>
      <c r="K126" s="533"/>
      <c r="L126" s="532">
        <f t="shared" si="27"/>
        <v>0.16666666666666666</v>
      </c>
      <c r="M126" s="375"/>
      <c r="N126" s="375"/>
      <c r="O126" s="375"/>
      <c r="P126" s="375"/>
      <c r="Q126" s="375"/>
      <c r="R126" s="375"/>
      <c r="S126" s="375"/>
      <c r="T126" s="375"/>
    </row>
    <row r="127" spans="2:20">
      <c r="B127" s="94" t="s">
        <v>615</v>
      </c>
      <c r="C127" s="93" t="s">
        <v>2218</v>
      </c>
      <c r="D127" s="93">
        <v>12</v>
      </c>
      <c r="E127" s="93">
        <v>0.2</v>
      </c>
      <c r="F127" s="93">
        <v>1.62</v>
      </c>
      <c r="G127" s="93">
        <f t="shared" si="24"/>
        <v>427.07728056823947</v>
      </c>
      <c r="H127" s="93">
        <f t="shared" si="25"/>
        <v>7.0451547437848802E-2</v>
      </c>
      <c r="I127" s="93">
        <f t="shared" si="26"/>
        <v>0.72602739726027399</v>
      </c>
      <c r="J127" s="535"/>
      <c r="K127" s="533"/>
      <c r="L127" s="532">
        <f t="shared" si="27"/>
        <v>0.16666666666666666</v>
      </c>
      <c r="O127" s="529"/>
      <c r="T127" s="324"/>
    </row>
    <row r="128" spans="2:20">
      <c r="B128" s="94" t="s">
        <v>615</v>
      </c>
      <c r="C128" s="93" t="s">
        <v>2219</v>
      </c>
      <c r="D128" s="93">
        <v>12</v>
      </c>
      <c r="E128" s="93">
        <v>0.28999999999999998</v>
      </c>
      <c r="F128" s="93">
        <v>1.62</v>
      </c>
      <c r="G128" s="93">
        <f t="shared" si="24"/>
        <v>244.52049895904412</v>
      </c>
      <c r="H128" s="93">
        <f t="shared" si="25"/>
        <v>4.0336604909113186E-2</v>
      </c>
      <c r="I128" s="93">
        <f t="shared" si="26"/>
        <v>0.60273972602739734</v>
      </c>
      <c r="J128" s="535"/>
      <c r="K128" s="533"/>
      <c r="L128" s="532">
        <f t="shared" si="27"/>
        <v>0.16666666666666666</v>
      </c>
      <c r="O128" s="529"/>
      <c r="T128" s="324"/>
    </row>
    <row r="129" spans="2:20">
      <c r="B129" s="94" t="s">
        <v>615</v>
      </c>
      <c r="C129" s="93" t="s">
        <v>2220</v>
      </c>
      <c r="D129" s="93">
        <v>12</v>
      </c>
      <c r="E129" s="93">
        <v>0.66</v>
      </c>
      <c r="F129" s="93">
        <v>1.62</v>
      </c>
      <c r="G129" s="93">
        <f t="shared" si="24"/>
        <v>17.09285857048415</v>
      </c>
      <c r="H129" s="93">
        <f t="shared" si="25"/>
        <v>2.8196731393078439E-3</v>
      </c>
      <c r="I129" s="93">
        <f t="shared" si="26"/>
        <v>9.5890410958904174E-2</v>
      </c>
      <c r="J129" s="534"/>
      <c r="K129" s="533"/>
      <c r="L129" s="532">
        <f t="shared" si="27"/>
        <v>0.16666666666666666</v>
      </c>
      <c r="O129" s="529"/>
      <c r="T129" s="324"/>
    </row>
    <row r="130" spans="2:20">
      <c r="B130" s="7"/>
      <c r="C130" s="7"/>
      <c r="D130" s="7"/>
      <c r="E130" s="7"/>
      <c r="F130" s="7"/>
      <c r="G130" s="7">
        <f>SUMPRODUCT(G124:G129,$L$124:$L$129)</f>
        <v>210.48260655997598</v>
      </c>
      <c r="H130" s="7">
        <f>SUMPRODUCT(H124:H129,$L$124:$L$129)</f>
        <v>3.4721644104252054E-2</v>
      </c>
      <c r="I130" s="7">
        <f>SUMPRODUCT(I124:I129,$L$124:$L$129)</f>
        <v>0.47488584474885842</v>
      </c>
      <c r="J130" s="7">
        <f>SUMPRODUCT(J124:J129,$L$124:$L$129)</f>
        <v>0</v>
      </c>
      <c r="K130" s="7">
        <f>SUMPRODUCT(K124:K129,$L$124:$L$129)</f>
        <v>0</v>
      </c>
      <c r="L130" s="93"/>
      <c r="O130" s="529"/>
      <c r="T130" s="324"/>
    </row>
    <row r="131" spans="2:20">
      <c r="D131"/>
    </row>
    <row r="132" spans="2:20">
      <c r="B132"/>
      <c r="C132"/>
      <c r="D132"/>
    </row>
    <row r="133" spans="2:20">
      <c r="D133"/>
    </row>
    <row r="134" spans="2:20">
      <c r="C134" s="529"/>
    </row>
    <row r="135" spans="2:20">
      <c r="C135" s="324"/>
    </row>
    <row r="136" spans="2:20">
      <c r="D136"/>
    </row>
    <row r="137" spans="2:20">
      <c r="D137"/>
    </row>
    <row r="138" spans="2:20">
      <c r="D138"/>
      <c r="E138"/>
    </row>
    <row r="139" spans="2:20">
      <c r="D139"/>
    </row>
    <row r="140" spans="2:20">
      <c r="D140"/>
    </row>
    <row r="141" spans="2:20">
      <c r="D141"/>
    </row>
    <row r="142" spans="2:20">
      <c r="D142"/>
    </row>
    <row r="156" spans="2:5">
      <c r="C156" s="95"/>
      <c r="D156" s="95"/>
      <c r="E156" s="95"/>
    </row>
    <row r="157" spans="2:5">
      <c r="B157" s="95"/>
      <c r="C157" s="95"/>
      <c r="D157" s="95"/>
      <c r="E157" s="95"/>
    </row>
    <row r="158" spans="2:5">
      <c r="B158" s="95"/>
    </row>
    <row r="159" spans="2:5">
      <c r="B159" s="95"/>
    </row>
    <row r="160" spans="2:5">
      <c r="B160" s="95"/>
    </row>
    <row r="163" spans="2:7">
      <c r="B163" s="95"/>
      <c r="C163" s="95"/>
      <c r="D163" s="660"/>
      <c r="E163" s="540"/>
      <c r="F163" s="95"/>
      <c r="G163" s="95"/>
    </row>
  </sheetData>
  <phoneticPr fontId="35" type="noConversion"/>
  <dataValidations count="5">
    <dataValidation type="list" allowBlank="1" showInputMessage="1" showErrorMessage="1" sqref="D7" xr:uid="{7134C0BD-61A9-496D-87D2-DF80443F1141}">
      <formula1>$N$11:$O$11</formula1>
    </dataValidation>
    <dataValidation type="list" allowBlank="1" showInputMessage="1" showErrorMessage="1" sqref="B11:C20" xr:uid="{A5CA42D4-71C3-4005-B066-4314F17BF5CB}">
      <formula1>$N$7:$Q$7</formula1>
    </dataValidation>
    <dataValidation type="list" allowBlank="1" showInputMessage="1" showErrorMessage="1" sqref="D11:D20" xr:uid="{479E470C-F99A-442A-AE30-BDAE2709CCBC}">
      <formula1>$N$22:$AE$22</formula1>
    </dataValidation>
    <dataValidation type="list" allowBlank="1" showInputMessage="1" showErrorMessage="1" sqref="E11:E20" xr:uid="{608C2445-26D8-4E1F-8A57-D557EBE1ADB4}">
      <formula1>$N$16:$O$16</formula1>
    </dataValidation>
    <dataValidation type="list" allowBlank="1" showInputMessage="1" showErrorMessage="1" sqref="C59:L59" xr:uid="{09F17863-5934-4404-94B0-FA103E889AAF}">
      <formula1>$N$19:$AQ$19</formula1>
    </dataValidation>
  </dataValidations>
  <pageMargins left="0.7" right="0.7" top="0.75" bottom="0.75" header="0.3" footer="0.3"/>
  <pageSetup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EF172-944D-44E4-8C67-1A8BEFE2F94E}">
  <sheetPr codeName="Sheet53">
    <tabColor indexed="9"/>
  </sheetPr>
  <dimension ref="A1:AQ161"/>
  <sheetViews>
    <sheetView topLeftCell="A27" zoomScale="85" zoomScaleNormal="85" workbookViewId="0">
      <selection activeCell="C8" sqref="C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Refrigeration Tune-up</v>
      </c>
      <c r="C7" s="97" t="s">
        <v>2438</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Tune-up_CI, E - Refr (RET)</v>
      </c>
      <c r="J11" s="83" t="str">
        <f t="shared" ref="J11:J20" si="3">IF(B11="","",CONCATENATE($C$7,IF(C11="","",CONCATENATE(" with ",C11," Secondary Fuel"))))</f>
        <v>Refrigeration Tune Up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Refrigeration Tune-up_CI,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Tune-up_CI,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Refrigeration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Refrigeration Tune-up_CI,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Refrigeration Tune Up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Refrigeration Tune Up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Refrigeration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C59:L59" xr:uid="{5F5863CF-8537-42B0-B3CE-6FC44ABB6059}">
      <formula1>$N$19:$AQ$19</formula1>
    </dataValidation>
    <dataValidation type="list" allowBlank="1" showInputMessage="1" showErrorMessage="1" sqref="E11:E20" xr:uid="{17306D97-1575-420E-AE4F-8E3128908B88}">
      <formula1>$N$16:$O$16</formula1>
    </dataValidation>
    <dataValidation type="list" allowBlank="1" showInputMessage="1" showErrorMessage="1" sqref="D11:D20" xr:uid="{01A66AB0-FEA3-4A37-96D1-0A67762C2BFF}">
      <formula1>$N$22:$AE$22</formula1>
    </dataValidation>
    <dataValidation type="list" allowBlank="1" showInputMessage="1" showErrorMessage="1" sqref="B11:C20" xr:uid="{4A600043-C878-46EA-9F13-D7A0A22BD8CF}">
      <formula1>$N$7:$Q$7</formula1>
    </dataValidation>
    <dataValidation type="list" allowBlank="1" showInputMessage="1" showErrorMessage="1" sqref="D7" xr:uid="{3F2FFF0F-1F71-418C-810F-4F825C416E9E}">
      <formula1>$N$11:$O$11</formula1>
    </dataValidation>
  </dataValidations>
  <pageMargins left="0.7" right="0.7" top="0.75" bottom="0.75" header="0.3" footer="0.3"/>
  <pageSetup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2BA7-D6C6-4A22-A8F4-7F85D9B0E714}">
  <sheetPr codeName="Sheet54">
    <tabColor indexed="9"/>
  </sheetPr>
  <dimension ref="A1:AQ161"/>
  <sheetViews>
    <sheetView topLeftCell="A24"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Cooler Freezer Gasket</v>
      </c>
      <c r="C7" s="97" t="s">
        <v>2397</v>
      </c>
      <c r="D7" s="97" t="s">
        <v>211</v>
      </c>
      <c r="E7" s="97">
        <v>4</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Cooler Freezer Gasket_CI, E - Refr (RET)</v>
      </c>
      <c r="J11" s="83" t="str">
        <f t="shared" ref="J11:J20" si="3">IF(B11="","",CONCATENATE($C$7,IF(C11="","",CONCATENATE(" with ",C11," Secondary Fuel"))))</f>
        <v>Replace Cooler and Freezer Door Gaskets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Cooler Freezer Gasket_CI,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Cooler Freezer Gasket_CI,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Replace Cooler and Freezer Door Gaskets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Cooler Freezer Gasket_CI,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Replace Cooler and Freezer Door Gaskets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Replace Cooler and Freezer Door Gaskets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2399</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C125</f>
        <v>1935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E125</f>
        <v>0.5</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J125</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K125</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Replace Cooler and Freezer Door Gaskets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2225</v>
      </c>
      <c r="F105"/>
    </row>
    <row r="106" spans="1:22">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2226</v>
      </c>
      <c r="C111" s="93">
        <v>30</v>
      </c>
      <c r="D111" s="286" t="s">
        <v>2229</v>
      </c>
      <c r="E111" s="286" t="s">
        <v>2230</v>
      </c>
    </row>
    <row r="112" spans="1:22">
      <c r="B112" s="93" t="s">
        <v>2227</v>
      </c>
      <c r="C112" s="93">
        <v>15</v>
      </c>
      <c r="D112" s="286" t="s">
        <v>2229</v>
      </c>
      <c r="E112" s="93" t="s">
        <v>2232</v>
      </c>
    </row>
    <row r="113" spans="2:20">
      <c r="B113" s="93" t="s">
        <v>2228</v>
      </c>
      <c r="C113" s="93">
        <v>114</v>
      </c>
      <c r="D113" s="286" t="s">
        <v>2229</v>
      </c>
      <c r="E113" s="93" t="s">
        <v>2232</v>
      </c>
    </row>
    <row r="114" spans="2:20">
      <c r="B114" s="93" t="s">
        <v>34</v>
      </c>
      <c r="C114" s="93">
        <v>1</v>
      </c>
      <c r="D114" s="286" t="s">
        <v>2229</v>
      </c>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t="s">
        <v>2231</v>
      </c>
      <c r="C122" s="536" t="s">
        <v>500</v>
      </c>
      <c r="D122" s="94" t="s">
        <v>499</v>
      </c>
      <c r="E122" s="94" t="s">
        <v>244</v>
      </c>
      <c r="F122" s="94" t="s">
        <v>497</v>
      </c>
      <c r="G122" s="94"/>
      <c r="H122" s="95"/>
      <c r="I122" s="95"/>
      <c r="J122" s="95"/>
      <c r="K122" s="95"/>
      <c r="L122" s="95"/>
      <c r="M122" s="95"/>
      <c r="N122" s="95"/>
      <c r="O122" s="95"/>
      <c r="P122" s="95"/>
      <c r="Q122" s="95"/>
      <c r="R122" s="95"/>
      <c r="S122" s="95"/>
      <c r="T122" s="95"/>
    </row>
    <row r="123" spans="2:20">
      <c r="B123" s="93" t="s">
        <v>1631</v>
      </c>
      <c r="C123" s="93">
        <f>$C$111*C112</f>
        <v>450</v>
      </c>
      <c r="D123" s="93">
        <f>C123*$C$114/8760</f>
        <v>5.1369863013698627E-2</v>
      </c>
      <c r="E123" s="93">
        <f>0.5</f>
        <v>0.5</v>
      </c>
      <c r="F123" s="93">
        <f>1/COUNT($C$123:$C$124)</f>
        <v>0.5</v>
      </c>
      <c r="G123" s="93"/>
      <c r="H123" s="375"/>
      <c r="I123" s="375"/>
      <c r="J123" s="375"/>
      <c r="K123" s="375"/>
      <c r="L123" s="375"/>
      <c r="M123" s="375"/>
      <c r="N123" s="375"/>
      <c r="O123" s="375"/>
      <c r="P123" s="375"/>
      <c r="Q123" s="375"/>
      <c r="R123" s="375"/>
      <c r="S123" s="375"/>
      <c r="T123" s="375"/>
    </row>
    <row r="124" spans="2:20">
      <c r="B124" s="93" t="s">
        <v>615</v>
      </c>
      <c r="C124" s="93">
        <f>$C$111*C113</f>
        <v>3420</v>
      </c>
      <c r="D124" s="93">
        <f>C124*$C$114/8760</f>
        <v>0.3904109589041096</v>
      </c>
      <c r="E124" s="93">
        <f>0.5</f>
        <v>0.5</v>
      </c>
      <c r="F124" s="93">
        <f>1/COUNT($C$123:$C$124)</f>
        <v>0.5</v>
      </c>
      <c r="G124" s="93"/>
      <c r="O124" s="529"/>
      <c r="T124" s="324"/>
    </row>
    <row r="125" spans="2:20">
      <c r="B125" s="7"/>
      <c r="C125" s="7">
        <f>SUMPRODUCT(C123:C124,$F$123:$F$124)</f>
        <v>1935</v>
      </c>
      <c r="D125" s="609">
        <f>SUMPRODUCT(D123:D124,$F$123:$F$124)</f>
        <v>0.2208904109589041</v>
      </c>
      <c r="E125" s="7">
        <f>SUMPRODUCT(E123:E124,$F$123:$F$124)</f>
        <v>0.5</v>
      </c>
      <c r="F125" s="7"/>
      <c r="G125" s="7"/>
      <c r="O125" s="529"/>
      <c r="T125" s="324"/>
    </row>
    <row r="126" spans="2:20">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v>
      </c>
      <c r="F160" s="93" t="e">
        <f>E160/B160</f>
        <v>#REF!</v>
      </c>
      <c r="G160" s="93"/>
    </row>
    <row r="161" spans="2:7">
      <c r="B161" s="93"/>
      <c r="C161" s="93"/>
      <c r="D161" s="93"/>
      <c r="E161" s="93"/>
      <c r="F161" s="93"/>
      <c r="G161" s="93"/>
    </row>
  </sheetData>
  <mergeCells count="1">
    <mergeCell ref="C152:E152"/>
  </mergeCells>
  <phoneticPr fontId="35" type="noConversion"/>
  <dataValidations count="5">
    <dataValidation type="list" allowBlank="1" showInputMessage="1" showErrorMessage="1" sqref="D7" xr:uid="{4A17FD64-4BD2-4AA5-BD32-455C60278ABD}">
      <formula1>$N$11:$O$11</formula1>
    </dataValidation>
    <dataValidation type="list" allowBlank="1" showInputMessage="1" showErrorMessage="1" sqref="B11:C20" xr:uid="{222117B9-9771-43C4-A398-761F182DA89F}">
      <formula1>$N$7:$Q$7</formula1>
    </dataValidation>
    <dataValidation type="list" allowBlank="1" showInputMessage="1" showErrorMessage="1" sqref="D11:D20" xr:uid="{E1B01516-5B62-48B6-AEAC-DCEBCF2D057F}">
      <formula1>$N$22:$AE$22</formula1>
    </dataValidation>
    <dataValidation type="list" allowBlank="1" showInputMessage="1" showErrorMessage="1" sqref="E11:E20" xr:uid="{D786E419-2ED1-4066-9FBF-A941DCF77D61}">
      <formula1>$N$16:$O$16</formula1>
    </dataValidation>
    <dataValidation type="list" allowBlank="1" showInputMessage="1" showErrorMessage="1" sqref="C59:L59" xr:uid="{0B1F3E27-8645-499F-B36D-1EFAAF32DA9B}">
      <formula1>$N$19:$AQ$19</formula1>
    </dataValidation>
  </dataValidations>
  <pageMargins left="0.7" right="0.7" top="0.75" bottom="0.75" header="0.3" footer="0.3"/>
  <pageSetup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21E0-D860-4163-AC06-BDAEE5C8FA2E}">
  <sheetPr codeName="Sheet57">
    <tabColor indexed="9"/>
  </sheetPr>
  <dimension ref="A1:AQ161"/>
  <sheetViews>
    <sheetView zoomScale="85" zoomScaleNormal="85" workbookViewId="0">
      <selection activeCell="C8" sqref="C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Walkin Cooler</v>
      </c>
      <c r="C7" s="97" t="s">
        <v>2439</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Walkin Cooler_CI, E - Refr (RET)</v>
      </c>
      <c r="J11" s="83" t="str">
        <f t="shared" ref="J11:J20" si="3">IF(B11="","",CONCATENATE($C$7,IF(C11="","",CONCATENATE(" with ",C11," Secondary Fuel"))))</f>
        <v>Walk-in Cooler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Walkin Cooler_CI,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Walkin Cooler_CI,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Walk-in Cooler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Walkin Cooler_CI,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Walk-in Cooler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Walk-in Cooler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Walk-in Cooler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FB63290C-A13A-4390-8B84-CB4C082590F9}">
      <formula1>$N$11:$O$11</formula1>
    </dataValidation>
    <dataValidation type="list" allowBlank="1" showInputMessage="1" showErrorMessage="1" sqref="B11:C20" xr:uid="{2728C0D2-E282-4D56-B564-CB38F3287FF8}">
      <formula1>$N$7:$Q$7</formula1>
    </dataValidation>
    <dataValidation type="list" allowBlank="1" showInputMessage="1" showErrorMessage="1" sqref="D11:D20" xr:uid="{215A946C-3204-4B0D-8DDD-980D13933572}">
      <formula1>$N$22:$AE$22</formula1>
    </dataValidation>
    <dataValidation type="list" allowBlank="1" showInputMessage="1" showErrorMessage="1" sqref="E11:E20" xr:uid="{E5FF4F21-7EC6-4C71-94DC-10016A34BD0F}">
      <formula1>$N$16:$O$16</formula1>
    </dataValidation>
    <dataValidation type="list" allowBlank="1" showInputMessage="1" showErrorMessage="1" sqref="C59:L59" xr:uid="{EA700BEF-56D0-451A-B412-9E9A1A7B591F}">
      <formula1>$N$19:$AQ$19</formula1>
    </dataValidation>
  </dataValidations>
  <pageMargins left="0.7" right="0.7" top="0.75" bottom="0.75" header="0.3" footer="0.3"/>
  <pageSetup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DCBD-6AA1-4AE0-8B71-BB6127E00E38}">
  <sheetPr codeName="Sheet58">
    <tabColor theme="1" tint="0.249977111117893"/>
  </sheetPr>
  <dimension ref="A1:AQ126"/>
  <sheetViews>
    <sheetView topLeftCell="A18"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Blower Motor</v>
      </c>
      <c r="C7" s="98" t="s">
        <v>2242</v>
      </c>
      <c r="D7" s="97" t="s">
        <v>211</v>
      </c>
      <c r="E7" s="97">
        <f>C121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Blower Motor_CI, E - Vent (RET)</v>
      </c>
      <c r="J11" s="83" t="str">
        <f t="shared" ref="J11:J20" si="3">IF(B11="","",CONCATENATE($C$7,IF(C11="","",CONCATENATE(" with ",C11," Secondary Fuel"))))</f>
        <v>ECM Blower Motor</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ECM Blower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Blower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ECM Blower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ECM Blower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Blower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Blower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Blower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2243</v>
      </c>
    </row>
    <row r="106" spans="1:22">
      <c r="B106" t="s">
        <v>2244</v>
      </c>
    </row>
    <row r="107" spans="1:22">
      <c r="B107" s="1" t="s">
        <v>2245</v>
      </c>
    </row>
    <row r="108" spans="1:22" s="63" customFormat="1" ht="15.75" thickBot="1">
      <c r="B108" s="63" t="s">
        <v>50</v>
      </c>
    </row>
    <row r="110" spans="1:22">
      <c r="B110" s="501" t="s">
        <v>1489</v>
      </c>
      <c r="C110" s="93"/>
      <c r="D110" s="93"/>
      <c r="E110" s="93"/>
      <c r="K110"/>
      <c r="L110"/>
      <c r="M110"/>
    </row>
    <row r="111" spans="1:22">
      <c r="B111" s="94" t="s">
        <v>1488</v>
      </c>
      <c r="C111" s="94" t="s">
        <v>410</v>
      </c>
      <c r="D111" s="94" t="s">
        <v>409</v>
      </c>
      <c r="E111" s="94" t="s">
        <v>122</v>
      </c>
      <c r="K111"/>
      <c r="L111"/>
      <c r="M111"/>
    </row>
    <row r="112" spans="1:22">
      <c r="B112" s="93" t="s">
        <v>2171</v>
      </c>
      <c r="C112" s="97">
        <v>500</v>
      </c>
      <c r="D112" s="93" t="s">
        <v>2238</v>
      </c>
      <c r="E112" s="286"/>
      <c r="K112"/>
      <c r="L112"/>
      <c r="M112"/>
    </row>
    <row r="113" spans="2:13">
      <c r="B113" s="93" t="s">
        <v>2233</v>
      </c>
      <c r="C113" s="93">
        <v>0.38</v>
      </c>
      <c r="D113" s="93" t="s">
        <v>2238</v>
      </c>
      <c r="E113" s="286"/>
      <c r="K113"/>
      <c r="L113"/>
      <c r="M113"/>
    </row>
    <row r="114" spans="2:13">
      <c r="B114" s="93" t="s">
        <v>1959</v>
      </c>
      <c r="C114" s="93">
        <v>0.9</v>
      </c>
      <c r="D114" s="93" t="s">
        <v>2238</v>
      </c>
      <c r="E114" s="286"/>
      <c r="K114"/>
      <c r="L114"/>
      <c r="M114"/>
    </row>
    <row r="115" spans="2:13">
      <c r="B115" s="93" t="s">
        <v>2234</v>
      </c>
      <c r="C115" s="93">
        <v>7000</v>
      </c>
      <c r="D115" s="93" t="s">
        <v>2238</v>
      </c>
      <c r="E115" s="93"/>
      <c r="K115"/>
      <c r="L115"/>
      <c r="M115"/>
    </row>
    <row r="116" spans="2:13">
      <c r="B116" s="93" t="s">
        <v>2235</v>
      </c>
      <c r="C116" s="93">
        <v>0.02</v>
      </c>
      <c r="D116" s="93" t="s">
        <v>2238</v>
      </c>
      <c r="E116" s="93" t="s">
        <v>2239</v>
      </c>
      <c r="K116"/>
      <c r="L116"/>
      <c r="M116"/>
    </row>
    <row r="117" spans="2:13">
      <c r="B117" s="93" t="s">
        <v>2236</v>
      </c>
      <c r="C117" s="93">
        <v>0.23</v>
      </c>
      <c r="D117" s="93" t="s">
        <v>2238</v>
      </c>
      <c r="E117" s="93"/>
      <c r="K117"/>
      <c r="L117"/>
      <c r="M117"/>
    </row>
    <row r="118" spans="2:13">
      <c r="B118" s="93" t="s">
        <v>2237</v>
      </c>
      <c r="C118" s="93">
        <v>0</v>
      </c>
      <c r="D118" s="93" t="s">
        <v>2238</v>
      </c>
      <c r="E118" s="93"/>
      <c r="K118"/>
      <c r="L118"/>
      <c r="M118"/>
    </row>
    <row r="119" spans="2:13">
      <c r="B119" s="93" t="s">
        <v>34</v>
      </c>
      <c r="C119" s="93">
        <v>0.8</v>
      </c>
      <c r="D119" s="93" t="s">
        <v>2238</v>
      </c>
      <c r="E119" s="93"/>
      <c r="K119"/>
      <c r="L119"/>
      <c r="M119"/>
    </row>
    <row r="120" spans="2:13">
      <c r="B120" s="93" t="s">
        <v>2246</v>
      </c>
      <c r="C120" s="93">
        <v>0.1313</v>
      </c>
      <c r="D120" s="93" t="s">
        <v>2238</v>
      </c>
      <c r="E120" s="93"/>
      <c r="K120"/>
      <c r="L120"/>
      <c r="M120"/>
    </row>
    <row r="121" spans="2:13">
      <c r="B121" s="93" t="s">
        <v>518</v>
      </c>
      <c r="C121" s="93">
        <v>15</v>
      </c>
      <c r="D121" s="93" t="s">
        <v>2238</v>
      </c>
      <c r="E121" s="93"/>
      <c r="K121"/>
      <c r="L121"/>
      <c r="M121"/>
    </row>
    <row r="122" spans="2:13">
      <c r="K122"/>
      <c r="L122"/>
      <c r="M122"/>
    </row>
    <row r="123" spans="2:13">
      <c r="B123" s="94" t="s">
        <v>533</v>
      </c>
      <c r="C123" s="94"/>
      <c r="D123" s="94"/>
      <c r="E123" s="94"/>
      <c r="F123" s="94"/>
      <c r="G123" s="94"/>
      <c r="H123" s="94"/>
      <c r="I123" s="94"/>
      <c r="J123" s="94"/>
    </row>
    <row r="124" spans="2:13">
      <c r="B124" s="94" t="s">
        <v>1451</v>
      </c>
      <c r="C124" s="94" t="s">
        <v>2240</v>
      </c>
      <c r="D124" s="94" t="s">
        <v>2241</v>
      </c>
      <c r="E124" s="94" t="s">
        <v>500</v>
      </c>
      <c r="F124" s="94" t="s">
        <v>499</v>
      </c>
      <c r="G124" s="497" t="s">
        <v>244</v>
      </c>
      <c r="H124" s="497" t="s">
        <v>9</v>
      </c>
      <c r="I124" s="497" t="s">
        <v>8</v>
      </c>
      <c r="J124" s="497" t="s">
        <v>7</v>
      </c>
    </row>
    <row r="125" spans="2:13">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c r="B126" s="7" t="s">
        <v>0</v>
      </c>
      <c r="C126" s="7"/>
      <c r="D126" s="7"/>
      <c r="E126" s="7">
        <f>E125</f>
        <v>1220.94</v>
      </c>
      <c r="F126" s="7">
        <f>F125</f>
        <v>0.15476184000000001</v>
      </c>
      <c r="G126" s="7">
        <f>G125</f>
        <v>0.38</v>
      </c>
      <c r="H126" s="7">
        <f>H125</f>
        <v>0</v>
      </c>
      <c r="I126" s="7">
        <f>I125</f>
        <v>0</v>
      </c>
      <c r="J126" s="93"/>
    </row>
  </sheetData>
  <phoneticPr fontId="35" type="noConversion"/>
  <dataValidations count="5">
    <dataValidation type="list" allowBlank="1" showInputMessage="1" showErrorMessage="1" sqref="C59:L59" xr:uid="{7831A5E4-C605-4DF2-BF29-B1782F52882F}">
      <formula1>$N$19:$AQ$19</formula1>
    </dataValidation>
    <dataValidation type="list" allowBlank="1" showInputMessage="1" showErrorMessage="1" sqref="E11:E20" xr:uid="{F6957956-866C-42D1-ADBC-C6BDDD441842}">
      <formula1>$N$16:$O$16</formula1>
    </dataValidation>
    <dataValidation type="list" allowBlank="1" showInputMessage="1" showErrorMessage="1" sqref="D11:D20" xr:uid="{DDF73EE8-2830-4A57-9F42-3F5D3271480F}">
      <formula1>$N$22:$AE$22</formula1>
    </dataValidation>
    <dataValidation type="list" allowBlank="1" showInputMessage="1" showErrorMessage="1" sqref="B11:C20" xr:uid="{51312EBF-6AC2-4D86-B487-2D6CD9FB0609}">
      <formula1>$N$7:$Q$7</formula1>
    </dataValidation>
    <dataValidation type="list" allowBlank="1" showInputMessage="1" showErrorMessage="1" sqref="D7" xr:uid="{300FEA99-D617-4CA9-86F7-BD2996D28254}">
      <formula1>$N$11:$O$11</formula1>
    </dataValidation>
  </dataValidations>
  <pageMargins left="0.7" right="0.7" top="0.75" bottom="0.75" header="0.3" footer="0.3"/>
  <pageSetup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E836-2E25-478E-8B5B-D579BC80AB66}">
  <sheetPr codeName="Sheet59">
    <tabColor theme="1" tint="0.249977111117893"/>
  </sheetPr>
  <dimension ref="A1:AQ126"/>
  <sheetViews>
    <sheetView zoomScale="85" zoomScaleNormal="85" workbookViewId="0">
      <selection activeCell="C8" sqref="C8"/>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Fan Motor</v>
      </c>
      <c r="C7" s="98" t="s">
        <v>2428</v>
      </c>
      <c r="D7" s="97" t="s">
        <v>211</v>
      </c>
      <c r="E7" s="97">
        <f>C121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Fan Motor_CI, E - Vent (RET)</v>
      </c>
      <c r="J11" s="83" t="str">
        <f t="shared" ref="J11:J20" si="3">IF(B11="","",CONCATENATE($C$7,IF(C11="","",CONCATENATE(" with ",C11," Secondary Fuel"))))</f>
        <v>ECM Fan Motor</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ECM Fan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Fan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ECM Fan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ECM Fan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Fan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Fan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Fan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2243</v>
      </c>
    </row>
    <row r="106" spans="1:22">
      <c r="B106" t="s">
        <v>2244</v>
      </c>
    </row>
    <row r="107" spans="1:22">
      <c r="B107" s="1" t="s">
        <v>2245</v>
      </c>
    </row>
    <row r="108" spans="1:22" s="63" customFormat="1" ht="15.75" thickBot="1">
      <c r="B108" s="63" t="s">
        <v>50</v>
      </c>
    </row>
    <row r="110" spans="1:22">
      <c r="B110" s="501" t="s">
        <v>1489</v>
      </c>
      <c r="C110" s="93"/>
      <c r="D110" s="93"/>
      <c r="E110" s="93"/>
      <c r="K110"/>
      <c r="L110"/>
      <c r="M110"/>
    </row>
    <row r="111" spans="1:22">
      <c r="B111" s="94" t="s">
        <v>1488</v>
      </c>
      <c r="C111" s="94" t="s">
        <v>410</v>
      </c>
      <c r="D111" s="94" t="s">
        <v>409</v>
      </c>
      <c r="E111" s="94" t="s">
        <v>122</v>
      </c>
      <c r="K111"/>
      <c r="L111"/>
      <c r="M111"/>
    </row>
    <row r="112" spans="1:22">
      <c r="B112" s="93" t="s">
        <v>2171</v>
      </c>
      <c r="C112" s="97">
        <v>500</v>
      </c>
      <c r="D112" s="93" t="s">
        <v>2238</v>
      </c>
      <c r="E112" s="286"/>
      <c r="K112"/>
      <c r="L112"/>
      <c r="M112"/>
    </row>
    <row r="113" spans="2:13">
      <c r="B113" s="93" t="s">
        <v>2233</v>
      </c>
      <c r="C113" s="93">
        <v>0.38</v>
      </c>
      <c r="D113" s="93" t="s">
        <v>2238</v>
      </c>
      <c r="E113" s="286"/>
      <c r="K113"/>
      <c r="L113"/>
      <c r="M113"/>
    </row>
    <row r="114" spans="2:13">
      <c r="B114" s="93" t="s">
        <v>1959</v>
      </c>
      <c r="C114" s="93">
        <v>0.9</v>
      </c>
      <c r="D114" s="93" t="s">
        <v>2238</v>
      </c>
      <c r="E114" s="286"/>
      <c r="K114"/>
      <c r="L114"/>
      <c r="M114"/>
    </row>
    <row r="115" spans="2:13">
      <c r="B115" s="93" t="s">
        <v>2234</v>
      </c>
      <c r="C115" s="93">
        <v>7000</v>
      </c>
      <c r="D115" s="93" t="s">
        <v>2238</v>
      </c>
      <c r="E115" s="93"/>
      <c r="K115"/>
      <c r="L115"/>
      <c r="M115"/>
    </row>
    <row r="116" spans="2:13">
      <c r="B116" s="93" t="s">
        <v>2235</v>
      </c>
      <c r="C116" s="93">
        <v>0.02</v>
      </c>
      <c r="D116" s="93" t="s">
        <v>2238</v>
      </c>
      <c r="E116" s="93" t="s">
        <v>2239</v>
      </c>
      <c r="K116"/>
      <c r="L116"/>
      <c r="M116"/>
    </row>
    <row r="117" spans="2:13">
      <c r="B117" s="93" t="s">
        <v>2236</v>
      </c>
      <c r="C117" s="93">
        <v>0.23</v>
      </c>
      <c r="D117" s="93" t="s">
        <v>2238</v>
      </c>
      <c r="E117" s="93"/>
      <c r="K117"/>
      <c r="L117"/>
      <c r="M117"/>
    </row>
    <row r="118" spans="2:13">
      <c r="B118" s="93" t="s">
        <v>2237</v>
      </c>
      <c r="C118" s="93">
        <v>0</v>
      </c>
      <c r="D118" s="93" t="s">
        <v>2238</v>
      </c>
      <c r="E118" s="93"/>
      <c r="K118"/>
      <c r="L118"/>
      <c r="M118"/>
    </row>
    <row r="119" spans="2:13">
      <c r="B119" s="93" t="s">
        <v>34</v>
      </c>
      <c r="C119" s="93">
        <v>0.8</v>
      </c>
      <c r="D119" s="93" t="s">
        <v>2238</v>
      </c>
      <c r="E119" s="93"/>
      <c r="K119"/>
      <c r="L119"/>
      <c r="M119"/>
    </row>
    <row r="120" spans="2:13">
      <c r="B120" s="93" t="s">
        <v>2246</v>
      </c>
      <c r="C120" s="93">
        <v>0.1313</v>
      </c>
      <c r="D120" s="93" t="s">
        <v>2238</v>
      </c>
      <c r="E120" s="93"/>
      <c r="K120"/>
      <c r="L120"/>
      <c r="M120"/>
    </row>
    <row r="121" spans="2:13">
      <c r="B121" s="93" t="s">
        <v>518</v>
      </c>
      <c r="C121" s="93">
        <v>15</v>
      </c>
      <c r="D121" s="93" t="s">
        <v>2238</v>
      </c>
      <c r="E121" s="93"/>
      <c r="K121"/>
      <c r="L121"/>
      <c r="M121"/>
    </row>
    <row r="122" spans="2:13">
      <c r="K122"/>
      <c r="L122"/>
      <c r="M122"/>
    </row>
    <row r="123" spans="2:13">
      <c r="B123" s="94" t="s">
        <v>533</v>
      </c>
      <c r="C123" s="94"/>
      <c r="D123" s="94"/>
      <c r="E123" s="94"/>
      <c r="F123" s="94"/>
      <c r="G123" s="94"/>
      <c r="H123" s="94"/>
      <c r="I123" s="94"/>
      <c r="J123" s="94"/>
    </row>
    <row r="124" spans="2:13">
      <c r="B124" s="94" t="s">
        <v>1451</v>
      </c>
      <c r="C124" s="94" t="s">
        <v>2240</v>
      </c>
      <c r="D124" s="94" t="s">
        <v>2241</v>
      </c>
      <c r="E124" s="94" t="s">
        <v>500</v>
      </c>
      <c r="F124" s="94" t="s">
        <v>499</v>
      </c>
      <c r="G124" s="497" t="s">
        <v>244</v>
      </c>
      <c r="H124" s="497" t="s">
        <v>9</v>
      </c>
      <c r="I124" s="497" t="s">
        <v>8</v>
      </c>
      <c r="J124" s="497" t="s">
        <v>7</v>
      </c>
    </row>
    <row r="125" spans="2:13">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c r="B126" s="7" t="s">
        <v>0</v>
      </c>
      <c r="C126" s="7"/>
      <c r="D126" s="7"/>
      <c r="E126" s="7">
        <f>E125</f>
        <v>1220.94</v>
      </c>
      <c r="F126" s="7">
        <f>F125</f>
        <v>0.15476184000000001</v>
      </c>
      <c r="G126" s="7">
        <f>G125</f>
        <v>0.38</v>
      </c>
      <c r="H126" s="7">
        <f>H125</f>
        <v>0</v>
      </c>
      <c r="I126" s="7">
        <f>I125</f>
        <v>0</v>
      </c>
      <c r="J126" s="93"/>
    </row>
  </sheetData>
  <dataValidations count="5">
    <dataValidation type="list" allowBlank="1" showInputMessage="1" showErrorMessage="1" sqref="D7" xr:uid="{DE0E5EF0-47D0-41DC-860E-0C8A24BB7A6D}">
      <formula1>$N$11:$O$11</formula1>
    </dataValidation>
    <dataValidation type="list" allowBlank="1" showInputMessage="1" showErrorMessage="1" sqref="B11:C20" xr:uid="{9E872AA8-73C8-4A5C-83A6-8BF2F2B5A80C}">
      <formula1>$N$7:$Q$7</formula1>
    </dataValidation>
    <dataValidation type="list" allowBlank="1" showInputMessage="1" showErrorMessage="1" sqref="D11:D20" xr:uid="{8AC860B8-1C2F-4264-AB90-6FC7E4BA3697}">
      <formula1>$N$22:$AE$22</formula1>
    </dataValidation>
    <dataValidation type="list" allowBlank="1" showInputMessage="1" showErrorMessage="1" sqref="E11:E20" xr:uid="{1920D054-6982-46BA-ABE5-6E391C2B8C29}">
      <formula1>$N$16:$O$16</formula1>
    </dataValidation>
    <dataValidation type="list" allowBlank="1" showInputMessage="1" showErrorMessage="1" sqref="C59:L59" xr:uid="{D452A450-A6E6-4339-A38B-F1949E82288A}">
      <formula1>$N$19:$AQ$19</formula1>
    </dataValidation>
  </dataValidations>
  <pageMargins left="0.7" right="0.7" top="0.75" bottom="0.75" header="0.3" footer="0.3"/>
  <pageSetup orientation="portrait" r:id="rId1"/>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65725-952B-4888-B441-259A13747260}">
  <sheetPr codeName="Sheet60">
    <tabColor theme="1" tint="0.249977111117893"/>
  </sheetPr>
  <dimension ref="A1:AQ121"/>
  <sheetViews>
    <sheetView topLeftCell="A24"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Garage Exhaust</v>
      </c>
      <c r="C7" s="98" t="s">
        <v>2404</v>
      </c>
      <c r="D7" s="97" t="s">
        <v>212</v>
      </c>
      <c r="E7" s="97">
        <f>C114</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Garage Exhaust_Res, E - Vent (RET)</v>
      </c>
      <c r="J11" s="83" t="str">
        <f t="shared" ref="J11:J20" si="3">IF(B11="","",CONCATENATE($C$7,IF(C11="","",CONCATENATE(" with ",C11," Secondary Fuel"))))</f>
        <v>Garage Exhaust Control</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Garage Exhaust_Res,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Garage Exhaust_Res,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Garage Exhaust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Garage Exhaust_Res,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Garage Exhaust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Garage Exhaust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C121</f>
        <v>9450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E121</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C116</f>
        <v>1500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0.15873015873015872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Garage Exhaust Control</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2285</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8760</v>
      </c>
      <c r="D112" s="57" t="s">
        <v>2286</v>
      </c>
      <c r="E112"/>
    </row>
    <row r="113" spans="2:17">
      <c r="B113" s="57" t="s">
        <v>34</v>
      </c>
      <c r="C113" s="57">
        <v>1</v>
      </c>
      <c r="D113" s="57" t="s">
        <v>2286</v>
      </c>
      <c r="E113"/>
    </row>
    <row r="114" spans="2:17">
      <c r="B114" s="57" t="s">
        <v>518</v>
      </c>
      <c r="C114" s="57">
        <v>10</v>
      </c>
      <c r="D114" s="57" t="s">
        <v>2286</v>
      </c>
      <c r="E114"/>
    </row>
    <row r="115" spans="2:17">
      <c r="B115" s="57" t="s">
        <v>2287</v>
      </c>
      <c r="C115" s="649">
        <v>1178</v>
      </c>
      <c r="D115" s="57" t="s">
        <v>2286</v>
      </c>
      <c r="E115"/>
    </row>
    <row r="116" spans="2:17">
      <c r="B116" s="57" t="s">
        <v>438</v>
      </c>
      <c r="C116" s="649">
        <v>1500</v>
      </c>
      <c r="D116" s="57" t="s">
        <v>2286</v>
      </c>
      <c r="E116"/>
    </row>
    <row r="117" spans="2:17">
      <c r="B117" s="57" t="s">
        <v>2289</v>
      </c>
      <c r="C117" s="650">
        <v>945</v>
      </c>
      <c r="D117" s="57" t="s">
        <v>2286</v>
      </c>
      <c r="E117"/>
    </row>
    <row r="118" spans="2:17">
      <c r="B118" s="58"/>
      <c r="C118" s="58"/>
      <c r="D118" s="58"/>
      <c r="E118" s="540"/>
    </row>
    <row r="119" spans="2:17">
      <c r="B119" s="215" t="s">
        <v>2288</v>
      </c>
      <c r="C119" s="94" t="s">
        <v>500</v>
      </c>
      <c r="D119" s="94" t="s">
        <v>499</v>
      </c>
      <c r="E119" s="94" t="s">
        <v>2007</v>
      </c>
      <c r="F119" s="94" t="s">
        <v>7</v>
      </c>
    </row>
    <row r="120" spans="2:17">
      <c r="B120" s="305">
        <v>10000</v>
      </c>
      <c r="C120" s="93">
        <f>B120*C117/1000</f>
        <v>9450</v>
      </c>
      <c r="D120" s="643">
        <v>0</v>
      </c>
      <c r="E120" s="93" t="s">
        <v>331</v>
      </c>
      <c r="F120" s="93">
        <f>1/COUNT($C$120:$C$120)</f>
        <v>1</v>
      </c>
    </row>
    <row r="121" spans="2:17">
      <c r="B121" s="26"/>
      <c r="C121" s="2">
        <f>SUMPRODUCT(C120:C120,$F$120:$F$120)</f>
        <v>9450</v>
      </c>
      <c r="D121" s="2">
        <f>SUMPRODUCT(D120:D120,$F$120:$F$120)</f>
        <v>0</v>
      </c>
      <c r="E121" s="290">
        <f>SUMPRODUCT(E120:E120,$F$120:$F$120)</f>
        <v>0</v>
      </c>
      <c r="F121" s="26"/>
      <c r="J121" s="26"/>
      <c r="K121" s="26"/>
      <c r="L121" s="26"/>
      <c r="M121" s="26"/>
      <c r="N121" s="26"/>
      <c r="O121" s="27"/>
      <c r="P121" s="27"/>
      <c r="Q121" s="27"/>
    </row>
  </sheetData>
  <phoneticPr fontId="35" type="noConversion"/>
  <dataValidations count="5">
    <dataValidation type="list" allowBlank="1" showInputMessage="1" showErrorMessage="1" sqref="C59:L59" xr:uid="{9CB54379-8E68-47CE-B687-5C8A2158FA28}">
      <formula1>$N$19:$AQ$19</formula1>
    </dataValidation>
    <dataValidation type="list" allowBlank="1" showInputMessage="1" showErrorMessage="1" sqref="E11:E20" xr:uid="{701264B0-6D07-4B47-A7BE-9402A9F115B0}">
      <formula1>$N$16:$O$16</formula1>
    </dataValidation>
    <dataValidation type="list" allowBlank="1" showInputMessage="1" showErrorMessage="1" sqref="D11:D20" xr:uid="{616EC730-1B8D-4372-98BF-DB0C90CB165C}">
      <formula1>$N$22:$AE$22</formula1>
    </dataValidation>
    <dataValidation type="list" allowBlank="1" showInputMessage="1" showErrorMessage="1" sqref="B11:C20" xr:uid="{53A5F1DB-A060-4B69-8064-148293293562}">
      <formula1>$N$7:$Q$7</formula1>
    </dataValidation>
    <dataValidation type="list" allowBlank="1" showInputMessage="1" showErrorMessage="1" sqref="D7" xr:uid="{1C79FAF7-6D52-41E0-9DB2-7A09935A6A91}">
      <formula1>$N$11:$O$11</formula1>
    </dataValidation>
  </dataValidation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9FB8-80F6-4AC6-BA1A-0FB7AAC5D798}">
  <sheetPr codeName="Sheet61">
    <tabColor theme="1" tint="0.249977111117893"/>
  </sheetPr>
  <dimension ref="A1:AQ121"/>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Kitchen DCV</v>
      </c>
      <c r="C7" s="98" t="s">
        <v>2407</v>
      </c>
      <c r="D7" s="97" t="s">
        <v>211</v>
      </c>
      <c r="E7" s="97">
        <f>C110</f>
        <v>20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Kitchen DCV_CI, E - Vent (RET)</v>
      </c>
      <c r="J11" s="83" t="str">
        <f t="shared" ref="J11:J20" si="3">IF(B11="","",CONCATENATE($C$7,IF(C11="","",CONCATENATE(" with ",C11," Secondary Fuel"))))</f>
        <v>Kitchen Demand Control Ventilation</v>
      </c>
      <c r="K11" s="83"/>
      <c r="M11" s="94" t="s">
        <v>123</v>
      </c>
      <c r="N11" s="93" t="s">
        <v>212</v>
      </c>
      <c r="O11" s="93" t="s">
        <v>211</v>
      </c>
    </row>
    <row r="12" spans="1:17">
      <c r="A12" s="1">
        <v>2</v>
      </c>
      <c r="B12" s="98"/>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Kitchen DCV_CI,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Kitchen DCV_CI,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Kitchen Demand Control Ventilation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Kitchen DCV_CI,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Kitchen Demand Control Ventilation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1035</v>
      </c>
      <c r="D38" s="82" t="s">
        <v>1035</v>
      </c>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20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Kitchen Demand Control Ventilation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82" t="s">
        <v>2408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t="s">
        <v>2409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C120</f>
        <v>42681.950000000004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E120</f>
        <v>0</v>
      </c>
      <c r="D65" s="67"/>
      <c r="E65" s="67"/>
      <c r="F65" s="65"/>
      <c r="G65" s="65"/>
      <c r="H65" s="65"/>
      <c r="I65" s="65"/>
      <c r="J65" s="65"/>
      <c r="K65" s="65"/>
      <c r="L65" s="65"/>
      <c r="M65" s="279">
        <v>3</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v>1992</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G120</f>
        <v>2.7646346992112589E-2</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22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Kitchen Demand Control Ventilation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8" spans="1:22" s="63" customFormat="1" ht="15.75" thickBot="1">
      <c r="B108" s="63" t="s">
        <v>50</v>
      </c>
    </row>
    <row r="110" spans="1:22">
      <c r="B110" s="1" t="s">
        <v>305</v>
      </c>
      <c r="C110" s="1">
        <v>20</v>
      </c>
      <c r="D110" s="333" t="s">
        <v>2249</v>
      </c>
      <c r="E110" s="381"/>
    </row>
    <row r="111" spans="1:22">
      <c r="B111" t="s">
        <v>2250</v>
      </c>
      <c r="C111" s="1">
        <v>4423</v>
      </c>
      <c r="D111" s="333" t="s">
        <v>2249</v>
      </c>
      <c r="E111" s="381"/>
    </row>
    <row r="112" spans="1:22">
      <c r="B112" s="1" t="s">
        <v>2251</v>
      </c>
      <c r="C112" s="1">
        <v>0.55100000000000005</v>
      </c>
      <c r="D112" s="333" t="s">
        <v>2249</v>
      </c>
      <c r="E112" s="381"/>
    </row>
    <row r="113" spans="2:10">
      <c r="B113" s="1" t="s">
        <v>2252</v>
      </c>
      <c r="C113" s="1">
        <v>9.65</v>
      </c>
      <c r="D113" s="333" t="s">
        <v>2249</v>
      </c>
      <c r="E113" s="1" t="s">
        <v>2253</v>
      </c>
    </row>
    <row r="114" spans="2:10">
      <c r="B114" s="1" t="s">
        <v>2247</v>
      </c>
      <c r="C114" s="397">
        <v>1992</v>
      </c>
      <c r="D114" s="333" t="s">
        <v>2249</v>
      </c>
      <c r="E114" s="381"/>
    </row>
    <row r="115" spans="2:10">
      <c r="B115" s="1" t="s">
        <v>2248</v>
      </c>
      <c r="C115" s="397">
        <v>1180</v>
      </c>
      <c r="D115" s="333" t="s">
        <v>2249</v>
      </c>
      <c r="J115" s="302"/>
    </row>
    <row r="118" spans="2:10">
      <c r="B118" s="392" t="s">
        <v>1019</v>
      </c>
      <c r="C118" s="389" t="s">
        <v>500</v>
      </c>
      <c r="D118" s="389" t="s">
        <v>10</v>
      </c>
      <c r="E118" s="389" t="s">
        <v>244</v>
      </c>
      <c r="F118" s="389" t="s">
        <v>9</v>
      </c>
      <c r="G118" s="389" t="s">
        <v>8</v>
      </c>
      <c r="H118" s="364"/>
    </row>
    <row r="119" spans="2:10">
      <c r="B119" s="7" t="s">
        <v>204</v>
      </c>
      <c r="C119" s="7">
        <f>$C$111*$C$113</f>
        <v>42681.950000000004</v>
      </c>
      <c r="D119" s="7">
        <f>$C$112*$C$113</f>
        <v>5.3171500000000007</v>
      </c>
      <c r="E119" s="7"/>
      <c r="F119" s="7">
        <f>C114</f>
        <v>1992</v>
      </c>
      <c r="G119" s="7">
        <f>F119/C119</f>
        <v>4.6670782379905316E-2</v>
      </c>
      <c r="H119" s="2"/>
    </row>
    <row r="120" spans="2:10">
      <c r="B120" s="7" t="s">
        <v>2254</v>
      </c>
      <c r="C120" s="7">
        <f>$C$111*$C$113</f>
        <v>42681.950000000004</v>
      </c>
      <c r="D120" s="7">
        <f>$C$112*$C$113</f>
        <v>5.3171500000000007</v>
      </c>
      <c r="E120" s="7"/>
      <c r="F120" s="7">
        <f>C115</f>
        <v>1180</v>
      </c>
      <c r="G120" s="7">
        <f>F120/C120</f>
        <v>2.7646346992112589E-2</v>
      </c>
      <c r="H120" s="2"/>
    </row>
    <row r="121" spans="2:10">
      <c r="B121" s="7"/>
      <c r="C121" s="7"/>
      <c r="D121" s="7"/>
      <c r="E121" s="7"/>
      <c r="F121" s="7"/>
      <c r="G121" s="7"/>
      <c r="H121" s="2"/>
    </row>
  </sheetData>
  <dataValidations count="5">
    <dataValidation type="list" allowBlank="1" showInputMessage="1" showErrorMessage="1" sqref="D7" xr:uid="{D8A1A268-A1AA-469D-B067-ABC8F387528A}">
      <formula1>$N$11:$O$11</formula1>
    </dataValidation>
    <dataValidation type="list" allowBlank="1" showInputMessage="1" showErrorMessage="1" sqref="B11:C20" xr:uid="{3400A533-BA1D-47E7-BB6A-BACDBC443290}">
      <formula1>$N$7:$Q$7</formula1>
    </dataValidation>
    <dataValidation type="list" allowBlank="1" showInputMessage="1" showErrorMessage="1" sqref="D11:D20" xr:uid="{E9E69AAB-C229-4C7C-89B1-B0AC9D39DFBC}">
      <formula1>$N$22:$AE$22</formula1>
    </dataValidation>
    <dataValidation type="list" allowBlank="1" showInputMessage="1" showErrorMessage="1" sqref="E11:E20" xr:uid="{37442E98-39E0-4AFC-BBE0-EC2A036E3EFA}">
      <formula1>$N$16:$O$16</formula1>
    </dataValidation>
    <dataValidation type="list" allowBlank="1" showInputMessage="1" showErrorMessage="1" sqref="C59:L59" xr:uid="{1FC33C88-5C63-423A-AEFF-9F57F12864DA}">
      <formula1>$N$19:$AQ$19</formula1>
    </dataValidation>
  </dataValidation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EFD8-239E-486A-8E91-AAE051E3FF1E}">
  <sheetPr codeName="Sheet62">
    <tabColor theme="1" tint="0.249977111117893"/>
  </sheetPr>
  <dimension ref="A1:AQ126"/>
  <sheetViews>
    <sheetView topLeftCell="A19"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Cool Tower Fans</v>
      </c>
      <c r="C7" s="98" t="s">
        <v>2414</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Cool Tower Fans_CI, E - Vent (RET)</v>
      </c>
      <c r="J11" s="83" t="str">
        <f t="shared" ref="J11:J20" si="3">IF(B11="","",CONCATENATE($C$7,IF(C11="","",CONCATENATE(" with ",C11," Secondary Fuel"))))</f>
        <v>Variable Speed Drive, Cooling Tower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Cool Tower Fans_CI,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Cool Tower Fans_CI,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Cool Tower Fans_CI,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2294</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2987</v>
      </c>
      <c r="D112" s="57" t="s">
        <v>2293</v>
      </c>
      <c r="E112" t="s">
        <v>2290</v>
      </c>
    </row>
    <row r="113" spans="2:17">
      <c r="B113" s="57" t="s">
        <v>2291</v>
      </c>
      <c r="C113" s="57">
        <v>0.40699999999999997</v>
      </c>
      <c r="D113" s="57" t="s">
        <v>2293</v>
      </c>
      <c r="E113" t="s">
        <v>2292</v>
      </c>
    </row>
    <row r="114" spans="2:17">
      <c r="B114" s="57" t="s">
        <v>518</v>
      </c>
      <c r="C114" s="57">
        <v>15</v>
      </c>
      <c r="D114" s="57" t="s">
        <v>2293</v>
      </c>
      <c r="E114"/>
    </row>
    <row r="115" spans="2:17">
      <c r="B115" s="57" t="s">
        <v>438</v>
      </c>
      <c r="C115" s="649">
        <v>1178</v>
      </c>
      <c r="D115" s="57" t="s">
        <v>2293</v>
      </c>
      <c r="E115"/>
    </row>
    <row r="116" spans="2:17">
      <c r="B116" s="57" t="s">
        <v>1147</v>
      </c>
      <c r="C116" s="650">
        <v>0.502</v>
      </c>
      <c r="D116" s="57" t="s">
        <v>2293</v>
      </c>
      <c r="E116"/>
    </row>
    <row r="117" spans="2:17">
      <c r="B117" s="57" t="s">
        <v>2194</v>
      </c>
      <c r="C117" s="650">
        <v>0.93</v>
      </c>
      <c r="D117" s="57" t="s">
        <v>2293</v>
      </c>
      <c r="E117"/>
    </row>
    <row r="118" spans="2:17">
      <c r="B118" s="57" t="s">
        <v>2295</v>
      </c>
      <c r="C118" s="650">
        <v>0.65</v>
      </c>
      <c r="D118" s="57" t="s">
        <v>2293</v>
      </c>
      <c r="E118"/>
    </row>
    <row r="119" spans="2:17">
      <c r="B119" s="58"/>
      <c r="C119" s="58"/>
      <c r="D119" s="58"/>
      <c r="E119" s="540"/>
    </row>
    <row r="120" spans="2:17">
      <c r="B120" s="215" t="s">
        <v>1570</v>
      </c>
      <c r="C120" s="215" t="s">
        <v>2193</v>
      </c>
      <c r="D120" s="94" t="s">
        <v>500</v>
      </c>
      <c r="E120" s="94" t="s">
        <v>499</v>
      </c>
      <c r="F120" s="94" t="s">
        <v>2007</v>
      </c>
      <c r="G120" s="94" t="s">
        <v>438</v>
      </c>
      <c r="H120" s="94" t="s">
        <v>498</v>
      </c>
      <c r="I120" s="94" t="s">
        <v>7</v>
      </c>
    </row>
    <row r="121" spans="2:17">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phoneticPr fontId="35" type="noConversion"/>
  <dataValidations count="5">
    <dataValidation type="list" allowBlank="1" showInputMessage="1" showErrorMessage="1" sqref="D7" xr:uid="{619272AE-8C95-4C39-8DF5-430C425F9FBE}">
      <formula1>$N$11:$O$11</formula1>
    </dataValidation>
    <dataValidation type="list" allowBlank="1" showInputMessage="1" showErrorMessage="1" sqref="B11:C20" xr:uid="{0515FC36-8243-4404-AC3D-2CDFE6C07BFC}">
      <formula1>$N$7:$Q$7</formula1>
    </dataValidation>
    <dataValidation type="list" allowBlank="1" showInputMessage="1" showErrorMessage="1" sqref="D11:D20" xr:uid="{B5C95CBC-3F9A-44FA-AA5C-2ECC6C29B546}">
      <formula1>$N$22:$AE$22</formula1>
    </dataValidation>
    <dataValidation type="list" allowBlank="1" showInputMessage="1" showErrorMessage="1" sqref="E11:E20" xr:uid="{CC349788-66DC-44CA-B82F-3B400D31604D}">
      <formula1>$N$16:$O$16</formula1>
    </dataValidation>
    <dataValidation type="list" allowBlank="1" showInputMessage="1" showErrorMessage="1" sqref="C59:L59" xr:uid="{930554B3-5C16-4F82-A0A6-6C63DF245102}">
      <formula1>$N$19:$AQ$19</formula1>
    </dataValidation>
  </dataValidation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78BC8-5DAD-4A06-9480-9DCDB26BECC6}">
  <sheetPr codeName="Sheet63">
    <tabColor theme="1" tint="0.249977111117893"/>
  </sheetPr>
  <dimension ref="A1:AQ126"/>
  <sheetViews>
    <sheetView topLeftCell="A19"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HVAC Fan</v>
      </c>
      <c r="C7" s="98" t="s">
        <v>2414</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HVAC Fan_CI, E - Vent (RET)</v>
      </c>
      <c r="J11" s="83" t="str">
        <f t="shared" ref="J11:J20" si="3">IF(B11="","",CONCATENATE($C$7,IF(C11="","",CONCATENATE(" with ",C11," Secondary Fuel"))))</f>
        <v>Variable Speed Drive, Cooling Tower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HVAC Fan_CI,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HVAC Fan_CI,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HVAC Fan_CI,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2294</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2987</v>
      </c>
      <c r="D112" s="57" t="s">
        <v>2293</v>
      </c>
      <c r="E112" t="s">
        <v>2290</v>
      </c>
    </row>
    <row r="113" spans="2:17">
      <c r="B113" s="57" t="s">
        <v>2291</v>
      </c>
      <c r="C113" s="57">
        <v>0.40699999999999997</v>
      </c>
      <c r="D113" s="57" t="s">
        <v>2293</v>
      </c>
      <c r="E113" t="s">
        <v>2292</v>
      </c>
    </row>
    <row r="114" spans="2:17">
      <c r="B114" s="57" t="s">
        <v>518</v>
      </c>
      <c r="C114" s="57">
        <v>15</v>
      </c>
      <c r="D114" s="57" t="s">
        <v>2293</v>
      </c>
      <c r="E114"/>
    </row>
    <row r="115" spans="2:17">
      <c r="B115" s="57" t="s">
        <v>438</v>
      </c>
      <c r="C115" s="649">
        <v>1178</v>
      </c>
      <c r="D115" s="57" t="s">
        <v>2293</v>
      </c>
      <c r="E115"/>
    </row>
    <row r="116" spans="2:17">
      <c r="B116" s="57" t="s">
        <v>1147</v>
      </c>
      <c r="C116" s="650">
        <v>0.502</v>
      </c>
      <c r="D116" s="57" t="s">
        <v>2293</v>
      </c>
      <c r="E116"/>
    </row>
    <row r="117" spans="2:17">
      <c r="B117" s="57" t="s">
        <v>2194</v>
      </c>
      <c r="C117" s="650">
        <v>0.93</v>
      </c>
      <c r="D117" s="57" t="s">
        <v>2293</v>
      </c>
      <c r="E117"/>
    </row>
    <row r="118" spans="2:17">
      <c r="B118" s="57" t="s">
        <v>2295</v>
      </c>
      <c r="C118" s="650">
        <v>0.65</v>
      </c>
      <c r="D118" s="57" t="s">
        <v>2293</v>
      </c>
      <c r="E118"/>
    </row>
    <row r="119" spans="2:17">
      <c r="B119" s="58"/>
      <c r="C119" s="58"/>
      <c r="D119" s="58"/>
      <c r="E119" s="540"/>
    </row>
    <row r="120" spans="2:17">
      <c r="B120" s="215" t="s">
        <v>1570</v>
      </c>
      <c r="C120" s="215" t="s">
        <v>2193</v>
      </c>
      <c r="D120" s="94" t="s">
        <v>500</v>
      </c>
      <c r="E120" s="94" t="s">
        <v>499</v>
      </c>
      <c r="F120" s="94" t="s">
        <v>2007</v>
      </c>
      <c r="G120" s="94" t="s">
        <v>438</v>
      </c>
      <c r="H120" s="94" t="s">
        <v>498</v>
      </c>
      <c r="I120" s="94" t="s">
        <v>7</v>
      </c>
    </row>
    <row r="121" spans="2:17">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dataValidations count="5">
    <dataValidation type="list" allowBlank="1" showInputMessage="1" showErrorMessage="1" sqref="C59:L59" xr:uid="{80C74C01-5F39-40E6-806E-2426544EB9B2}">
      <formula1>$N$19:$AQ$19</formula1>
    </dataValidation>
    <dataValidation type="list" allowBlank="1" showInputMessage="1" showErrorMessage="1" sqref="E11:E20" xr:uid="{24667C46-57D6-4FB4-843C-CD838B4F60C9}">
      <formula1>$N$16:$O$16</formula1>
    </dataValidation>
    <dataValidation type="list" allowBlank="1" showInputMessage="1" showErrorMessage="1" sqref="D11:D20" xr:uid="{F1FE59BD-1840-4251-92CB-D255A67D874B}">
      <formula1>$N$22:$AE$22</formula1>
    </dataValidation>
    <dataValidation type="list" allowBlank="1" showInputMessage="1" showErrorMessage="1" sqref="B11:C20" xr:uid="{5513C454-F8B9-4D70-A5DE-BA05917655B4}">
      <formula1>$N$7:$Q$7</formula1>
    </dataValidation>
    <dataValidation type="list" allowBlank="1" showInputMessage="1" showErrorMessage="1" sqref="D7" xr:uid="{AB497103-1EF0-4A8B-9301-B47DE63A77E3}">
      <formula1>$N$11:$O$11</formula1>
    </dataValidation>
  </dataValidation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8775-D9E4-4353-8573-10278EAD1121}">
  <sheetPr codeName="Sheet139">
    <tabColor indexed="60"/>
  </sheetPr>
  <dimension ref="A1:AQ251"/>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140625" style="1" customWidth="1"/>
    <col min="4" max="5" width="21.140625" style="1" customWidth="1"/>
    <col min="6" max="6" width="21.42578125" style="1" customWidth="1"/>
    <col min="7" max="8" width="19.8554687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Faucet Aerator</v>
      </c>
      <c r="C7" s="98" t="s">
        <v>1911</v>
      </c>
      <c r="D7" s="97" t="s">
        <v>211</v>
      </c>
      <c r="E7" s="97">
        <f>C118</f>
        <v>10</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Faucet Aerator_CI, E - HWat  (RET)</v>
      </c>
      <c r="J11" s="83" t="str">
        <f t="shared" ref="J11:J20" si="3">IF(B11="","",CONCATENATE($C$7,IF(C11="","",CONCATENATE(" with ",C11," Secondary Fuel"))))</f>
        <v>Faucet Aerator</v>
      </c>
      <c r="K11" s="83"/>
      <c r="M11" s="94" t="s">
        <v>123</v>
      </c>
      <c r="N11" s="93" t="s">
        <v>212</v>
      </c>
      <c r="O11" s="93" t="s">
        <v>211</v>
      </c>
    </row>
    <row r="12" spans="1:17">
      <c r="A12" s="1">
        <v>2</v>
      </c>
      <c r="B12" s="97" t="s">
        <v>227</v>
      </c>
      <c r="C12" s="97"/>
      <c r="D12" s="97" t="s">
        <v>113</v>
      </c>
      <c r="E12" s="99" t="s">
        <v>204</v>
      </c>
      <c r="F12" s="99"/>
      <c r="G12" s="83" t="str">
        <f t="shared" si="0"/>
        <v>P</v>
      </c>
      <c r="H12" s="83" t="str">
        <f t="shared" si="1"/>
        <v xml:space="preserve">HWat </v>
      </c>
      <c r="I12" s="83" t="str">
        <f t="shared" ca="1" si="2"/>
        <v>CI Faucet Aerator_CI, P - HWat  (RET)</v>
      </c>
      <c r="J12" s="83" t="str">
        <f t="shared" si="3"/>
        <v>Faucet Aerator</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Faucet Aerator_CI, E - HWat  (RET)</v>
      </c>
      <c r="D33" s="83" t="str">
        <f t="shared" ca="1" si="5"/>
        <v>CI Faucet Aerator_CI,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Faucet Aerator_CI, E - HWat  (RET)</v>
      </c>
      <c r="N33" s="84" t="str">
        <f t="shared" ca="1" si="6"/>
        <v>CI Faucet Aerator_CI,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Faucet Aerator</v>
      </c>
      <c r="D34" s="83" t="str">
        <f t="shared" si="8"/>
        <v>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Faucet Aerator_CI, E - HWat  (RET)</v>
      </c>
      <c r="D35" s="82" t="str">
        <f ca="1">D33</f>
        <v>CI Faucet Aerator_CI,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Faucet Aerator</v>
      </c>
      <c r="D36" s="65" t="str">
        <f>D34</f>
        <v>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805</v>
      </c>
      <c r="D38" s="65"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Faucet Aerator</v>
      </c>
      <c r="D52" s="66" t="str">
        <f t="shared" si="15"/>
        <v>Faucet Aerator</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e">
        <f>#REF!</f>
        <v>#REF!</v>
      </c>
      <c r="D54" s="82" t="e">
        <f>#REF!</f>
        <v>#REF!</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1910</v>
      </c>
      <c r="D55" s="65" t="s">
        <v>1910</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1909</v>
      </c>
      <c r="D56" s="65" t="s">
        <v>1909</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D195</f>
        <v>234.75878541781958</v>
      </c>
      <c r="D64" s="67">
        <f>D251</f>
        <v>11.753894784172662</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67">
        <f>F195</f>
        <v>0.23290719942032004</v>
      </c>
      <c r="D65" s="67">
        <f>F251</f>
        <v>0.23290719942032004</v>
      </c>
      <c r="E65" s="65"/>
      <c r="F65" s="73"/>
      <c r="G65" s="73"/>
      <c r="H65" s="67"/>
      <c r="I65" s="65"/>
      <c r="J65" s="65"/>
      <c r="K65" s="65"/>
      <c r="L65" s="65"/>
      <c r="M65" s="69" t="s">
        <v>1908</v>
      </c>
      <c r="N65" s="69" t="s">
        <v>1908</v>
      </c>
      <c r="O65" s="69"/>
      <c r="P65" s="69"/>
      <c r="Q65" s="69"/>
      <c r="R65" s="69"/>
      <c r="S65" s="69"/>
      <c r="T65" s="69"/>
      <c r="U65" s="69"/>
      <c r="V65" s="69"/>
    </row>
    <row r="66" spans="1:22">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G195</f>
        <v>9.567499999999999</v>
      </c>
      <c r="D68" s="71">
        <f>G251</f>
        <v>9.567499999999999</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H195</f>
        <v>7.4217185974183239E-2</v>
      </c>
      <c r="D69" s="70">
        <f>H251</f>
        <v>1.4825697847288124</v>
      </c>
      <c r="E69" s="70" t="str">
        <f>IFERROR(E68/E64,"")</f>
        <v/>
      </c>
      <c r="F69" s="70" t="str">
        <f>IFERROR(F68/F64,"")</f>
        <v/>
      </c>
      <c r="G69" s="70"/>
      <c r="H69" s="70"/>
      <c r="I69" s="70" t="str">
        <f>IFERROR(I68/I64,"")</f>
        <v/>
      </c>
      <c r="J69" s="70" t="str">
        <f>IFERROR(J68/J64,"")</f>
        <v/>
      </c>
      <c r="K69" s="70" t="str">
        <f>IFERROR(K68/K64,"")</f>
        <v/>
      </c>
      <c r="L69" s="70" t="str">
        <f>IFERROR(L68/L64,"")</f>
        <v/>
      </c>
      <c r="M69" s="69">
        <v>4</v>
      </c>
      <c r="N69" s="69">
        <v>4</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Faucet Aerator</v>
      </c>
      <c r="D71" s="66" t="str">
        <f t="shared" si="21"/>
        <v>Faucet Aerator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v>10</v>
      </c>
      <c r="D76" s="65">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65">
        <f>ROUND(2/3*C76,0)</f>
        <v>7</v>
      </c>
      <c r="D77" s="65">
        <f>ROUND(2/3*D76,0)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65"/>
      <c r="D78" s="267"/>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65"/>
      <c r="D79" s="266"/>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5"/>
      <c r="D80" s="65"/>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5"/>
        <v>71</v>
      </c>
      <c r="B103" s="65" t="s">
        <v>51</v>
      </c>
      <c r="C103" s="76"/>
      <c r="D103" s="76"/>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s="1" t="s">
        <v>1907</v>
      </c>
    </row>
    <row r="107" spans="1:23" s="63" customFormat="1" ht="15.75" thickBot="1">
      <c r="B107" s="63" t="s">
        <v>50</v>
      </c>
    </row>
    <row r="109" spans="1:23">
      <c r="B109" s="2"/>
      <c r="C109" s="2"/>
      <c r="D109" s="2"/>
      <c r="E109" s="26"/>
      <c r="F109" s="26"/>
      <c r="G109" s="26"/>
      <c r="H109" s="26"/>
      <c r="I109" s="2"/>
      <c r="J109" s="26"/>
      <c r="K109" s="26"/>
      <c r="L109" s="2"/>
      <c r="M109" s="26"/>
      <c r="N109" s="26"/>
      <c r="O109" s="27"/>
      <c r="P109" s="27"/>
      <c r="Q109" s="27"/>
      <c r="R109" s="27"/>
      <c r="S109" s="27"/>
      <c r="T109" s="27"/>
      <c r="U109" s="26"/>
      <c r="V109" s="26"/>
      <c r="W109" s="26"/>
    </row>
    <row r="110" spans="1:23">
      <c r="B110" s="94" t="s">
        <v>520</v>
      </c>
      <c r="C110" s="94" t="s">
        <v>410</v>
      </c>
      <c r="D110" s="94" t="s">
        <v>409</v>
      </c>
      <c r="K110" s="26"/>
      <c r="L110" s="2"/>
      <c r="M110" s="2"/>
      <c r="N110" s="26"/>
      <c r="O110" s="27"/>
      <c r="P110" s="27"/>
      <c r="Q110" s="27"/>
      <c r="R110" s="27"/>
      <c r="S110" s="27"/>
      <c r="T110" s="27"/>
      <c r="U110" s="26"/>
      <c r="V110" s="26"/>
      <c r="W110" s="26"/>
    </row>
    <row r="111" spans="1:23">
      <c r="B111" s="538" t="s">
        <v>1906</v>
      </c>
      <c r="C111" s="93">
        <v>1.39</v>
      </c>
      <c r="D111" s="177" t="s">
        <v>2071</v>
      </c>
      <c r="E111" s="177" t="s">
        <v>1905</v>
      </c>
      <c r="K111" s="26"/>
      <c r="L111" s="223"/>
      <c r="M111" s="296"/>
      <c r="N111" s="26"/>
      <c r="O111" s="27"/>
      <c r="P111" s="27"/>
      <c r="Q111" s="27"/>
      <c r="R111" s="27"/>
      <c r="S111" s="27"/>
      <c r="T111" s="27"/>
      <c r="U111" s="26"/>
      <c r="V111" s="26"/>
      <c r="W111" s="26"/>
    </row>
    <row r="112" spans="1:23">
      <c r="B112" s="538" t="s">
        <v>1904</v>
      </c>
      <c r="C112" s="93">
        <v>0.94</v>
      </c>
      <c r="D112" s="177" t="s">
        <v>2071</v>
      </c>
      <c r="E112" s="177" t="s">
        <v>797</v>
      </c>
      <c r="F112" s="62"/>
      <c r="K112" s="26"/>
      <c r="L112" s="223"/>
      <c r="M112" s="296"/>
      <c r="N112" s="26"/>
      <c r="O112" s="26"/>
      <c r="P112" s="27"/>
      <c r="Q112" s="27"/>
      <c r="R112" s="27"/>
      <c r="S112" s="27"/>
      <c r="T112" s="27"/>
      <c r="U112" s="27"/>
      <c r="V112" s="26"/>
      <c r="W112" s="26"/>
    </row>
    <row r="113" spans="1:23">
      <c r="B113" s="538" t="s">
        <v>1903</v>
      </c>
      <c r="C113" s="93" t="s">
        <v>35</v>
      </c>
      <c r="D113" s="177" t="s">
        <v>2071</v>
      </c>
      <c r="E113" s="177" t="s">
        <v>1902</v>
      </c>
      <c r="K113" s="26"/>
      <c r="L113" s="223"/>
      <c r="M113" s="296"/>
      <c r="N113" s="26"/>
      <c r="O113" s="26"/>
      <c r="P113" s="27"/>
      <c r="Q113" s="27"/>
      <c r="R113" s="27"/>
      <c r="S113" s="27"/>
      <c r="T113" s="27"/>
      <c r="U113" s="27"/>
      <c r="V113" s="26"/>
      <c r="W113" s="26"/>
    </row>
    <row r="114" spans="1:23">
      <c r="A114" s="26"/>
      <c r="B114" s="538" t="s">
        <v>1900</v>
      </c>
      <c r="C114" s="93" t="s">
        <v>35</v>
      </c>
      <c r="D114" s="177" t="s">
        <v>2071</v>
      </c>
      <c r="E114" s="177" t="s">
        <v>1901</v>
      </c>
      <c r="K114" s="26"/>
      <c r="L114" s="223"/>
      <c r="M114" s="296"/>
      <c r="N114" s="26"/>
      <c r="O114" s="26"/>
      <c r="P114" s="27"/>
      <c r="Q114" s="27"/>
      <c r="R114" s="27"/>
      <c r="S114" s="27"/>
      <c r="T114" s="27"/>
      <c r="U114" s="27"/>
      <c r="V114" s="26"/>
      <c r="W114" s="26"/>
    </row>
    <row r="115" spans="1:23">
      <c r="A115" s="2"/>
      <c r="B115" s="538" t="s">
        <v>447</v>
      </c>
      <c r="C115" s="93">
        <v>1</v>
      </c>
      <c r="D115" s="177" t="s">
        <v>2071</v>
      </c>
      <c r="E115" s="177"/>
      <c r="K115" s="26"/>
      <c r="L115" s="223"/>
      <c r="M115" s="296"/>
      <c r="N115" s="26"/>
      <c r="O115" s="26"/>
      <c r="P115" s="27"/>
      <c r="Q115" s="27"/>
      <c r="R115" s="27"/>
      <c r="S115" s="27"/>
      <c r="T115" s="27"/>
      <c r="U115" s="27"/>
      <c r="V115" s="26"/>
      <c r="W115" s="26"/>
    </row>
    <row r="116" spans="1:23">
      <c r="A116" s="2"/>
      <c r="B116" s="538" t="s">
        <v>309</v>
      </c>
      <c r="C116" s="93" t="s">
        <v>35</v>
      </c>
      <c r="D116" s="177" t="s">
        <v>2071</v>
      </c>
      <c r="E116" s="177"/>
      <c r="K116" s="26"/>
      <c r="L116" s="223"/>
      <c r="M116" s="296"/>
      <c r="N116" s="26"/>
      <c r="O116" s="26"/>
      <c r="P116" s="27"/>
      <c r="Q116" s="27"/>
      <c r="R116" s="27"/>
      <c r="S116" s="27"/>
      <c r="T116" s="27"/>
      <c r="U116" s="27"/>
      <c r="V116" s="26"/>
      <c r="W116" s="26"/>
    </row>
    <row r="117" spans="1:23">
      <c r="A117" s="2"/>
      <c r="B117" s="538" t="s">
        <v>34</v>
      </c>
      <c r="C117" s="93" t="s">
        <v>35</v>
      </c>
      <c r="D117" s="177" t="s">
        <v>2071</v>
      </c>
      <c r="E117" s="177"/>
      <c r="K117" s="26"/>
      <c r="L117" s="223"/>
      <c r="M117" s="296"/>
      <c r="N117" s="26"/>
      <c r="O117" s="26"/>
      <c r="P117" s="27"/>
      <c r="Q117" s="27"/>
      <c r="R117" s="27"/>
      <c r="S117" s="27"/>
      <c r="T117" s="27"/>
      <c r="U117" s="27"/>
      <c r="V117" s="26"/>
      <c r="W117" s="26"/>
    </row>
    <row r="118" spans="1:23">
      <c r="A118" s="2"/>
      <c r="B118" s="538" t="s">
        <v>518</v>
      </c>
      <c r="C118" s="93">
        <v>10</v>
      </c>
      <c r="D118" s="177" t="s">
        <v>2071</v>
      </c>
      <c r="E118" s="177"/>
      <c r="K118" s="26"/>
      <c r="L118" s="223"/>
      <c r="M118" s="296"/>
      <c r="N118" s="26"/>
      <c r="O118" s="26"/>
      <c r="P118" s="27"/>
      <c r="Q118" s="27"/>
      <c r="R118" s="27"/>
      <c r="S118" s="27"/>
      <c r="T118" s="27"/>
      <c r="U118" s="27"/>
      <c r="V118" s="26"/>
      <c r="W118" s="26"/>
    </row>
    <row r="119" spans="1:23">
      <c r="A119" s="26"/>
      <c r="B119" s="94" t="s">
        <v>1898</v>
      </c>
      <c r="C119" s="94" t="s">
        <v>1900</v>
      </c>
      <c r="D119" s="591" t="s">
        <v>2121</v>
      </c>
      <c r="E119" s="94" t="s">
        <v>9</v>
      </c>
      <c r="K119" s="26"/>
      <c r="L119" s="223"/>
      <c r="M119" s="296"/>
      <c r="N119" s="26"/>
      <c r="O119" s="26"/>
      <c r="P119" s="27"/>
      <c r="Q119" s="27"/>
      <c r="R119" s="27"/>
      <c r="S119" s="27"/>
      <c r="T119" s="27"/>
      <c r="U119" s="27"/>
      <c r="V119" s="26"/>
      <c r="W119" s="26"/>
    </row>
    <row r="120" spans="1:23">
      <c r="A120" s="26"/>
      <c r="B120" s="94" t="s">
        <v>1897</v>
      </c>
      <c r="C120" s="93">
        <v>8.7900000000000006E-2</v>
      </c>
      <c r="D120" s="177">
        <v>4.4000000000000003E-3</v>
      </c>
      <c r="E120" s="534">
        <v>8</v>
      </c>
      <c r="K120" s="26"/>
      <c r="L120" s="223"/>
      <c r="M120" s="296"/>
      <c r="N120" s="26"/>
      <c r="O120" s="26"/>
      <c r="P120" s="27"/>
      <c r="Q120" s="27"/>
      <c r="R120" s="27"/>
      <c r="S120" s="27"/>
      <c r="T120" s="27"/>
      <c r="U120" s="27"/>
      <c r="V120" s="26"/>
      <c r="W120" s="26"/>
    </row>
    <row r="121" spans="1:23">
      <c r="B121" s="94" t="s">
        <v>788</v>
      </c>
      <c r="C121" s="93">
        <v>0.10539999999999999</v>
      </c>
      <c r="D121" s="177">
        <v>5.3E-3</v>
      </c>
      <c r="E121" s="534">
        <v>8</v>
      </c>
      <c r="K121" s="26"/>
      <c r="L121" s="223"/>
      <c r="M121" s="296"/>
      <c r="N121" s="26"/>
      <c r="O121" s="26"/>
      <c r="P121" s="27"/>
      <c r="Q121" s="27"/>
      <c r="R121" s="27"/>
      <c r="S121" s="27"/>
      <c r="T121" s="27"/>
      <c r="U121" s="27"/>
      <c r="V121" s="26"/>
      <c r="W121" s="26"/>
    </row>
    <row r="122" spans="1:23">
      <c r="B122" s="94" t="s">
        <v>1896</v>
      </c>
      <c r="C122" s="177">
        <v>0.1477</v>
      </c>
      <c r="D122" s="177">
        <v>7.4000000000000003E-3</v>
      </c>
      <c r="E122" s="584">
        <v>14.27</v>
      </c>
      <c r="K122" s="26"/>
      <c r="L122" s="223"/>
      <c r="M122" s="296"/>
      <c r="N122" s="26"/>
      <c r="O122" s="26"/>
      <c r="P122" s="27"/>
      <c r="Q122" s="27"/>
      <c r="R122" s="27"/>
      <c r="S122" s="27"/>
      <c r="T122" s="27"/>
      <c r="U122" s="27"/>
      <c r="V122" s="26"/>
      <c r="W122" s="26"/>
    </row>
    <row r="123" spans="1:23">
      <c r="B123" s="94" t="s">
        <v>841</v>
      </c>
      <c r="C123" s="93">
        <v>0.1004</v>
      </c>
      <c r="D123" s="177">
        <v>5.0000000000000001E-3</v>
      </c>
      <c r="E123" s="534">
        <v>8</v>
      </c>
      <c r="K123" s="26"/>
      <c r="L123" s="223"/>
      <c r="M123" s="296"/>
      <c r="N123" s="26"/>
      <c r="O123" s="26"/>
      <c r="P123" s="27"/>
      <c r="Q123" s="27"/>
      <c r="R123" s="27"/>
      <c r="S123" s="27"/>
      <c r="T123" s="27"/>
      <c r="U123" s="27"/>
      <c r="V123" s="26"/>
      <c r="W123" s="26"/>
    </row>
    <row r="124" spans="1:23">
      <c r="B124" s="93"/>
      <c r="C124" s="93"/>
      <c r="D124" s="93"/>
      <c r="K124" s="26"/>
      <c r="L124" s="26"/>
      <c r="M124" s="296"/>
      <c r="N124" s="26"/>
      <c r="O124" s="26"/>
      <c r="P124" s="27"/>
      <c r="Q124" s="27"/>
      <c r="R124" s="27"/>
      <c r="S124" s="27"/>
      <c r="T124" s="27"/>
      <c r="U124" s="27"/>
      <c r="V124" s="26"/>
      <c r="W124" s="26"/>
    </row>
    <row r="125" spans="1:23">
      <c r="B125" s="93"/>
      <c r="C125" s="93"/>
      <c r="D125" s="93"/>
      <c r="K125" s="26"/>
      <c r="L125" s="26"/>
      <c r="M125" s="296"/>
      <c r="N125" s="26"/>
      <c r="O125" s="26"/>
      <c r="P125" s="27"/>
      <c r="Q125" s="27"/>
      <c r="R125" s="27"/>
      <c r="S125" s="27"/>
      <c r="T125" s="27"/>
      <c r="U125" s="27"/>
      <c r="V125" s="26"/>
      <c r="W125" s="26"/>
    </row>
    <row r="126" spans="1:23">
      <c r="B126" s="94" t="s">
        <v>570</v>
      </c>
      <c r="C126" s="522" t="s">
        <v>1899</v>
      </c>
      <c r="D126" s="522" t="s">
        <v>309</v>
      </c>
      <c r="E126" s="522" t="s">
        <v>34</v>
      </c>
      <c r="F126" s="94"/>
      <c r="G126" s="93"/>
      <c r="K126" s="26"/>
      <c r="L126" s="26"/>
      <c r="M126" s="296"/>
      <c r="N126" s="26"/>
      <c r="O126" s="26"/>
      <c r="P126" s="27"/>
      <c r="Q126" s="27"/>
      <c r="R126" s="27"/>
      <c r="S126" s="27"/>
      <c r="T126" s="27"/>
      <c r="U126" s="27"/>
      <c r="V126" s="26"/>
      <c r="W126" s="26"/>
    </row>
    <row r="127" spans="1:23">
      <c r="B127" s="550" t="s">
        <v>188</v>
      </c>
      <c r="C127" s="93">
        <v>2500</v>
      </c>
      <c r="D127" s="93">
        <v>20</v>
      </c>
      <c r="E127" s="539">
        <v>6.4000000000000003E-3</v>
      </c>
      <c r="F127" s="93"/>
      <c r="G127" s="177"/>
      <c r="K127" s="26"/>
      <c r="L127" s="26"/>
      <c r="M127" s="296"/>
      <c r="N127" s="26"/>
      <c r="O127" s="26"/>
      <c r="P127" s="27"/>
      <c r="Q127" s="27"/>
      <c r="R127" s="27"/>
      <c r="S127" s="27"/>
      <c r="T127" s="27"/>
      <c r="U127" s="27"/>
      <c r="V127" s="26"/>
      <c r="W127" s="26"/>
    </row>
    <row r="128" spans="1:23">
      <c r="B128" s="550" t="s">
        <v>175</v>
      </c>
      <c r="C128" s="582">
        <v>11250</v>
      </c>
      <c r="D128" s="582">
        <v>92</v>
      </c>
      <c r="E128" s="581">
        <v>2.8799999999999999E-2</v>
      </c>
      <c r="F128" s="583"/>
      <c r="G128" s="93"/>
      <c r="K128" s="26"/>
      <c r="L128" s="26"/>
      <c r="M128" s="296"/>
      <c r="N128" s="26"/>
      <c r="O128" s="26"/>
      <c r="P128" s="27"/>
      <c r="Q128" s="27"/>
      <c r="R128" s="27"/>
      <c r="S128" s="27"/>
      <c r="T128" s="27"/>
      <c r="U128" s="27"/>
      <c r="V128" s="26"/>
      <c r="W128" s="26"/>
    </row>
    <row r="129" spans="2:23">
      <c r="B129" s="550" t="s">
        <v>1895</v>
      </c>
      <c r="C129" s="582">
        <v>9581</v>
      </c>
      <c r="D129" s="582">
        <v>78</v>
      </c>
      <c r="E129" s="581">
        <v>8.3999999999999995E-3</v>
      </c>
      <c r="F129" s="580"/>
      <c r="G129" s="93"/>
      <c r="K129" s="26"/>
      <c r="L129" s="26"/>
      <c r="M129" s="26"/>
      <c r="N129" s="26"/>
      <c r="O129" s="26"/>
      <c r="P129" s="27"/>
      <c r="Q129" s="27"/>
      <c r="R129" s="27"/>
      <c r="S129" s="27"/>
      <c r="T129" s="27"/>
      <c r="U129" s="27"/>
      <c r="V129" s="26"/>
      <c r="W129" s="26"/>
    </row>
    <row r="130" spans="2:23">
      <c r="B130" s="550" t="s">
        <v>1894</v>
      </c>
      <c r="C130" s="93">
        <v>15768</v>
      </c>
      <c r="D130" s="93">
        <v>129</v>
      </c>
      <c r="E130" s="539">
        <v>1.84E-2</v>
      </c>
      <c r="F130" s="93"/>
      <c r="G130" s="177"/>
      <c r="O130" s="26"/>
      <c r="P130" s="27"/>
      <c r="Q130" s="27"/>
      <c r="R130" s="27"/>
      <c r="S130" s="27"/>
      <c r="T130" s="27"/>
      <c r="U130" s="27"/>
      <c r="V130" s="26"/>
      <c r="W130" s="26"/>
    </row>
    <row r="131" spans="2:23">
      <c r="B131" s="550" t="s">
        <v>1154</v>
      </c>
      <c r="C131" s="582">
        <v>3650</v>
      </c>
      <c r="D131" s="582">
        <v>30</v>
      </c>
      <c r="E131" s="581">
        <v>4.3E-3</v>
      </c>
      <c r="F131" s="583"/>
      <c r="G131" s="93"/>
      <c r="O131" s="27"/>
      <c r="P131" s="27"/>
      <c r="Q131" s="27"/>
      <c r="R131" s="27"/>
      <c r="S131" s="27"/>
      <c r="T131" s="27"/>
      <c r="U131" s="26"/>
      <c r="V131" s="26"/>
      <c r="W131" s="26"/>
    </row>
    <row r="132" spans="2:23">
      <c r="B132" s="550" t="s">
        <v>1893</v>
      </c>
      <c r="C132" s="582">
        <v>3650</v>
      </c>
      <c r="D132" s="582">
        <v>30</v>
      </c>
      <c r="E132" s="581">
        <v>4.3E-3</v>
      </c>
      <c r="F132" s="580"/>
      <c r="G132" s="93"/>
      <c r="O132" s="27"/>
      <c r="P132" s="27"/>
      <c r="Q132" s="27"/>
      <c r="R132" s="27"/>
      <c r="S132" s="27"/>
      <c r="T132" s="27"/>
      <c r="U132" s="26"/>
      <c r="V132" s="26"/>
      <c r="W132" s="26"/>
    </row>
    <row r="133" spans="2:23">
      <c r="B133" s="550" t="s">
        <v>1152</v>
      </c>
      <c r="C133" s="579">
        <v>2500</v>
      </c>
      <c r="D133" s="93">
        <v>20</v>
      </c>
      <c r="E133" s="539">
        <v>6.4000000000000003E-3</v>
      </c>
      <c r="F133" s="93"/>
      <c r="G133" s="93"/>
      <c r="K133" s="479"/>
      <c r="L133" s="26"/>
      <c r="M133" s="26"/>
      <c r="N133" s="27"/>
      <c r="O133" s="26"/>
      <c r="P133" s="27"/>
      <c r="Q133" s="27"/>
      <c r="R133" s="27"/>
      <c r="S133" s="27"/>
      <c r="T133" s="27"/>
      <c r="U133" s="27"/>
      <c r="V133" s="26"/>
      <c r="W133" s="26"/>
    </row>
    <row r="134" spans="2:23">
      <c r="B134" s="550" t="s">
        <v>1892</v>
      </c>
      <c r="C134" s="93">
        <v>3000</v>
      </c>
      <c r="D134" s="93">
        <v>24</v>
      </c>
      <c r="E134" s="539">
        <v>9.6000000000000002E-4</v>
      </c>
      <c r="F134" s="93"/>
      <c r="G134" s="93"/>
      <c r="K134" s="491"/>
      <c r="L134" s="26"/>
      <c r="M134" s="26"/>
      <c r="N134" s="27"/>
      <c r="O134" s="26"/>
      <c r="P134" s="27"/>
      <c r="Q134" s="27"/>
      <c r="R134" s="27"/>
      <c r="S134" s="27"/>
      <c r="T134" s="27"/>
      <c r="U134" s="27"/>
      <c r="V134" s="26"/>
      <c r="W134" s="26"/>
    </row>
    <row r="135" spans="2:23">
      <c r="B135" s="552" t="s">
        <v>1891</v>
      </c>
      <c r="C135" s="177">
        <v>9000</v>
      </c>
      <c r="D135" s="93">
        <v>73</v>
      </c>
      <c r="E135" s="539">
        <v>2.8799999999999999E-2</v>
      </c>
      <c r="F135" s="93"/>
      <c r="G135" s="93"/>
      <c r="K135" s="491"/>
      <c r="L135" s="26"/>
      <c r="M135" s="26"/>
      <c r="N135" s="27"/>
      <c r="O135" s="26"/>
      <c r="P135" s="27"/>
      <c r="Q135" s="27"/>
      <c r="R135" s="27"/>
      <c r="S135" s="27"/>
      <c r="T135" s="27"/>
      <c r="U135" s="27"/>
      <c r="V135" s="26"/>
      <c r="W135" s="26"/>
    </row>
    <row r="136" spans="2:23">
      <c r="B136" s="552" t="s">
        <v>1890</v>
      </c>
      <c r="C136" s="578">
        <v>16425</v>
      </c>
      <c r="D136" s="93">
        <v>134</v>
      </c>
      <c r="E136" s="539">
        <v>1.44E-2</v>
      </c>
      <c r="F136" s="93"/>
      <c r="G136" s="93"/>
      <c r="K136" s="491"/>
      <c r="L136" s="26"/>
      <c r="M136" s="26"/>
      <c r="N136" s="27"/>
      <c r="O136" s="26"/>
      <c r="P136" s="27"/>
      <c r="Q136" s="27"/>
      <c r="R136" s="27"/>
      <c r="S136" s="27"/>
      <c r="T136" s="27"/>
      <c r="U136" s="27"/>
      <c r="V136" s="26"/>
      <c r="W136" s="26"/>
    </row>
    <row r="137" spans="2:23">
      <c r="B137" s="552" t="s">
        <v>1889</v>
      </c>
      <c r="C137" s="177">
        <v>1825</v>
      </c>
      <c r="D137" s="93">
        <v>15</v>
      </c>
      <c r="E137" s="539">
        <v>5.9999999999999995E-4</v>
      </c>
      <c r="F137" s="93"/>
      <c r="G137" s="93"/>
      <c r="K137" s="491"/>
      <c r="L137" s="26"/>
      <c r="M137" s="26"/>
      <c r="N137" s="27"/>
      <c r="O137" s="26"/>
      <c r="P137" s="27"/>
      <c r="Q137" s="27"/>
      <c r="R137" s="27"/>
      <c r="S137" s="27"/>
      <c r="T137" s="27"/>
      <c r="U137" s="27"/>
      <c r="V137" s="26"/>
      <c r="W137" s="26"/>
    </row>
    <row r="138" spans="2:23">
      <c r="B138" s="551" t="s">
        <v>1888</v>
      </c>
      <c r="C138" s="177">
        <v>1278</v>
      </c>
      <c r="D138" s="93">
        <v>10</v>
      </c>
      <c r="E138" s="539">
        <v>4.0000000000000002E-4</v>
      </c>
      <c r="F138" s="93"/>
      <c r="G138" s="93"/>
      <c r="K138" s="491"/>
      <c r="L138" s="26"/>
      <c r="M138" s="26"/>
      <c r="N138" s="27"/>
      <c r="O138" s="26"/>
      <c r="P138" s="27"/>
      <c r="Q138" s="27"/>
      <c r="R138" s="27"/>
      <c r="S138" s="27"/>
      <c r="T138" s="27"/>
      <c r="U138" s="27"/>
      <c r="V138" s="26"/>
      <c r="W138" s="26"/>
    </row>
    <row r="139" spans="2:23">
      <c r="B139" s="550" t="s">
        <v>1887</v>
      </c>
      <c r="C139" s="93">
        <v>5000</v>
      </c>
      <c r="D139" s="93">
        <v>41</v>
      </c>
      <c r="E139" s="539">
        <v>1.2800000000000001E-2</v>
      </c>
      <c r="F139" s="93"/>
      <c r="G139" s="93"/>
      <c r="K139" s="491"/>
      <c r="L139" s="26"/>
      <c r="M139" s="26"/>
      <c r="N139" s="27"/>
      <c r="O139" s="26"/>
      <c r="P139" s="27"/>
      <c r="Q139" s="27"/>
      <c r="R139" s="27"/>
      <c r="S139" s="27"/>
      <c r="T139" s="27"/>
      <c r="U139" s="27"/>
      <c r="V139" s="26"/>
      <c r="W139" s="26"/>
    </row>
    <row r="140" spans="2:23">
      <c r="K140" s="491"/>
      <c r="L140" s="26"/>
      <c r="M140" s="26"/>
      <c r="N140" s="27"/>
      <c r="O140" s="26"/>
      <c r="P140" s="27"/>
      <c r="Q140" s="27"/>
      <c r="R140" s="27"/>
      <c r="S140" s="27"/>
      <c r="T140" s="27"/>
      <c r="U140" s="27"/>
      <c r="V140" s="26"/>
      <c r="W140" s="26"/>
    </row>
    <row r="141" spans="2:23">
      <c r="B141" s="574" t="s">
        <v>2122</v>
      </c>
      <c r="C141" s="573"/>
      <c r="D141" s="573"/>
      <c r="E141" s="575"/>
      <c r="F141" s="577"/>
      <c r="G141" s="576"/>
      <c r="H141" s="576"/>
      <c r="I141" s="575"/>
      <c r="J141" s="572"/>
      <c r="K141" s="26"/>
      <c r="L141" s="252"/>
      <c r="M141" s="26"/>
      <c r="N141" s="26"/>
      <c r="O141" s="26"/>
      <c r="P141" s="27"/>
      <c r="Q141" s="27"/>
      <c r="R141" s="27"/>
      <c r="S141" s="27"/>
      <c r="T141" s="27"/>
      <c r="U141" s="27"/>
      <c r="V141" s="26"/>
      <c r="W141" s="26"/>
    </row>
    <row r="142" spans="2:23">
      <c r="B142" s="94" t="s">
        <v>1898</v>
      </c>
      <c r="C142" s="574" t="s">
        <v>810</v>
      </c>
      <c r="D142" s="573" t="s">
        <v>500</v>
      </c>
      <c r="E142" s="573" t="s">
        <v>499</v>
      </c>
      <c r="F142" s="497" t="s">
        <v>244</v>
      </c>
      <c r="G142" s="497" t="s">
        <v>9</v>
      </c>
      <c r="H142" s="497" t="s">
        <v>8</v>
      </c>
      <c r="I142" s="497" t="s">
        <v>7</v>
      </c>
      <c r="J142" s="572"/>
      <c r="K142" s="26"/>
      <c r="L142" s="252"/>
      <c r="M142" s="26"/>
      <c r="N142" s="26"/>
      <c r="O142" s="26"/>
      <c r="P142" s="27"/>
      <c r="Q142" s="27"/>
      <c r="R142" s="27"/>
      <c r="S142" s="27"/>
      <c r="T142" s="27"/>
      <c r="U142" s="27"/>
      <c r="V142" s="26"/>
      <c r="W142" s="26"/>
    </row>
    <row r="143" spans="2:23">
      <c r="B143" s="93" t="s">
        <v>1897</v>
      </c>
      <c r="C143" s="550" t="s">
        <v>188</v>
      </c>
      <c r="D143" s="549">
        <f t="shared" ref="D143:D174" si="26">(($C$111-$C$112)/$C$111)*VLOOKUP(C143,$B$126:$E$139,2,FALSE)*VLOOKUP(B143,$B$119:$E$123,2,FALSE)*$C$115</f>
        <v>71.142086330935257</v>
      </c>
      <c r="E143" s="549">
        <f t="shared" ref="E143:E174" si="27">D143*VLOOKUP(C143,$B$126:$E$139,4,FALSE)/VLOOKUP(C143,$B$126:$E$139,3,FALSE)</f>
        <v>2.2765467625899281E-2</v>
      </c>
      <c r="F143" s="617">
        <f t="shared" ref="F143:F174" si="28">D143/(($C$111)*VLOOKUP(C143,$B$126:$E$139,2,FALSE)*VLOOKUP(B143,$B$119:$E$123,2,FALSE)*$C$115)</f>
        <v>0.2329071994203199</v>
      </c>
      <c r="G143" s="548">
        <f>VLOOKUP(B143,$B$119:$E$123,4,FALSE)</f>
        <v>8</v>
      </c>
      <c r="H143" s="548">
        <f>G143/D143</f>
        <v>0.11245101757047149</v>
      </c>
      <c r="I143" s="618">
        <f>1/COUNT($H$143:$H$194)</f>
        <v>1.9230769230769232E-2</v>
      </c>
      <c r="J143" s="572"/>
      <c r="K143" s="26"/>
      <c r="L143" s="252"/>
      <c r="M143" s="26"/>
      <c r="N143" s="26"/>
      <c r="O143" s="26"/>
      <c r="P143" s="27"/>
      <c r="Q143" s="27"/>
      <c r="R143" s="27"/>
      <c r="S143" s="27"/>
      <c r="T143" s="27"/>
      <c r="U143" s="27"/>
      <c r="V143" s="26"/>
      <c r="W143" s="26"/>
    </row>
    <row r="144" spans="2:23">
      <c r="B144" s="93" t="s">
        <v>1897</v>
      </c>
      <c r="C144" s="550" t="s">
        <v>175</v>
      </c>
      <c r="D144" s="549">
        <f t="shared" si="26"/>
        <v>320.13938848920867</v>
      </c>
      <c r="E144" s="549">
        <f t="shared" si="27"/>
        <v>0.10021754770096968</v>
      </c>
      <c r="F144" s="617">
        <f t="shared" si="28"/>
        <v>0.2329071994203199</v>
      </c>
      <c r="G144" s="548">
        <f t="shared" ref="G144:G194" si="29">VLOOKUP(B144,$B$119:$E$123,4,FALSE)</f>
        <v>8</v>
      </c>
      <c r="H144" s="548">
        <f t="shared" ref="H144:H194" si="30">G144/D144</f>
        <v>2.498911501566033E-2</v>
      </c>
      <c r="I144" s="618">
        <f t="shared" ref="I144:I194" si="31">1/COUNT($H$143:$H$194)</f>
        <v>1.9230769230769232E-2</v>
      </c>
      <c r="J144" s="572"/>
      <c r="K144" s="26"/>
      <c r="L144" s="252"/>
      <c r="M144" s="26"/>
      <c r="N144" s="26"/>
      <c r="O144" s="26"/>
      <c r="P144" s="27"/>
      <c r="Q144" s="27"/>
      <c r="R144" s="27"/>
      <c r="S144" s="27"/>
      <c r="T144" s="27"/>
      <c r="U144" s="27"/>
      <c r="V144" s="26"/>
      <c r="W144" s="26"/>
    </row>
    <row r="145" spans="2:40">
      <c r="B145" s="93" t="s">
        <v>1897</v>
      </c>
      <c r="C145" s="550" t="s">
        <v>1895</v>
      </c>
      <c r="D145" s="549">
        <f t="shared" si="26"/>
        <v>272.64493165467627</v>
      </c>
      <c r="E145" s="549">
        <f t="shared" si="27"/>
        <v>2.9361761870503596E-2</v>
      </c>
      <c r="F145" s="617">
        <f t="shared" si="28"/>
        <v>0.23290719942031987</v>
      </c>
      <c r="G145" s="548">
        <f t="shared" si="29"/>
        <v>8</v>
      </c>
      <c r="H145" s="548">
        <f t="shared" si="30"/>
        <v>2.9342192247800724E-2</v>
      </c>
      <c r="I145" s="618">
        <f t="shared" si="31"/>
        <v>1.9230769230769232E-2</v>
      </c>
      <c r="J145" s="572"/>
      <c r="K145" s="26"/>
      <c r="L145" s="252"/>
      <c r="M145" s="26"/>
      <c r="N145" s="26"/>
      <c r="O145" s="26"/>
      <c r="P145" s="27"/>
      <c r="Q145" s="27"/>
      <c r="R145" s="27"/>
      <c r="S145" s="27"/>
      <c r="T145" s="27"/>
      <c r="U145" s="27"/>
      <c r="V145" s="26"/>
      <c r="W145" s="26"/>
    </row>
    <row r="146" spans="2:40">
      <c r="B146" s="93" t="s">
        <v>1897</v>
      </c>
      <c r="C146" s="550" t="s">
        <v>1894</v>
      </c>
      <c r="D146" s="549">
        <f t="shared" si="26"/>
        <v>448.70736690647482</v>
      </c>
      <c r="E146" s="549">
        <f t="shared" si="27"/>
        <v>6.400167093859796E-2</v>
      </c>
      <c r="F146" s="617">
        <f t="shared" si="28"/>
        <v>0.23290719942031987</v>
      </c>
      <c r="G146" s="548">
        <f t="shared" si="29"/>
        <v>8</v>
      </c>
      <c r="H146" s="548">
        <f t="shared" si="30"/>
        <v>1.7828991877611538E-2</v>
      </c>
      <c r="I146" s="618">
        <f t="shared" si="31"/>
        <v>1.9230769230769232E-2</v>
      </c>
      <c r="J146" s="572"/>
      <c r="K146" s="26"/>
      <c r="L146" s="252"/>
      <c r="M146" s="26"/>
      <c r="N146" s="26"/>
      <c r="O146" s="26"/>
      <c r="P146" s="27"/>
      <c r="Q146" s="27"/>
      <c r="R146" s="27"/>
      <c r="S146" s="27"/>
      <c r="T146" s="27"/>
      <c r="U146" s="27"/>
      <c r="V146" s="26"/>
      <c r="W146" s="26"/>
    </row>
    <row r="147" spans="2:40">
      <c r="B147" s="93" t="s">
        <v>1897</v>
      </c>
      <c r="C147" s="550" t="s">
        <v>1154</v>
      </c>
      <c r="D147" s="549">
        <f t="shared" si="26"/>
        <v>103.86744604316547</v>
      </c>
      <c r="E147" s="549">
        <f t="shared" si="27"/>
        <v>1.488766726618705E-2</v>
      </c>
      <c r="F147" s="617">
        <f t="shared" si="28"/>
        <v>0.23290719942031984</v>
      </c>
      <c r="G147" s="548">
        <f t="shared" si="29"/>
        <v>8</v>
      </c>
      <c r="H147" s="548">
        <f t="shared" si="30"/>
        <v>7.7021244911281844E-2</v>
      </c>
      <c r="I147" s="618">
        <f t="shared" si="31"/>
        <v>1.9230769230769232E-2</v>
      </c>
      <c r="J147" s="572"/>
      <c r="K147" s="26"/>
      <c r="L147" s="252"/>
      <c r="M147" s="26"/>
      <c r="N147" s="26"/>
      <c r="O147" s="26"/>
      <c r="P147" s="27"/>
      <c r="Q147" s="27"/>
      <c r="R147" s="27"/>
      <c r="S147" s="27"/>
      <c r="T147" s="27"/>
      <c r="U147" s="27"/>
      <c r="V147" s="26"/>
      <c r="W147" s="26"/>
    </row>
    <row r="148" spans="2:40">
      <c r="B148" s="93" t="s">
        <v>1897</v>
      </c>
      <c r="C148" s="550" t="s">
        <v>1893</v>
      </c>
      <c r="D148" s="549">
        <f t="shared" si="26"/>
        <v>103.86744604316547</v>
      </c>
      <c r="E148" s="549">
        <f t="shared" si="27"/>
        <v>1.488766726618705E-2</v>
      </c>
      <c r="F148" s="617">
        <f t="shared" si="28"/>
        <v>0.23290719942031984</v>
      </c>
      <c r="G148" s="548">
        <f t="shared" si="29"/>
        <v>8</v>
      </c>
      <c r="H148" s="548">
        <f t="shared" si="30"/>
        <v>7.7021244911281844E-2</v>
      </c>
      <c r="I148" s="618">
        <f t="shared" si="31"/>
        <v>1.9230769230769232E-2</v>
      </c>
      <c r="J148" s="572"/>
      <c r="K148" s="26"/>
      <c r="L148" s="252"/>
      <c r="M148" s="26"/>
      <c r="N148" s="26"/>
      <c r="O148" s="26"/>
      <c r="P148" s="27"/>
      <c r="Q148" s="27"/>
      <c r="R148" s="27"/>
      <c r="S148" s="27"/>
      <c r="T148" s="27"/>
      <c r="U148" s="27"/>
      <c r="V148" s="26"/>
      <c r="W148" s="26"/>
    </row>
    <row r="149" spans="2:40">
      <c r="B149" s="93" t="s">
        <v>1897</v>
      </c>
      <c r="C149" s="550" t="s">
        <v>1152</v>
      </c>
      <c r="D149" s="549">
        <f t="shared" si="26"/>
        <v>71.142086330935257</v>
      </c>
      <c r="E149" s="549">
        <f t="shared" si="27"/>
        <v>2.2765467625899281E-2</v>
      </c>
      <c r="F149" s="617">
        <f t="shared" si="28"/>
        <v>0.2329071994203199</v>
      </c>
      <c r="G149" s="548">
        <f t="shared" si="29"/>
        <v>8</v>
      </c>
      <c r="H149" s="548">
        <f t="shared" si="30"/>
        <v>0.11245101757047149</v>
      </c>
      <c r="I149" s="618">
        <f t="shared" si="31"/>
        <v>1.9230769230769232E-2</v>
      </c>
      <c r="J149" s="572"/>
      <c r="K149" s="26"/>
      <c r="L149" s="252"/>
      <c r="M149" s="26"/>
      <c r="N149" s="26"/>
      <c r="O149" s="26"/>
      <c r="P149" s="27"/>
      <c r="Q149" s="27"/>
      <c r="R149" s="27"/>
      <c r="S149" s="27"/>
      <c r="T149" s="27"/>
      <c r="U149" s="27"/>
      <c r="V149" s="26"/>
      <c r="W149" s="26"/>
    </row>
    <row r="150" spans="2:40">
      <c r="B150" s="93" t="s">
        <v>1897</v>
      </c>
      <c r="C150" s="550" t="s">
        <v>1892</v>
      </c>
      <c r="D150" s="549">
        <f t="shared" si="26"/>
        <v>85.370503597122294</v>
      </c>
      <c r="E150" s="549">
        <f t="shared" si="27"/>
        <v>3.4148201438848921E-3</v>
      </c>
      <c r="F150" s="617">
        <f t="shared" si="28"/>
        <v>0.23290719942031984</v>
      </c>
      <c r="G150" s="548">
        <f t="shared" si="29"/>
        <v>8</v>
      </c>
      <c r="H150" s="548">
        <f t="shared" si="30"/>
        <v>9.3709181308726255E-2</v>
      </c>
      <c r="I150" s="618">
        <f t="shared" si="31"/>
        <v>1.9230769230769232E-2</v>
      </c>
      <c r="J150" s="26"/>
      <c r="K150" s="252"/>
      <c r="L150" s="26"/>
      <c r="M150" s="26"/>
      <c r="N150" s="26"/>
      <c r="O150" s="27"/>
      <c r="P150" s="27"/>
      <c r="Q150" s="27"/>
      <c r="R150" s="27"/>
      <c r="S150" s="27"/>
      <c r="T150" s="27"/>
      <c r="U150" s="27"/>
      <c r="V150" s="26"/>
      <c r="W150" s="26"/>
    </row>
    <row r="151" spans="2:40">
      <c r="B151" s="93" t="s">
        <v>1897</v>
      </c>
      <c r="C151" s="552" t="s">
        <v>1891</v>
      </c>
      <c r="D151" s="549">
        <f t="shared" si="26"/>
        <v>256.11151079136692</v>
      </c>
      <c r="E151" s="549">
        <f t="shared" si="27"/>
        <v>0.10104125357248449</v>
      </c>
      <c r="F151" s="617">
        <f t="shared" si="28"/>
        <v>0.23290719942031984</v>
      </c>
      <c r="G151" s="548">
        <f t="shared" si="29"/>
        <v>8</v>
      </c>
      <c r="H151" s="548">
        <f t="shared" si="30"/>
        <v>3.1236393769575412E-2</v>
      </c>
      <c r="I151" s="618">
        <f t="shared" si="31"/>
        <v>1.9230769230769232E-2</v>
      </c>
      <c r="J151" s="26"/>
      <c r="K151" s="26"/>
      <c r="L151" s="26"/>
      <c r="M151" s="252"/>
      <c r="N151" s="26"/>
      <c r="O151" s="26"/>
      <c r="P151" s="26"/>
      <c r="Q151" s="27"/>
      <c r="R151" s="27"/>
      <c r="S151" s="27"/>
      <c r="T151" s="27"/>
      <c r="U151" s="27"/>
      <c r="V151" s="27"/>
      <c r="W151" s="27"/>
    </row>
    <row r="152" spans="2:40">
      <c r="B152" s="93" t="s">
        <v>1897</v>
      </c>
      <c r="C152" s="552" t="s">
        <v>1890</v>
      </c>
      <c r="D152" s="549">
        <f t="shared" si="26"/>
        <v>467.40350719424458</v>
      </c>
      <c r="E152" s="549">
        <f t="shared" si="27"/>
        <v>5.0228436594008372E-2</v>
      </c>
      <c r="F152" s="617">
        <f t="shared" si="28"/>
        <v>0.23290719942031982</v>
      </c>
      <c r="G152" s="548">
        <f t="shared" si="29"/>
        <v>8</v>
      </c>
      <c r="H152" s="548">
        <f t="shared" si="30"/>
        <v>1.7115832202507078E-2</v>
      </c>
      <c r="I152" s="618">
        <f t="shared" si="31"/>
        <v>1.9230769230769232E-2</v>
      </c>
      <c r="J152" s="26"/>
      <c r="K152" s="26"/>
      <c r="L152" s="26"/>
      <c r="M152" s="2"/>
      <c r="N152" s="26"/>
      <c r="O152" s="26"/>
      <c r="P152" s="26"/>
      <c r="Q152" s="26"/>
      <c r="R152" s="213"/>
      <c r="S152" s="26"/>
      <c r="T152" s="26"/>
      <c r="U152" s="27"/>
      <c r="V152" s="2"/>
      <c r="W152" s="26"/>
      <c r="X152" s="26"/>
      <c r="Y152" s="26"/>
      <c r="Z152" s="26"/>
      <c r="AA152" s="213"/>
      <c r="AB152" s="26"/>
      <c r="AC152" s="26"/>
      <c r="AD152" s="27"/>
      <c r="AE152" s="2"/>
      <c r="AF152" s="26"/>
      <c r="AG152" s="26"/>
      <c r="AH152" s="26"/>
      <c r="AI152" s="26"/>
      <c r="AJ152" s="213"/>
      <c r="AK152" s="26"/>
      <c r="AL152" s="26"/>
      <c r="AM152" s="27"/>
      <c r="AN152" s="26"/>
    </row>
    <row r="153" spans="2:40">
      <c r="B153" s="93" t="s">
        <v>1897</v>
      </c>
      <c r="C153" s="552" t="s">
        <v>1889</v>
      </c>
      <c r="D153" s="549">
        <f t="shared" si="26"/>
        <v>51.933723021582736</v>
      </c>
      <c r="E153" s="549">
        <f t="shared" si="27"/>
        <v>2.0773489208633093E-3</v>
      </c>
      <c r="F153" s="617">
        <f t="shared" si="28"/>
        <v>0.23290719942031984</v>
      </c>
      <c r="G153" s="548">
        <f t="shared" si="29"/>
        <v>8</v>
      </c>
      <c r="H153" s="548">
        <f t="shared" si="30"/>
        <v>0.15404248982256369</v>
      </c>
      <c r="I153" s="618">
        <f t="shared" si="31"/>
        <v>1.9230769230769232E-2</v>
      </c>
      <c r="J153" s="561"/>
      <c r="K153" s="560"/>
      <c r="L153" s="561"/>
      <c r="M153" s="561"/>
      <c r="N153" s="561"/>
      <c r="O153" s="561"/>
      <c r="P153" s="561"/>
      <c r="Q153" s="560"/>
      <c r="R153" s="560"/>
      <c r="S153" s="560"/>
      <c r="T153" s="560"/>
      <c r="U153" s="560"/>
      <c r="V153" s="560"/>
      <c r="W153" s="560"/>
      <c r="X153" s="560"/>
      <c r="Y153" s="560"/>
      <c r="Z153" s="560"/>
      <c r="AA153" s="560"/>
      <c r="AB153" s="560"/>
      <c r="AC153" s="560"/>
      <c r="AD153" s="560"/>
      <c r="AE153" s="560"/>
      <c r="AF153" s="560"/>
      <c r="AG153" s="560"/>
      <c r="AH153" s="560"/>
      <c r="AI153" s="560"/>
      <c r="AJ153" s="560"/>
      <c r="AK153" s="560"/>
      <c r="AL153" s="560"/>
      <c r="AM153" s="560"/>
      <c r="AN153" s="460"/>
    </row>
    <row r="154" spans="2:40">
      <c r="B154" s="93" t="s">
        <v>1897</v>
      </c>
      <c r="C154" s="551" t="s">
        <v>1888</v>
      </c>
      <c r="D154" s="549">
        <f t="shared" si="26"/>
        <v>36.367834532374097</v>
      </c>
      <c r="E154" s="549">
        <f t="shared" si="27"/>
        <v>1.454713381294964E-3</v>
      </c>
      <c r="F154" s="617">
        <f t="shared" si="28"/>
        <v>0.23290719942031987</v>
      </c>
      <c r="G154" s="548">
        <f t="shared" si="29"/>
        <v>8</v>
      </c>
      <c r="H154" s="548">
        <f t="shared" si="30"/>
        <v>0.2199746040110945</v>
      </c>
      <c r="I154" s="618">
        <f t="shared" si="31"/>
        <v>1.9230769230769232E-2</v>
      </c>
      <c r="J154" s="296"/>
      <c r="K154" s="27"/>
      <c r="L154" s="571"/>
      <c r="M154" s="296"/>
      <c r="N154" s="296"/>
      <c r="O154" s="231"/>
      <c r="P154" s="569"/>
      <c r="Q154" s="292"/>
      <c r="R154" s="292"/>
      <c r="S154" s="558"/>
      <c r="T154" s="229"/>
      <c r="U154" s="229"/>
      <c r="V154" s="249"/>
      <c r="W154" s="296"/>
      <c r="X154" s="231"/>
      <c r="Y154" s="569"/>
      <c r="Z154" s="292"/>
      <c r="AA154" s="292"/>
      <c r="AB154" s="558"/>
      <c r="AC154" s="568"/>
      <c r="AD154" s="229"/>
      <c r="AE154" s="296"/>
      <c r="AF154" s="296"/>
      <c r="AG154" s="231"/>
      <c r="AH154" s="569"/>
      <c r="AI154" s="292"/>
      <c r="AJ154" s="292"/>
      <c r="AK154" s="558"/>
      <c r="AL154" s="568"/>
      <c r="AM154" s="568"/>
      <c r="AN154" s="26"/>
    </row>
    <row r="155" spans="2:40">
      <c r="B155" s="93" t="s">
        <v>1897</v>
      </c>
      <c r="C155" s="550" t="s">
        <v>1887</v>
      </c>
      <c r="D155" s="549">
        <f t="shared" si="26"/>
        <v>142.28417266187051</v>
      </c>
      <c r="E155" s="549">
        <f t="shared" si="27"/>
        <v>4.442042463590104E-2</v>
      </c>
      <c r="F155" s="617">
        <f t="shared" si="28"/>
        <v>0.2329071994203199</v>
      </c>
      <c r="G155" s="548">
        <f t="shared" si="29"/>
        <v>8</v>
      </c>
      <c r="H155" s="548">
        <f t="shared" si="30"/>
        <v>5.6225508785235745E-2</v>
      </c>
      <c r="I155" s="618">
        <f t="shared" si="31"/>
        <v>1.9230769230769232E-2</v>
      </c>
      <c r="J155" s="296"/>
      <c r="K155" s="27"/>
      <c r="L155" s="567"/>
      <c r="M155" s="296"/>
      <c r="N155" s="296"/>
      <c r="O155" s="231"/>
      <c r="P155" s="569"/>
      <c r="Q155" s="292"/>
      <c r="R155" s="292"/>
      <c r="S155" s="558"/>
      <c r="T155" s="229"/>
      <c r="U155" s="229"/>
      <c r="V155" s="249"/>
      <c r="W155" s="296"/>
      <c r="X155" s="231"/>
      <c r="Y155" s="569"/>
      <c r="Z155" s="292"/>
      <c r="AA155" s="292"/>
      <c r="AB155" s="558"/>
      <c r="AC155" s="568"/>
      <c r="AD155" s="229"/>
      <c r="AE155" s="296"/>
      <c r="AF155" s="296"/>
      <c r="AG155" s="231"/>
      <c r="AH155" s="569"/>
      <c r="AI155" s="292"/>
      <c r="AJ155" s="292"/>
      <c r="AK155" s="558"/>
      <c r="AL155" s="568"/>
      <c r="AM155" s="568"/>
      <c r="AN155" s="26"/>
    </row>
    <row r="156" spans="2:40">
      <c r="B156" s="177" t="s">
        <v>788</v>
      </c>
      <c r="C156" s="550" t="s">
        <v>188</v>
      </c>
      <c r="D156" s="549">
        <f t="shared" si="26"/>
        <v>85.305755395683448</v>
      </c>
      <c r="E156" s="549">
        <f t="shared" si="27"/>
        <v>2.7297841726618706E-2</v>
      </c>
      <c r="F156" s="617">
        <f t="shared" si="28"/>
        <v>0.2329071994203199</v>
      </c>
      <c r="G156" s="548">
        <f t="shared" si="29"/>
        <v>8</v>
      </c>
      <c r="H156" s="548">
        <f t="shared" si="30"/>
        <v>9.3780307822053557E-2</v>
      </c>
      <c r="I156" s="618">
        <f t="shared" si="31"/>
        <v>1.9230769230769232E-2</v>
      </c>
      <c r="J156" s="296"/>
      <c r="K156" s="27"/>
      <c r="L156" s="567"/>
      <c r="M156" s="296"/>
      <c r="N156" s="296"/>
      <c r="O156" s="231"/>
      <c r="P156" s="569"/>
      <c r="Q156" s="292"/>
      <c r="R156" s="292"/>
      <c r="S156" s="558"/>
      <c r="T156" s="229"/>
      <c r="U156" s="229"/>
      <c r="V156" s="249"/>
      <c r="W156" s="296"/>
      <c r="X156" s="231"/>
      <c r="Y156" s="569"/>
      <c r="Z156" s="292"/>
      <c r="AA156" s="292"/>
      <c r="AB156" s="558"/>
      <c r="AC156" s="568"/>
      <c r="AD156" s="229"/>
      <c r="AE156" s="296"/>
      <c r="AF156" s="296"/>
      <c r="AG156" s="231"/>
      <c r="AH156" s="569"/>
      <c r="AI156" s="292"/>
      <c r="AJ156" s="292"/>
      <c r="AK156" s="558"/>
      <c r="AL156" s="568"/>
      <c r="AM156" s="568"/>
      <c r="AN156" s="26"/>
    </row>
    <row r="157" spans="2:40">
      <c r="B157" s="177" t="s">
        <v>788</v>
      </c>
      <c r="C157" s="550" t="s">
        <v>175</v>
      </c>
      <c r="D157" s="549">
        <f t="shared" si="26"/>
        <v>383.87589928057548</v>
      </c>
      <c r="E157" s="549">
        <f t="shared" si="27"/>
        <v>0.12016984673131058</v>
      </c>
      <c r="F157" s="617">
        <f t="shared" si="28"/>
        <v>0.23290719942031987</v>
      </c>
      <c r="G157" s="548">
        <f t="shared" si="29"/>
        <v>8</v>
      </c>
      <c r="H157" s="548">
        <f t="shared" si="30"/>
        <v>2.0840068404900793E-2</v>
      </c>
      <c r="I157" s="618">
        <f t="shared" si="31"/>
        <v>1.9230769230769232E-2</v>
      </c>
      <c r="J157" s="296"/>
      <c r="K157" s="27"/>
      <c r="L157" s="567"/>
      <c r="M157" s="296"/>
      <c r="N157" s="296"/>
      <c r="O157" s="231"/>
      <c r="P157" s="569"/>
      <c r="Q157" s="292"/>
      <c r="R157" s="292"/>
      <c r="S157" s="558"/>
      <c r="T157" s="229"/>
      <c r="U157" s="229"/>
      <c r="V157" s="249"/>
      <c r="W157" s="296"/>
      <c r="X157" s="231"/>
      <c r="Y157" s="569"/>
      <c r="Z157" s="292"/>
      <c r="AA157" s="292"/>
      <c r="AB157" s="558"/>
      <c r="AC157" s="568"/>
      <c r="AD157" s="229"/>
      <c r="AE157" s="296"/>
      <c r="AF157" s="296"/>
      <c r="AG157" s="231"/>
      <c r="AH157" s="569"/>
      <c r="AI157" s="292"/>
      <c r="AJ157" s="292"/>
      <c r="AK157" s="558"/>
      <c r="AL157" s="568"/>
      <c r="AM157" s="568"/>
      <c r="AN157" s="26"/>
    </row>
    <row r="158" spans="2:40">
      <c r="B158" s="177" t="s">
        <v>788</v>
      </c>
      <c r="C158" s="550" t="s">
        <v>1895</v>
      </c>
      <c r="D158" s="549">
        <f t="shared" si="26"/>
        <v>326.92577697841722</v>
      </c>
      <c r="E158" s="549">
        <f t="shared" si="27"/>
        <v>3.5207391366906468E-2</v>
      </c>
      <c r="F158" s="617">
        <f t="shared" si="28"/>
        <v>0.23290719942031987</v>
      </c>
      <c r="G158" s="548">
        <f t="shared" si="29"/>
        <v>8</v>
      </c>
      <c r="H158" s="548">
        <f t="shared" si="30"/>
        <v>2.4470386134551082E-2</v>
      </c>
      <c r="I158" s="618">
        <f t="shared" si="31"/>
        <v>1.9230769230769232E-2</v>
      </c>
      <c r="J158" s="296"/>
      <c r="K158" s="27"/>
      <c r="L158" s="571"/>
      <c r="M158" s="296"/>
      <c r="N158" s="296"/>
      <c r="O158" s="231"/>
      <c r="P158" s="569"/>
      <c r="Q158" s="292"/>
      <c r="R158" s="292"/>
      <c r="S158" s="558"/>
      <c r="T158" s="229"/>
      <c r="U158" s="229"/>
      <c r="V158" s="249"/>
      <c r="W158" s="296"/>
      <c r="X158" s="231"/>
      <c r="Y158" s="569"/>
      <c r="Z158" s="292"/>
      <c r="AA158" s="292"/>
      <c r="AB158" s="558"/>
      <c r="AC158" s="568"/>
      <c r="AD158" s="229"/>
      <c r="AE158" s="296"/>
      <c r="AF158" s="296"/>
      <c r="AG158" s="231"/>
      <c r="AH158" s="569"/>
      <c r="AI158" s="292"/>
      <c r="AJ158" s="292"/>
      <c r="AK158" s="558"/>
      <c r="AL158" s="568"/>
      <c r="AM158" s="568"/>
      <c r="AN158" s="26"/>
    </row>
    <row r="159" spans="2:40">
      <c r="B159" s="177" t="s">
        <v>788</v>
      </c>
      <c r="C159" s="550" t="s">
        <v>1894</v>
      </c>
      <c r="D159" s="549">
        <f t="shared" si="26"/>
        <v>538.04046043165465</v>
      </c>
      <c r="E159" s="549">
        <f t="shared" si="27"/>
        <v>7.6743755596453064E-2</v>
      </c>
      <c r="F159" s="617">
        <f t="shared" si="28"/>
        <v>0.2329071994203199</v>
      </c>
      <c r="G159" s="548">
        <f t="shared" si="29"/>
        <v>8</v>
      </c>
      <c r="H159" s="548">
        <f t="shared" si="30"/>
        <v>1.4868770266053646E-2</v>
      </c>
      <c r="I159" s="618">
        <f t="shared" si="31"/>
        <v>1.9230769230769232E-2</v>
      </c>
      <c r="J159" s="296"/>
      <c r="K159" s="27"/>
      <c r="L159" s="567"/>
      <c r="M159" s="296"/>
      <c r="N159" s="296"/>
      <c r="O159" s="231"/>
      <c r="P159" s="569"/>
      <c r="Q159" s="292"/>
      <c r="R159" s="292"/>
      <c r="S159" s="558"/>
      <c r="T159" s="229"/>
      <c r="U159" s="229"/>
      <c r="V159" s="249"/>
      <c r="W159" s="296"/>
      <c r="X159" s="231"/>
      <c r="Y159" s="569"/>
      <c r="Z159" s="292"/>
      <c r="AA159" s="292"/>
      <c r="AB159" s="558"/>
      <c r="AC159" s="568"/>
      <c r="AD159" s="229"/>
      <c r="AE159" s="296"/>
      <c r="AF159" s="296"/>
      <c r="AG159" s="231"/>
      <c r="AH159" s="569"/>
      <c r="AI159" s="292"/>
      <c r="AJ159" s="292"/>
      <c r="AK159" s="558"/>
      <c r="AL159" s="568"/>
      <c r="AM159" s="568"/>
      <c r="AN159" s="26"/>
    </row>
    <row r="160" spans="2:40">
      <c r="B160" s="177" t="s">
        <v>788</v>
      </c>
      <c r="C160" s="550" t="s">
        <v>1154</v>
      </c>
      <c r="D160" s="549">
        <f t="shared" si="26"/>
        <v>124.54640287769783</v>
      </c>
      <c r="E160" s="549">
        <f t="shared" si="27"/>
        <v>1.7851651079136686E-2</v>
      </c>
      <c r="F160" s="617">
        <f t="shared" si="28"/>
        <v>0.23290719942031984</v>
      </c>
      <c r="G160" s="548">
        <f t="shared" si="29"/>
        <v>8</v>
      </c>
      <c r="H160" s="548">
        <f t="shared" si="30"/>
        <v>6.4233087549351753E-2</v>
      </c>
      <c r="I160" s="618">
        <f t="shared" si="31"/>
        <v>1.9230769230769232E-2</v>
      </c>
      <c r="J160" s="296"/>
      <c r="K160" s="27"/>
      <c r="L160" s="567"/>
      <c r="M160" s="296"/>
      <c r="N160" s="296"/>
      <c r="O160" s="231"/>
      <c r="P160" s="569"/>
      <c r="Q160" s="292"/>
      <c r="R160" s="292"/>
      <c r="S160" s="558"/>
      <c r="T160" s="229"/>
      <c r="U160" s="229"/>
      <c r="V160" s="249"/>
      <c r="W160" s="296"/>
      <c r="X160" s="231"/>
      <c r="Y160" s="569"/>
      <c r="Z160" s="292"/>
      <c r="AA160" s="292"/>
      <c r="AB160" s="558"/>
      <c r="AC160" s="568"/>
      <c r="AD160" s="229"/>
      <c r="AE160" s="296"/>
      <c r="AF160" s="296"/>
      <c r="AG160" s="231"/>
      <c r="AH160" s="569"/>
      <c r="AI160" s="292"/>
      <c r="AJ160" s="292"/>
      <c r="AK160" s="558"/>
      <c r="AL160" s="568"/>
      <c r="AM160" s="568"/>
      <c r="AN160" s="26"/>
    </row>
    <row r="161" spans="2:40">
      <c r="B161" s="177" t="s">
        <v>788</v>
      </c>
      <c r="C161" s="550" t="s">
        <v>1893</v>
      </c>
      <c r="D161" s="549">
        <f t="shared" si="26"/>
        <v>124.54640287769783</v>
      </c>
      <c r="E161" s="549">
        <f t="shared" si="27"/>
        <v>1.7851651079136686E-2</v>
      </c>
      <c r="F161" s="617">
        <f t="shared" si="28"/>
        <v>0.23290719942031984</v>
      </c>
      <c r="G161" s="548">
        <f t="shared" si="29"/>
        <v>8</v>
      </c>
      <c r="H161" s="548">
        <f t="shared" si="30"/>
        <v>6.4233087549351753E-2</v>
      </c>
      <c r="I161" s="618">
        <f t="shared" si="31"/>
        <v>1.9230769230769232E-2</v>
      </c>
      <c r="J161" s="296"/>
      <c r="K161" s="27"/>
      <c r="L161" s="567"/>
      <c r="M161" s="296"/>
      <c r="N161" s="296"/>
      <c r="O161" s="231"/>
      <c r="P161" s="569"/>
      <c r="Q161" s="292"/>
      <c r="R161" s="292"/>
      <c r="S161" s="558"/>
      <c r="T161" s="229"/>
      <c r="U161" s="229"/>
      <c r="V161" s="249"/>
      <c r="W161" s="296"/>
      <c r="X161" s="231"/>
      <c r="Y161" s="569"/>
      <c r="Z161" s="292"/>
      <c r="AA161" s="292"/>
      <c r="AB161" s="558"/>
      <c r="AC161" s="568"/>
      <c r="AD161" s="229"/>
      <c r="AE161" s="296"/>
      <c r="AF161" s="296"/>
      <c r="AG161" s="231"/>
      <c r="AH161" s="569"/>
      <c r="AI161" s="292"/>
      <c r="AJ161" s="292"/>
      <c r="AK161" s="558"/>
      <c r="AL161" s="568"/>
      <c r="AM161" s="568"/>
      <c r="AN161" s="26"/>
    </row>
    <row r="162" spans="2:40">
      <c r="B162" s="177" t="s">
        <v>788</v>
      </c>
      <c r="C162" s="550" t="s">
        <v>1152</v>
      </c>
      <c r="D162" s="549">
        <f t="shared" si="26"/>
        <v>85.305755395683448</v>
      </c>
      <c r="E162" s="549">
        <f t="shared" si="27"/>
        <v>2.7297841726618706E-2</v>
      </c>
      <c r="F162" s="617">
        <f t="shared" si="28"/>
        <v>0.2329071994203199</v>
      </c>
      <c r="G162" s="548">
        <f t="shared" si="29"/>
        <v>8</v>
      </c>
      <c r="H162" s="548">
        <f t="shared" si="30"/>
        <v>9.3780307822053557E-2</v>
      </c>
      <c r="I162" s="618">
        <f t="shared" si="31"/>
        <v>1.9230769230769232E-2</v>
      </c>
      <c r="J162" s="296"/>
      <c r="K162" s="27"/>
      <c r="L162" s="567"/>
      <c r="M162" s="296"/>
      <c r="N162" s="296"/>
      <c r="O162" s="231"/>
      <c r="P162" s="569"/>
      <c r="Q162" s="292"/>
      <c r="R162" s="292"/>
      <c r="S162" s="558"/>
      <c r="T162" s="229"/>
      <c r="U162" s="229"/>
      <c r="V162" s="249"/>
      <c r="W162" s="296"/>
      <c r="X162" s="231"/>
      <c r="Y162" s="569"/>
      <c r="Z162" s="292"/>
      <c r="AA162" s="292"/>
      <c r="AB162" s="558"/>
      <c r="AC162" s="568"/>
      <c r="AD162" s="229"/>
      <c r="AE162" s="296"/>
      <c r="AF162" s="296"/>
      <c r="AG162" s="231"/>
      <c r="AH162" s="569"/>
      <c r="AI162" s="292"/>
      <c r="AJ162" s="292"/>
      <c r="AK162" s="558"/>
      <c r="AL162" s="568"/>
      <c r="AM162" s="568"/>
      <c r="AN162" s="26"/>
    </row>
    <row r="163" spans="2:40">
      <c r="B163" s="177" t="s">
        <v>788</v>
      </c>
      <c r="C163" s="550" t="s">
        <v>1892</v>
      </c>
      <c r="D163" s="549">
        <f t="shared" si="26"/>
        <v>102.36690647482013</v>
      </c>
      <c r="E163" s="549">
        <f t="shared" si="27"/>
        <v>4.0946762589928057E-3</v>
      </c>
      <c r="F163" s="617">
        <f t="shared" si="28"/>
        <v>0.23290719942031984</v>
      </c>
      <c r="G163" s="548">
        <f t="shared" si="29"/>
        <v>8</v>
      </c>
      <c r="H163" s="548">
        <f t="shared" si="30"/>
        <v>7.8150256518377981E-2</v>
      </c>
      <c r="I163" s="618">
        <f t="shared" si="31"/>
        <v>1.9230769230769232E-2</v>
      </c>
      <c r="J163" s="291"/>
      <c r="K163" s="291"/>
      <c r="L163" s="567"/>
      <c r="M163" s="291"/>
      <c r="N163" s="291"/>
      <c r="O163" s="291"/>
      <c r="P163" s="565"/>
      <c r="Q163" s="564"/>
      <c r="R163" s="563"/>
      <c r="S163" s="290"/>
      <c r="T163" s="562"/>
      <c r="U163" s="503"/>
      <c r="V163" s="566"/>
      <c r="W163" s="291"/>
      <c r="X163" s="291"/>
      <c r="Y163" s="565"/>
      <c r="Z163" s="564"/>
      <c r="AA163" s="563"/>
      <c r="AB163" s="290"/>
      <c r="AC163" s="562"/>
      <c r="AD163" s="503"/>
      <c r="AE163" s="291"/>
      <c r="AF163" s="291"/>
      <c r="AG163" s="291"/>
      <c r="AH163" s="565"/>
      <c r="AI163" s="564"/>
      <c r="AJ163" s="563"/>
      <c r="AK163" s="290"/>
      <c r="AL163" s="562"/>
      <c r="AM163" s="562"/>
      <c r="AN163" s="26"/>
    </row>
    <row r="164" spans="2:40">
      <c r="B164" s="177" t="s">
        <v>788</v>
      </c>
      <c r="C164" s="552" t="s">
        <v>1891</v>
      </c>
      <c r="D164" s="549">
        <f t="shared" si="26"/>
        <v>307.10071942446041</v>
      </c>
      <c r="E164" s="549">
        <f t="shared" si="27"/>
        <v>0.12115754410170493</v>
      </c>
      <c r="F164" s="617">
        <f t="shared" si="28"/>
        <v>0.23290719942031987</v>
      </c>
      <c r="G164" s="548">
        <f t="shared" si="29"/>
        <v>8</v>
      </c>
      <c r="H164" s="548">
        <f t="shared" si="30"/>
        <v>2.6050085506125989E-2</v>
      </c>
      <c r="I164" s="618">
        <f t="shared" si="31"/>
        <v>1.9230769230769232E-2</v>
      </c>
      <c r="J164" s="26"/>
      <c r="K164" s="26"/>
      <c r="L164" s="26"/>
      <c r="M164" s="26"/>
      <c r="N164" s="26"/>
      <c r="O164" s="26"/>
      <c r="P164" s="26"/>
      <c r="Q164" s="26"/>
      <c r="R164" s="26"/>
      <c r="S164" s="26"/>
      <c r="T164" s="26"/>
      <c r="U164" s="26"/>
      <c r="V164" s="26"/>
      <c r="W164" s="26"/>
    </row>
    <row r="165" spans="2:40">
      <c r="B165" s="177" t="s">
        <v>788</v>
      </c>
      <c r="C165" s="552" t="s">
        <v>1890</v>
      </c>
      <c r="D165" s="549">
        <f t="shared" si="26"/>
        <v>560.45881294964022</v>
      </c>
      <c r="E165" s="549">
        <f t="shared" si="27"/>
        <v>6.0228409749812077E-2</v>
      </c>
      <c r="F165" s="617">
        <f t="shared" si="28"/>
        <v>0.23290719942031984</v>
      </c>
      <c r="G165" s="548">
        <f t="shared" si="29"/>
        <v>8</v>
      </c>
      <c r="H165" s="548">
        <f t="shared" si="30"/>
        <v>1.4274019455411501E-2</v>
      </c>
      <c r="I165" s="618">
        <f t="shared" si="31"/>
        <v>1.9230769230769232E-2</v>
      </c>
      <c r="J165" s="560"/>
      <c r="K165" s="561"/>
      <c r="L165" s="560"/>
      <c r="M165" s="561"/>
      <c r="N165" s="560"/>
      <c r="O165" s="560"/>
      <c r="P165" s="26"/>
      <c r="Q165" s="26"/>
      <c r="R165" s="26"/>
      <c r="S165" s="26"/>
      <c r="T165" s="26"/>
      <c r="U165" s="26"/>
      <c r="V165" s="26"/>
      <c r="W165" s="26"/>
    </row>
    <row r="166" spans="2:40">
      <c r="B166" s="177" t="s">
        <v>788</v>
      </c>
      <c r="C166" s="552" t="s">
        <v>1889</v>
      </c>
      <c r="D166" s="549">
        <f t="shared" si="26"/>
        <v>62.273201438848915</v>
      </c>
      <c r="E166" s="549">
        <f t="shared" si="27"/>
        <v>2.4909280575539563E-3</v>
      </c>
      <c r="F166" s="617">
        <f t="shared" si="28"/>
        <v>0.23290719942031984</v>
      </c>
      <c r="G166" s="548">
        <f t="shared" si="29"/>
        <v>8</v>
      </c>
      <c r="H166" s="548">
        <f t="shared" si="30"/>
        <v>0.12846617509870351</v>
      </c>
      <c r="I166" s="618">
        <f t="shared" si="31"/>
        <v>1.9230769230769232E-2</v>
      </c>
      <c r="J166" s="231"/>
      <c r="K166" s="296"/>
      <c r="L166" s="558"/>
      <c r="M166" s="296"/>
      <c r="N166" s="229"/>
      <c r="O166" s="229"/>
      <c r="P166" s="26"/>
      <c r="Q166" s="26"/>
      <c r="R166" s="26"/>
      <c r="S166" s="26"/>
      <c r="T166" s="26"/>
      <c r="U166" s="26"/>
      <c r="V166" s="26"/>
      <c r="W166" s="26"/>
    </row>
    <row r="167" spans="2:40">
      <c r="B167" s="177" t="s">
        <v>788</v>
      </c>
      <c r="C167" s="551" t="s">
        <v>1888</v>
      </c>
      <c r="D167" s="549">
        <f t="shared" si="26"/>
        <v>43.608302158273375</v>
      </c>
      <c r="E167" s="549">
        <f t="shared" si="27"/>
        <v>1.7443320863309349E-3</v>
      </c>
      <c r="F167" s="617">
        <f t="shared" si="28"/>
        <v>0.23290719942031987</v>
      </c>
      <c r="G167" s="548">
        <f t="shared" si="29"/>
        <v>8</v>
      </c>
      <c r="H167" s="548">
        <f t="shared" si="30"/>
        <v>0.18345130638116894</v>
      </c>
      <c r="I167" s="618">
        <f t="shared" si="31"/>
        <v>1.9230769230769232E-2</v>
      </c>
      <c r="J167" s="231"/>
      <c r="K167" s="296"/>
      <c r="L167" s="558"/>
      <c r="M167" s="296"/>
      <c r="N167" s="229"/>
      <c r="O167" s="229"/>
      <c r="P167" s="26"/>
      <c r="Q167" s="26"/>
      <c r="R167" s="26"/>
      <c r="S167" s="26"/>
      <c r="T167" s="26"/>
      <c r="U167" s="26"/>
      <c r="V167" s="26"/>
      <c r="W167" s="26"/>
    </row>
    <row r="168" spans="2:40">
      <c r="B168" s="177" t="s">
        <v>788</v>
      </c>
      <c r="C168" s="550" t="s">
        <v>1887</v>
      </c>
      <c r="D168" s="549">
        <f t="shared" si="26"/>
        <v>170.6115107913669</v>
      </c>
      <c r="E168" s="549">
        <f t="shared" si="27"/>
        <v>5.3264081417792597E-2</v>
      </c>
      <c r="F168" s="617">
        <f t="shared" si="28"/>
        <v>0.2329071994203199</v>
      </c>
      <c r="G168" s="548">
        <f t="shared" si="29"/>
        <v>8</v>
      </c>
      <c r="H168" s="548">
        <f t="shared" si="30"/>
        <v>4.6890153911026779E-2</v>
      </c>
      <c r="I168" s="618">
        <f t="shared" si="31"/>
        <v>1.9230769230769232E-2</v>
      </c>
      <c r="J168" s="231"/>
      <c r="K168" s="296"/>
      <c r="L168" s="558"/>
      <c r="M168" s="296"/>
      <c r="N168" s="229"/>
      <c r="O168" s="229"/>
      <c r="P168" s="26"/>
      <c r="Q168" s="26"/>
      <c r="R168" s="26"/>
      <c r="S168" s="26"/>
      <c r="T168" s="26"/>
      <c r="U168" s="26"/>
      <c r="V168" s="26"/>
      <c r="W168" s="26"/>
    </row>
    <row r="169" spans="2:40">
      <c r="B169" s="177" t="s">
        <v>1896</v>
      </c>
      <c r="C169" s="550" t="s">
        <v>188</v>
      </c>
      <c r="D169" s="549">
        <f t="shared" si="26"/>
        <v>119.54136690647482</v>
      </c>
      <c r="E169" s="549">
        <f t="shared" si="27"/>
        <v>3.8253237410071944E-2</v>
      </c>
      <c r="F169" s="617">
        <f t="shared" si="28"/>
        <v>0.2329071994203199</v>
      </c>
      <c r="G169" s="548">
        <f t="shared" si="29"/>
        <v>14.27</v>
      </c>
      <c r="H169" s="548">
        <f t="shared" si="30"/>
        <v>0.11937290303167079</v>
      </c>
      <c r="I169" s="618">
        <f t="shared" si="31"/>
        <v>1.9230769230769232E-2</v>
      </c>
      <c r="J169" s="231"/>
      <c r="K169" s="296"/>
      <c r="L169" s="558"/>
      <c r="M169" s="296"/>
      <c r="N169" s="229"/>
      <c r="O169" s="229"/>
      <c r="P169" s="26"/>
      <c r="Q169" s="26"/>
      <c r="R169" s="26"/>
      <c r="S169" s="26"/>
      <c r="T169" s="26"/>
      <c r="U169" s="26"/>
      <c r="V169" s="26"/>
      <c r="W169" s="26"/>
    </row>
    <row r="170" spans="2:40">
      <c r="B170" s="177" t="s">
        <v>1896</v>
      </c>
      <c r="C170" s="550" t="s">
        <v>175</v>
      </c>
      <c r="D170" s="549">
        <f t="shared" si="26"/>
        <v>537.93615107913672</v>
      </c>
      <c r="E170" s="549">
        <f t="shared" si="27"/>
        <v>0.16839740381607757</v>
      </c>
      <c r="F170" s="617">
        <f t="shared" si="28"/>
        <v>0.2329071994203199</v>
      </c>
      <c r="G170" s="548">
        <f t="shared" si="29"/>
        <v>14.27</v>
      </c>
      <c r="H170" s="548">
        <f t="shared" si="30"/>
        <v>2.6527311784815731E-2</v>
      </c>
      <c r="I170" s="618">
        <f t="shared" si="31"/>
        <v>1.9230769230769232E-2</v>
      </c>
      <c r="J170" s="231"/>
      <c r="K170" s="296"/>
      <c r="L170" s="558"/>
      <c r="M170" s="296"/>
      <c r="N170" s="229"/>
      <c r="O170" s="229"/>
      <c r="P170" s="26"/>
      <c r="Q170" s="26"/>
      <c r="R170" s="26"/>
      <c r="S170" s="26"/>
      <c r="T170" s="26"/>
      <c r="U170" s="26"/>
      <c r="V170" s="26"/>
      <c r="W170" s="26"/>
    </row>
    <row r="171" spans="2:40">
      <c r="B171" s="177" t="s">
        <v>1896</v>
      </c>
      <c r="C171" s="550" t="s">
        <v>1895</v>
      </c>
      <c r="D171" s="549">
        <f t="shared" si="26"/>
        <v>458.13033453237409</v>
      </c>
      <c r="E171" s="549">
        <f t="shared" si="27"/>
        <v>4.9337112949640285E-2</v>
      </c>
      <c r="F171" s="617">
        <f t="shared" si="28"/>
        <v>0.23290719942031987</v>
      </c>
      <c r="G171" s="548">
        <f t="shared" si="29"/>
        <v>14.27</v>
      </c>
      <c r="H171" s="548">
        <f t="shared" si="30"/>
        <v>3.1148341256567895E-2</v>
      </c>
      <c r="I171" s="618">
        <f t="shared" si="31"/>
        <v>1.9230769230769232E-2</v>
      </c>
      <c r="J171" s="231"/>
      <c r="K171" s="296"/>
      <c r="L171" s="558"/>
      <c r="M171" s="296"/>
      <c r="N171" s="229"/>
      <c r="O171" s="229"/>
      <c r="P171" s="26"/>
      <c r="Q171" s="26"/>
      <c r="R171" s="26"/>
      <c r="S171" s="26"/>
      <c r="T171" s="26"/>
      <c r="U171" s="26"/>
      <c r="V171" s="26"/>
      <c r="W171" s="26"/>
    </row>
    <row r="172" spans="2:40">
      <c r="B172" s="177" t="s">
        <v>1896</v>
      </c>
      <c r="C172" s="550" t="s">
        <v>1894</v>
      </c>
      <c r="D172" s="549">
        <f t="shared" si="26"/>
        <v>753.97130935251801</v>
      </c>
      <c r="E172" s="549">
        <f t="shared" si="27"/>
        <v>0.10754319451229713</v>
      </c>
      <c r="F172" s="617">
        <f t="shared" si="28"/>
        <v>0.2329071994203199</v>
      </c>
      <c r="G172" s="548">
        <f t="shared" si="29"/>
        <v>14.27</v>
      </c>
      <c r="H172" s="548">
        <f t="shared" si="30"/>
        <v>1.8926449618161909E-2</v>
      </c>
      <c r="I172" s="618">
        <f t="shared" si="31"/>
        <v>1.9230769230769232E-2</v>
      </c>
      <c r="J172" s="231"/>
      <c r="K172" s="296"/>
      <c r="L172" s="558"/>
      <c r="M172" s="296"/>
      <c r="N172" s="229"/>
      <c r="O172" s="229"/>
      <c r="P172" s="26"/>
      <c r="Q172" s="26"/>
      <c r="R172" s="26"/>
      <c r="S172" s="26"/>
      <c r="T172" s="26"/>
      <c r="U172" s="26"/>
      <c r="V172" s="26"/>
      <c r="W172" s="26"/>
    </row>
    <row r="173" spans="2:40">
      <c r="B173" s="177" t="s">
        <v>1896</v>
      </c>
      <c r="C173" s="550" t="s">
        <v>1154</v>
      </c>
      <c r="D173" s="549">
        <f t="shared" si="26"/>
        <v>174.53039568345324</v>
      </c>
      <c r="E173" s="549">
        <f t="shared" si="27"/>
        <v>2.5016023381294963E-2</v>
      </c>
      <c r="F173" s="617">
        <f t="shared" si="28"/>
        <v>0.23290719942031984</v>
      </c>
      <c r="G173" s="548">
        <f t="shared" si="29"/>
        <v>14.27</v>
      </c>
      <c r="H173" s="548">
        <f t="shared" si="30"/>
        <v>8.1762262350459455E-2</v>
      </c>
      <c r="I173" s="618">
        <f t="shared" si="31"/>
        <v>1.9230769230769232E-2</v>
      </c>
      <c r="J173" s="231"/>
      <c r="K173" s="296"/>
      <c r="L173" s="558"/>
      <c r="M173" s="296"/>
      <c r="N173" s="229"/>
      <c r="O173" s="229"/>
      <c r="P173" s="26"/>
      <c r="Q173" s="26"/>
      <c r="R173" s="26"/>
      <c r="S173" s="26"/>
      <c r="T173" s="26"/>
      <c r="U173" s="26"/>
      <c r="V173" s="26"/>
      <c r="W173" s="26"/>
    </row>
    <row r="174" spans="2:40">
      <c r="B174" s="177" t="s">
        <v>1896</v>
      </c>
      <c r="C174" s="550" t="s">
        <v>1893</v>
      </c>
      <c r="D174" s="549">
        <f t="shared" si="26"/>
        <v>174.53039568345324</v>
      </c>
      <c r="E174" s="549">
        <f t="shared" si="27"/>
        <v>2.5016023381294963E-2</v>
      </c>
      <c r="F174" s="617">
        <f t="shared" si="28"/>
        <v>0.23290719942031984</v>
      </c>
      <c r="G174" s="548">
        <f t="shared" si="29"/>
        <v>14.27</v>
      </c>
      <c r="H174" s="548">
        <f t="shared" si="30"/>
        <v>8.1762262350459455E-2</v>
      </c>
      <c r="I174" s="618">
        <f t="shared" si="31"/>
        <v>1.9230769230769232E-2</v>
      </c>
      <c r="J174" s="231"/>
      <c r="K174" s="296"/>
      <c r="L174" s="558"/>
      <c r="M174" s="296"/>
      <c r="N174" s="229"/>
      <c r="O174" s="229"/>
      <c r="P174" s="26"/>
      <c r="Q174" s="26"/>
      <c r="R174" s="26"/>
      <c r="S174" s="26"/>
      <c r="T174" s="26"/>
      <c r="U174" s="26"/>
      <c r="V174" s="26"/>
      <c r="W174" s="26"/>
    </row>
    <row r="175" spans="2:40">
      <c r="B175" s="177" t="s">
        <v>1896</v>
      </c>
      <c r="C175" s="550" t="s">
        <v>1152</v>
      </c>
      <c r="D175" s="549">
        <f t="shared" ref="D175:D194" si="32">(($C$111-$C$112)/$C$111)*VLOOKUP(C175,$B$126:$E$139,2,FALSE)*VLOOKUP(B175,$B$119:$E$123,2,FALSE)*$C$115</f>
        <v>119.54136690647482</v>
      </c>
      <c r="E175" s="549">
        <f t="shared" ref="E175:E194" si="33">D175*VLOOKUP(C175,$B$126:$E$139,4,FALSE)/VLOOKUP(C175,$B$126:$E$139,3,FALSE)</f>
        <v>3.8253237410071944E-2</v>
      </c>
      <c r="F175" s="617">
        <f t="shared" ref="F175:F194" si="34">D175/(($C$111)*VLOOKUP(C175,$B$126:$E$139,2,FALSE)*VLOOKUP(B175,$B$119:$E$123,2,FALSE)*$C$115)</f>
        <v>0.2329071994203199</v>
      </c>
      <c r="G175" s="548">
        <f t="shared" si="29"/>
        <v>14.27</v>
      </c>
      <c r="H175" s="548">
        <f t="shared" si="30"/>
        <v>0.11937290303167079</v>
      </c>
      <c r="I175" s="618">
        <f t="shared" si="31"/>
        <v>1.9230769230769232E-2</v>
      </c>
      <c r="J175" s="291"/>
      <c r="K175" s="291"/>
      <c r="L175" s="290"/>
      <c r="M175" s="291"/>
      <c r="N175" s="291"/>
      <c r="O175" s="503"/>
      <c r="P175" s="26"/>
      <c r="Q175" s="26"/>
      <c r="R175" s="26"/>
      <c r="S175" s="26"/>
      <c r="T175" s="26"/>
      <c r="U175" s="26"/>
      <c r="V175" s="26"/>
      <c r="W175" s="26"/>
    </row>
    <row r="176" spans="2:40">
      <c r="B176" s="177" t="s">
        <v>1896</v>
      </c>
      <c r="C176" s="550" t="s">
        <v>1892</v>
      </c>
      <c r="D176" s="549">
        <f t="shared" si="32"/>
        <v>143.44964028776977</v>
      </c>
      <c r="E176" s="549">
        <f t="shared" si="33"/>
        <v>5.7379856115107909E-3</v>
      </c>
      <c r="F176" s="617">
        <f t="shared" si="34"/>
        <v>0.23290719942031984</v>
      </c>
      <c r="G176" s="548">
        <f t="shared" si="29"/>
        <v>14.27</v>
      </c>
      <c r="H176" s="548">
        <f t="shared" si="30"/>
        <v>9.9477419193059011E-2</v>
      </c>
      <c r="I176" s="618">
        <f t="shared" si="31"/>
        <v>1.9230769230769232E-2</v>
      </c>
      <c r="J176" s="26"/>
      <c r="K176" s="26"/>
      <c r="L176" s="26"/>
      <c r="M176" s="26"/>
      <c r="N176" s="26"/>
      <c r="O176" s="26"/>
      <c r="P176" s="26"/>
      <c r="Q176" s="26"/>
      <c r="R176" s="26"/>
      <c r="S176" s="26"/>
      <c r="T176" s="26"/>
      <c r="U176" s="26"/>
      <c r="V176" s="26"/>
      <c r="W176" s="26"/>
    </row>
    <row r="177" spans="2:23">
      <c r="B177" s="177" t="s">
        <v>1896</v>
      </c>
      <c r="C177" s="552" t="s">
        <v>1891</v>
      </c>
      <c r="D177" s="549">
        <f t="shared" si="32"/>
        <v>430.34892086330933</v>
      </c>
      <c r="E177" s="549">
        <f t="shared" si="33"/>
        <v>0.16978149206662066</v>
      </c>
      <c r="F177" s="617">
        <f t="shared" si="34"/>
        <v>0.23290719942031987</v>
      </c>
      <c r="G177" s="548">
        <f t="shared" si="29"/>
        <v>14.27</v>
      </c>
      <c r="H177" s="548">
        <f t="shared" si="30"/>
        <v>3.3159139731019666E-2</v>
      </c>
      <c r="I177" s="618">
        <f t="shared" si="31"/>
        <v>1.9230769230769232E-2</v>
      </c>
      <c r="J177" s="26"/>
      <c r="K177" s="26"/>
      <c r="L177" s="26"/>
      <c r="M177" s="26"/>
      <c r="N177" s="26"/>
      <c r="O177" s="27"/>
      <c r="P177" s="27"/>
      <c r="Q177" s="27"/>
      <c r="R177" s="27"/>
      <c r="S177" s="27"/>
      <c r="T177" s="27"/>
      <c r="U177" s="26"/>
      <c r="V177" s="26"/>
      <c r="W177" s="26"/>
    </row>
    <row r="178" spans="2:23">
      <c r="B178" s="177" t="s">
        <v>1896</v>
      </c>
      <c r="C178" s="552" t="s">
        <v>1890</v>
      </c>
      <c r="D178" s="549">
        <f t="shared" si="32"/>
        <v>785.38678057553943</v>
      </c>
      <c r="E178" s="549">
        <f t="shared" si="33"/>
        <v>8.4399773434983338E-2</v>
      </c>
      <c r="F178" s="617">
        <f t="shared" si="34"/>
        <v>0.23290719942031982</v>
      </c>
      <c r="G178" s="548">
        <f t="shared" si="29"/>
        <v>14.27</v>
      </c>
      <c r="H178" s="548">
        <f t="shared" si="30"/>
        <v>1.8169391633435436E-2</v>
      </c>
      <c r="I178" s="618">
        <f t="shared" si="31"/>
        <v>1.9230769230769232E-2</v>
      </c>
      <c r="J178" s="26"/>
      <c r="K178" s="26"/>
      <c r="L178" s="221"/>
      <c r="M178" s="26"/>
      <c r="N178" s="26"/>
      <c r="O178" s="27"/>
      <c r="P178" s="27"/>
      <c r="Q178" s="27"/>
      <c r="R178" s="27"/>
      <c r="S178" s="27"/>
      <c r="T178" s="27"/>
      <c r="U178" s="26"/>
      <c r="V178" s="26"/>
      <c r="W178" s="26"/>
    </row>
    <row r="179" spans="2:23">
      <c r="B179" s="177" t="s">
        <v>1896</v>
      </c>
      <c r="C179" s="552" t="s">
        <v>1889</v>
      </c>
      <c r="D179" s="549">
        <f t="shared" si="32"/>
        <v>87.265197841726618</v>
      </c>
      <c r="E179" s="549">
        <f t="shared" si="33"/>
        <v>3.4906079136690642E-3</v>
      </c>
      <c r="F179" s="617">
        <f t="shared" si="34"/>
        <v>0.23290719942031984</v>
      </c>
      <c r="G179" s="548">
        <f t="shared" si="29"/>
        <v>14.27</v>
      </c>
      <c r="H179" s="548">
        <f t="shared" si="30"/>
        <v>0.16352452470091891</v>
      </c>
      <c r="I179" s="618">
        <f t="shared" si="31"/>
        <v>1.9230769230769232E-2</v>
      </c>
      <c r="J179" s="26"/>
      <c r="K179" s="26"/>
      <c r="L179" s="221"/>
      <c r="M179" s="26"/>
      <c r="N179" s="26"/>
      <c r="O179" s="27"/>
      <c r="P179" s="27"/>
      <c r="Q179" s="27"/>
      <c r="R179" s="27"/>
      <c r="S179" s="27"/>
      <c r="T179" s="27"/>
      <c r="U179" s="26"/>
      <c r="V179" s="26"/>
      <c r="W179" s="26"/>
    </row>
    <row r="180" spans="2:23">
      <c r="B180" s="177" t="s">
        <v>1896</v>
      </c>
      <c r="C180" s="551" t="s">
        <v>1888</v>
      </c>
      <c r="D180" s="549">
        <f t="shared" si="32"/>
        <v>61.109546762589922</v>
      </c>
      <c r="E180" s="549">
        <f t="shared" si="33"/>
        <v>2.444381870503597E-3</v>
      </c>
      <c r="F180" s="617">
        <f t="shared" si="34"/>
        <v>0.23290719942031984</v>
      </c>
      <c r="G180" s="548">
        <f t="shared" si="29"/>
        <v>14.27</v>
      </c>
      <c r="H180" s="548">
        <f t="shared" si="30"/>
        <v>0.23351506852830753</v>
      </c>
      <c r="I180" s="618">
        <f t="shared" si="31"/>
        <v>1.9230769230769232E-2</v>
      </c>
      <c r="J180" s="26"/>
      <c r="K180" s="26"/>
      <c r="L180" s="26"/>
      <c r="M180" s="26"/>
      <c r="N180" s="26"/>
      <c r="O180" s="27"/>
      <c r="P180" s="27"/>
      <c r="Q180" s="27"/>
      <c r="R180" s="27"/>
      <c r="S180" s="27"/>
      <c r="T180" s="27"/>
      <c r="U180" s="26"/>
      <c r="V180" s="26"/>
      <c r="W180" s="26"/>
    </row>
    <row r="181" spans="2:23">
      <c r="B181" s="177" t="s">
        <v>1896</v>
      </c>
      <c r="C181" s="550" t="s">
        <v>1887</v>
      </c>
      <c r="D181" s="549">
        <f t="shared" si="32"/>
        <v>239.08273381294964</v>
      </c>
      <c r="E181" s="549">
        <f t="shared" si="33"/>
        <v>7.4640463239164775E-2</v>
      </c>
      <c r="F181" s="617">
        <f t="shared" si="34"/>
        <v>0.2329071994203199</v>
      </c>
      <c r="G181" s="548">
        <f t="shared" si="29"/>
        <v>14.27</v>
      </c>
      <c r="H181" s="548">
        <f t="shared" si="30"/>
        <v>5.9686451515835397E-2</v>
      </c>
      <c r="I181" s="618">
        <f t="shared" si="31"/>
        <v>1.9230769230769232E-2</v>
      </c>
      <c r="J181" s="26"/>
      <c r="K181" s="26"/>
      <c r="L181" s="26"/>
      <c r="M181" s="26"/>
      <c r="N181" s="26"/>
      <c r="O181" s="27"/>
      <c r="P181" s="27"/>
      <c r="Q181" s="27"/>
      <c r="R181" s="27"/>
      <c r="S181" s="27"/>
      <c r="T181" s="27"/>
      <c r="U181" s="26"/>
      <c r="V181" s="26"/>
      <c r="W181" s="26"/>
    </row>
    <row r="182" spans="2:23">
      <c r="B182" s="177" t="s">
        <v>841</v>
      </c>
      <c r="C182" s="550" t="s">
        <v>188</v>
      </c>
      <c r="D182" s="549">
        <f t="shared" si="32"/>
        <v>81.258992805755398</v>
      </c>
      <c r="E182" s="549">
        <f t="shared" si="33"/>
        <v>2.6002877697841729E-2</v>
      </c>
      <c r="F182" s="617">
        <f t="shared" si="34"/>
        <v>0.23290719942031987</v>
      </c>
      <c r="G182" s="548">
        <f t="shared" si="29"/>
        <v>8</v>
      </c>
      <c r="H182" s="548">
        <f t="shared" si="30"/>
        <v>9.8450641876936695E-2</v>
      </c>
      <c r="I182" s="618">
        <f t="shared" si="31"/>
        <v>1.9230769230769232E-2</v>
      </c>
      <c r="J182" s="26"/>
      <c r="K182" s="26"/>
      <c r="L182" s="26"/>
      <c r="M182" s="26"/>
      <c r="N182" s="26"/>
      <c r="O182" s="27"/>
      <c r="P182" s="27"/>
      <c r="Q182" s="27"/>
      <c r="R182" s="27"/>
      <c r="S182" s="27"/>
      <c r="T182" s="27"/>
      <c r="U182" s="26"/>
      <c r="V182" s="26"/>
      <c r="W182" s="26"/>
    </row>
    <row r="183" spans="2:23" ht="15.75">
      <c r="B183" s="177" t="s">
        <v>841</v>
      </c>
      <c r="C183" s="550" t="s">
        <v>175</v>
      </c>
      <c r="D183" s="549">
        <f t="shared" si="32"/>
        <v>365.66546762589928</v>
      </c>
      <c r="E183" s="549">
        <f t="shared" si="33"/>
        <v>0.11446918986549889</v>
      </c>
      <c r="F183" s="617">
        <f t="shared" si="34"/>
        <v>0.23290719942031987</v>
      </c>
      <c r="G183" s="548">
        <f t="shared" si="29"/>
        <v>8</v>
      </c>
      <c r="H183" s="548">
        <f t="shared" si="30"/>
        <v>2.1877920417097043E-2</v>
      </c>
      <c r="I183" s="618">
        <f t="shared" si="31"/>
        <v>1.9230769230769232E-2</v>
      </c>
      <c r="J183" s="557"/>
      <c r="K183" s="557"/>
      <c r="L183" s="557"/>
      <c r="M183" s="557"/>
      <c r="N183" s="557"/>
      <c r="O183" s="557"/>
      <c r="P183" s="557"/>
      <c r="Q183" s="557"/>
      <c r="R183" s="557"/>
      <c r="S183" s="557"/>
      <c r="T183" s="557"/>
      <c r="U183" s="556"/>
      <c r="V183" s="556"/>
      <c r="W183" s="556"/>
    </row>
    <row r="184" spans="2:23" ht="15.75">
      <c r="B184" s="177" t="s">
        <v>841</v>
      </c>
      <c r="C184" s="550" t="s">
        <v>1895</v>
      </c>
      <c r="D184" s="549">
        <f t="shared" si="32"/>
        <v>311.41696402877699</v>
      </c>
      <c r="E184" s="549">
        <f t="shared" si="33"/>
        <v>3.3537211510791365E-2</v>
      </c>
      <c r="F184" s="617">
        <f t="shared" si="34"/>
        <v>0.23290719942031987</v>
      </c>
      <c r="G184" s="548">
        <f t="shared" si="29"/>
        <v>8</v>
      </c>
      <c r="H184" s="548">
        <f t="shared" si="30"/>
        <v>2.5689030862367367E-2</v>
      </c>
      <c r="I184" s="618">
        <f t="shared" si="31"/>
        <v>1.9230769230769232E-2</v>
      </c>
      <c r="J184" s="553"/>
      <c r="K184" s="553"/>
      <c r="L184" s="554"/>
      <c r="M184" s="554"/>
      <c r="N184" s="555"/>
      <c r="O184" s="553"/>
      <c r="P184" s="553"/>
      <c r="Q184" s="553"/>
      <c r="R184" s="554"/>
      <c r="S184" s="554"/>
      <c r="T184" s="553"/>
      <c r="U184" s="553"/>
      <c r="V184" s="553"/>
      <c r="W184" s="553"/>
    </row>
    <row r="185" spans="2:23" ht="15.75">
      <c r="B185" s="177" t="s">
        <v>841</v>
      </c>
      <c r="C185" s="550" t="s">
        <v>1894</v>
      </c>
      <c r="D185" s="549">
        <f t="shared" si="32"/>
        <v>512.51671942446046</v>
      </c>
      <c r="E185" s="549">
        <f t="shared" si="33"/>
        <v>7.3103159979923046E-2</v>
      </c>
      <c r="F185" s="617">
        <f t="shared" si="34"/>
        <v>0.2329071994203199</v>
      </c>
      <c r="G185" s="548">
        <f t="shared" si="29"/>
        <v>8</v>
      </c>
      <c r="H185" s="548">
        <f t="shared" si="30"/>
        <v>1.5609246872928827E-2</v>
      </c>
      <c r="I185" s="618">
        <f t="shared" si="31"/>
        <v>1.9230769230769232E-2</v>
      </c>
      <c r="J185" s="553"/>
      <c r="K185" s="553"/>
      <c r="L185" s="554"/>
      <c r="M185" s="554"/>
      <c r="N185" s="555"/>
      <c r="O185" s="553"/>
      <c r="P185" s="553"/>
      <c r="Q185" s="553"/>
      <c r="R185" s="554"/>
      <c r="S185" s="554"/>
      <c r="T185" s="553"/>
      <c r="U185" s="553"/>
      <c r="V185" s="553"/>
      <c r="W185" s="553"/>
    </row>
    <row r="186" spans="2:23" ht="15.75">
      <c r="B186" s="177" t="s">
        <v>841</v>
      </c>
      <c r="C186" s="550" t="s">
        <v>1154</v>
      </c>
      <c r="D186" s="549">
        <f t="shared" si="32"/>
        <v>118.63812949640288</v>
      </c>
      <c r="E186" s="549">
        <f t="shared" si="33"/>
        <v>1.7004798561151079E-2</v>
      </c>
      <c r="F186" s="617">
        <f t="shared" si="34"/>
        <v>0.23290719942031984</v>
      </c>
      <c r="G186" s="548">
        <f t="shared" si="29"/>
        <v>8</v>
      </c>
      <c r="H186" s="548">
        <f t="shared" si="30"/>
        <v>6.7431946491052525E-2</v>
      </c>
      <c r="I186" s="618">
        <f t="shared" si="31"/>
        <v>1.9230769230769232E-2</v>
      </c>
      <c r="J186" s="553"/>
      <c r="K186" s="553"/>
      <c r="L186" s="554"/>
      <c r="M186" s="554"/>
      <c r="N186" s="555"/>
      <c r="O186" s="553"/>
      <c r="P186" s="553"/>
      <c r="Q186" s="553"/>
      <c r="R186" s="554"/>
      <c r="S186" s="554"/>
      <c r="T186" s="553"/>
      <c r="U186" s="553"/>
      <c r="V186" s="553"/>
      <c r="W186" s="553"/>
    </row>
    <row r="187" spans="2:23" ht="15.75">
      <c r="B187" s="177" t="s">
        <v>841</v>
      </c>
      <c r="C187" s="550" t="s">
        <v>1893</v>
      </c>
      <c r="D187" s="549">
        <f t="shared" si="32"/>
        <v>118.63812949640288</v>
      </c>
      <c r="E187" s="549">
        <f t="shared" si="33"/>
        <v>1.7004798561151079E-2</v>
      </c>
      <c r="F187" s="617">
        <f t="shared" si="34"/>
        <v>0.23290719942031984</v>
      </c>
      <c r="G187" s="548">
        <f t="shared" si="29"/>
        <v>8</v>
      </c>
      <c r="H187" s="548">
        <f t="shared" si="30"/>
        <v>6.7431946491052525E-2</v>
      </c>
      <c r="I187" s="618">
        <f t="shared" si="31"/>
        <v>1.9230769230769232E-2</v>
      </c>
      <c r="J187" s="553"/>
      <c r="K187" s="553"/>
      <c r="L187" s="554"/>
      <c r="M187" s="554"/>
      <c r="N187" s="555"/>
      <c r="O187" s="553"/>
      <c r="P187" s="553"/>
      <c r="Q187" s="553"/>
      <c r="R187" s="554"/>
      <c r="S187" s="554"/>
      <c r="T187" s="553"/>
      <c r="U187" s="553"/>
      <c r="V187" s="553"/>
      <c r="W187" s="553"/>
    </row>
    <row r="188" spans="2:23" ht="15.75">
      <c r="B188" s="177" t="s">
        <v>841</v>
      </c>
      <c r="C188" s="550" t="s">
        <v>1152</v>
      </c>
      <c r="D188" s="549">
        <f t="shared" si="32"/>
        <v>81.258992805755398</v>
      </c>
      <c r="E188" s="549">
        <f t="shared" si="33"/>
        <v>2.6002877697841729E-2</v>
      </c>
      <c r="F188" s="617">
        <f t="shared" si="34"/>
        <v>0.23290719942031987</v>
      </c>
      <c r="G188" s="548">
        <f t="shared" si="29"/>
        <v>8</v>
      </c>
      <c r="H188" s="548">
        <f t="shared" si="30"/>
        <v>9.8450641876936695E-2</v>
      </c>
      <c r="I188" s="618">
        <f t="shared" si="31"/>
        <v>1.9230769230769232E-2</v>
      </c>
      <c r="J188" s="553"/>
      <c r="K188" s="553"/>
      <c r="L188" s="554"/>
      <c r="M188" s="554"/>
      <c r="N188" s="555"/>
      <c r="O188" s="553"/>
      <c r="P188" s="553"/>
      <c r="Q188" s="553"/>
      <c r="R188" s="554"/>
      <c r="S188" s="554"/>
      <c r="T188" s="553"/>
      <c r="U188" s="553"/>
      <c r="V188" s="553"/>
      <c r="W188" s="553"/>
    </row>
    <row r="189" spans="2:23" ht="15.75">
      <c r="B189" s="177" t="s">
        <v>841</v>
      </c>
      <c r="C189" s="550" t="s">
        <v>1892</v>
      </c>
      <c r="D189" s="549">
        <f t="shared" si="32"/>
        <v>97.510791366906474</v>
      </c>
      <c r="E189" s="549">
        <f t="shared" si="33"/>
        <v>3.9004316546762592E-3</v>
      </c>
      <c r="F189" s="617">
        <f t="shared" si="34"/>
        <v>0.23290719942031984</v>
      </c>
      <c r="G189" s="548">
        <f t="shared" si="29"/>
        <v>8</v>
      </c>
      <c r="H189" s="548">
        <f t="shared" si="30"/>
        <v>8.2042201564113917E-2</v>
      </c>
      <c r="I189" s="618">
        <f t="shared" si="31"/>
        <v>1.9230769230769232E-2</v>
      </c>
      <c r="J189" s="553"/>
      <c r="K189" s="553"/>
      <c r="L189" s="554"/>
      <c r="M189" s="554"/>
      <c r="N189" s="555"/>
      <c r="O189" s="553"/>
      <c r="P189" s="553"/>
      <c r="Q189" s="553"/>
      <c r="R189" s="554"/>
      <c r="S189" s="554"/>
      <c r="T189" s="553"/>
      <c r="U189" s="553"/>
      <c r="V189" s="553"/>
      <c r="W189" s="553"/>
    </row>
    <row r="190" spans="2:23" ht="15.75">
      <c r="B190" s="177" t="s">
        <v>841</v>
      </c>
      <c r="C190" s="552" t="s">
        <v>1891</v>
      </c>
      <c r="D190" s="549">
        <f t="shared" si="32"/>
        <v>292.53237410071944</v>
      </c>
      <c r="E190" s="549">
        <f t="shared" si="33"/>
        <v>0.11541003252192768</v>
      </c>
      <c r="F190" s="617">
        <f t="shared" si="34"/>
        <v>0.23290719942031984</v>
      </c>
      <c r="G190" s="548">
        <f t="shared" si="29"/>
        <v>8</v>
      </c>
      <c r="H190" s="548">
        <f t="shared" si="30"/>
        <v>2.7347400521371305E-2</v>
      </c>
      <c r="I190" s="618">
        <f t="shared" si="31"/>
        <v>1.9230769230769232E-2</v>
      </c>
      <c r="J190" s="553"/>
      <c r="K190" s="553"/>
      <c r="L190" s="554"/>
      <c r="M190" s="554"/>
      <c r="N190" s="555"/>
      <c r="O190" s="553"/>
      <c r="P190" s="553"/>
      <c r="Q190" s="553"/>
      <c r="R190" s="554"/>
      <c r="S190" s="554"/>
      <c r="T190" s="553"/>
      <c r="U190" s="553"/>
      <c r="V190" s="553"/>
      <c r="W190" s="553"/>
    </row>
    <row r="191" spans="2:23" ht="15.75">
      <c r="B191" s="177" t="s">
        <v>841</v>
      </c>
      <c r="C191" s="552" t="s">
        <v>1890</v>
      </c>
      <c r="D191" s="549">
        <f t="shared" si="32"/>
        <v>533.87158273381294</v>
      </c>
      <c r="E191" s="549">
        <f t="shared" si="33"/>
        <v>5.7371274562439602E-2</v>
      </c>
      <c r="F191" s="617">
        <f t="shared" si="34"/>
        <v>0.23290719942031984</v>
      </c>
      <c r="G191" s="548">
        <f t="shared" si="29"/>
        <v>8</v>
      </c>
      <c r="H191" s="548">
        <f t="shared" si="30"/>
        <v>1.4984876998011674E-2</v>
      </c>
      <c r="I191" s="618">
        <f t="shared" si="31"/>
        <v>1.9230769230769232E-2</v>
      </c>
      <c r="J191" s="553"/>
      <c r="K191" s="553"/>
      <c r="L191" s="554"/>
      <c r="M191" s="554"/>
      <c r="N191" s="555"/>
      <c r="O191" s="553"/>
      <c r="P191" s="553"/>
      <c r="Q191" s="553"/>
      <c r="R191" s="554"/>
      <c r="S191" s="554"/>
      <c r="T191" s="553"/>
      <c r="U191" s="553"/>
      <c r="V191" s="553"/>
      <c r="W191" s="553"/>
    </row>
    <row r="192" spans="2:23">
      <c r="B192" s="177" t="s">
        <v>841</v>
      </c>
      <c r="C192" s="552" t="s">
        <v>1889</v>
      </c>
      <c r="D192" s="549">
        <f t="shared" si="32"/>
        <v>59.319064748201441</v>
      </c>
      <c r="E192" s="549">
        <f t="shared" si="33"/>
        <v>2.3727625899280574E-3</v>
      </c>
      <c r="F192" s="617">
        <f t="shared" si="34"/>
        <v>0.23290719942031984</v>
      </c>
      <c r="G192" s="548">
        <f t="shared" si="29"/>
        <v>8</v>
      </c>
      <c r="H192" s="548">
        <f t="shared" si="30"/>
        <v>0.13486389298210505</v>
      </c>
      <c r="I192" s="618">
        <f t="shared" si="31"/>
        <v>1.9230769230769232E-2</v>
      </c>
      <c r="J192" s="26"/>
      <c r="K192" s="26"/>
      <c r="L192" s="26"/>
      <c r="M192" s="26"/>
      <c r="N192" s="26"/>
      <c r="O192" s="27"/>
      <c r="P192" s="27"/>
      <c r="Q192" s="27"/>
      <c r="R192" s="27"/>
      <c r="S192" s="27"/>
      <c r="T192" s="27"/>
      <c r="U192" s="26"/>
      <c r="V192" s="26"/>
      <c r="W192" s="26"/>
    </row>
    <row r="193" spans="2:23">
      <c r="B193" s="177" t="s">
        <v>841</v>
      </c>
      <c r="C193" s="551" t="s">
        <v>1888</v>
      </c>
      <c r="D193" s="549">
        <f t="shared" si="32"/>
        <v>41.539597122302155</v>
      </c>
      <c r="E193" s="549">
        <f t="shared" si="33"/>
        <v>1.6615838848920862E-3</v>
      </c>
      <c r="F193" s="617">
        <f t="shared" si="34"/>
        <v>0.23290719942031984</v>
      </c>
      <c r="G193" s="548">
        <f t="shared" si="29"/>
        <v>8</v>
      </c>
      <c r="H193" s="548">
        <f t="shared" si="30"/>
        <v>0.1925873276152909</v>
      </c>
      <c r="I193" s="618">
        <f t="shared" si="31"/>
        <v>1.9230769230769232E-2</v>
      </c>
      <c r="J193" s="26"/>
      <c r="K193" s="26"/>
      <c r="L193" s="26"/>
      <c r="M193" s="26"/>
      <c r="N193" s="26"/>
      <c r="O193" s="27"/>
      <c r="P193" s="27"/>
      <c r="Q193" s="27"/>
      <c r="R193" s="27"/>
      <c r="S193" s="27"/>
      <c r="T193" s="27"/>
      <c r="U193" s="26"/>
      <c r="V193" s="26"/>
      <c r="W193" s="26"/>
    </row>
    <row r="194" spans="2:23">
      <c r="B194" s="177" t="s">
        <v>841</v>
      </c>
      <c r="C194" s="550" t="s">
        <v>1887</v>
      </c>
      <c r="D194" s="549">
        <f t="shared" si="32"/>
        <v>162.5179856115108</v>
      </c>
      <c r="E194" s="549">
        <f t="shared" si="33"/>
        <v>5.0737322337252158E-2</v>
      </c>
      <c r="F194" s="617">
        <f t="shared" si="34"/>
        <v>0.23290719942031987</v>
      </c>
      <c r="G194" s="548">
        <f t="shared" si="29"/>
        <v>8</v>
      </c>
      <c r="H194" s="548">
        <f t="shared" si="30"/>
        <v>4.9225320938468348E-2</v>
      </c>
      <c r="I194" s="618">
        <f t="shared" si="31"/>
        <v>1.9230769230769232E-2</v>
      </c>
      <c r="J194" s="26"/>
      <c r="K194" s="26"/>
      <c r="L194" s="26"/>
      <c r="M194" s="26"/>
      <c r="N194" s="26"/>
      <c r="O194" s="27"/>
      <c r="P194" s="27"/>
      <c r="Q194" s="27"/>
      <c r="R194" s="27"/>
      <c r="S194" s="27"/>
      <c r="T194" s="27"/>
      <c r="U194" s="26"/>
      <c r="V194" s="26"/>
      <c r="W194" s="26"/>
    </row>
    <row r="195" spans="2:23">
      <c r="B195" s="7" t="s">
        <v>0</v>
      </c>
      <c r="C195" s="7"/>
      <c r="D195" s="7">
        <f>SUMPRODUCT(D143:D194,$I$143:$I$194)</f>
        <v>234.75878541781958</v>
      </c>
      <c r="E195" s="7">
        <f>SUMPRODUCT(E143:E194,$I$143:$I$194)</f>
        <v>4.5534874171991632E-2</v>
      </c>
      <c r="F195" s="7">
        <f>SUMPRODUCT(F143:F194,$I$143:$I$194)</f>
        <v>0.23290719942032004</v>
      </c>
      <c r="G195" s="7">
        <f>SUMPRODUCT(G143:G194,$I$143:$I$194)</f>
        <v>9.567499999999999</v>
      </c>
      <c r="H195" s="7">
        <f>SUMPRODUCT(H143:H194,$I$143:$I$194)</f>
        <v>7.4217185974183239E-2</v>
      </c>
      <c r="I195" s="7"/>
      <c r="J195" s="26"/>
      <c r="K195" s="26"/>
      <c r="L195" s="26"/>
      <c r="M195" s="26"/>
      <c r="N195" s="26"/>
      <c r="O195" s="27"/>
      <c r="P195" s="27"/>
      <c r="Q195" s="27"/>
      <c r="R195" s="27"/>
      <c r="S195" s="27"/>
      <c r="T195" s="27"/>
      <c r="U195" s="26"/>
      <c r="V195" s="26"/>
      <c r="W195" s="26"/>
    </row>
    <row r="197" spans="2:23">
      <c r="B197" s="574" t="s">
        <v>2123</v>
      </c>
      <c r="C197" s="573"/>
      <c r="D197" s="573"/>
      <c r="E197" s="575"/>
      <c r="F197" s="577"/>
      <c r="G197" s="576"/>
      <c r="H197" s="576"/>
      <c r="I197" s="575"/>
    </row>
    <row r="198" spans="2:23">
      <c r="B198" s="94" t="s">
        <v>1898</v>
      </c>
      <c r="C198" s="574" t="s">
        <v>810</v>
      </c>
      <c r="D198" s="573" t="s">
        <v>2017</v>
      </c>
      <c r="E198" s="573"/>
      <c r="F198" s="497" t="s">
        <v>244</v>
      </c>
      <c r="G198" s="497" t="s">
        <v>9</v>
      </c>
      <c r="H198" s="497" t="s">
        <v>2047</v>
      </c>
      <c r="I198" s="497" t="s">
        <v>7</v>
      </c>
    </row>
    <row r="199" spans="2:23">
      <c r="B199" s="93" t="s">
        <v>1897</v>
      </c>
      <c r="C199" s="550" t="s">
        <v>188</v>
      </c>
      <c r="D199" s="637">
        <f>(($C$111-$C$112)/$C$111)*VLOOKUP(C199,$B$126:$E$139,2,FALSE)*VLOOKUP(B199,$B$119:$E$123,3,FALSE)*$C$115</f>
        <v>3.5611510791366907</v>
      </c>
      <c r="E199" s="549"/>
      <c r="F199" s="617">
        <f>D199/(($C$111)*VLOOKUP(C199,$B$126:$E$139,2,FALSE)*VLOOKUP(B199,$B$119:$E$123,3,FALSE)*$C$115)</f>
        <v>0.23290719942031987</v>
      </c>
      <c r="G199" s="548">
        <f>VLOOKUP(B199,$B$119:$E$123,4,FALSE)</f>
        <v>8</v>
      </c>
      <c r="H199" s="548">
        <f>G199/D199</f>
        <v>2.2464646464646463</v>
      </c>
      <c r="I199" s="618">
        <f>1/COUNT($H$143:$H$194)</f>
        <v>1.9230769230769232E-2</v>
      </c>
    </row>
    <row r="200" spans="2:23">
      <c r="B200" s="93" t="s">
        <v>1897</v>
      </c>
      <c r="C200" s="550" t="s">
        <v>175</v>
      </c>
      <c r="D200" s="637">
        <f t="shared" ref="D200:D250" si="35">(($C$111-$C$112)/$C$111)*VLOOKUP(C200,$B$126:$E$139,2,FALSE)*VLOOKUP(B200,$B$119:$E$123,3,FALSE)*$C$115</f>
        <v>16.025179856115109</v>
      </c>
      <c r="E200" s="549"/>
      <c r="F200" s="617">
        <f t="shared" ref="F200:F250" si="36">D200/(($C$111)*VLOOKUP(C200,$B$126:$E$139,2,FALSE)*VLOOKUP(B200,$B$119:$E$123,3,FALSE)*$C$115)</f>
        <v>0.2329071994203199</v>
      </c>
      <c r="G200" s="548">
        <f t="shared" ref="G200:G250" si="37">VLOOKUP(B200,$B$119:$E$123,4,FALSE)</f>
        <v>8</v>
      </c>
      <c r="H200" s="548">
        <f t="shared" ref="H200:H250" si="38">G200/D200</f>
        <v>0.49921436588103252</v>
      </c>
      <c r="I200" s="618">
        <f t="shared" ref="I200:I250" si="39">1/COUNT($H$143:$H$194)</f>
        <v>1.9230769230769232E-2</v>
      </c>
    </row>
    <row r="201" spans="2:23">
      <c r="B201" s="93" t="s">
        <v>1897</v>
      </c>
      <c r="C201" s="550" t="s">
        <v>1895</v>
      </c>
      <c r="D201" s="637">
        <f t="shared" si="35"/>
        <v>13.647755395683454</v>
      </c>
      <c r="E201" s="549"/>
      <c r="F201" s="617">
        <f t="shared" si="36"/>
        <v>0.2329071994203199</v>
      </c>
      <c r="G201" s="548">
        <f t="shared" si="37"/>
        <v>8</v>
      </c>
      <c r="H201" s="548">
        <f t="shared" si="38"/>
        <v>0.58617697695038262</v>
      </c>
      <c r="I201" s="618">
        <f t="shared" si="39"/>
        <v>1.9230769230769232E-2</v>
      </c>
    </row>
    <row r="202" spans="2:23">
      <c r="B202" s="93" t="s">
        <v>1897</v>
      </c>
      <c r="C202" s="550" t="s">
        <v>1894</v>
      </c>
      <c r="D202" s="637">
        <f t="shared" si="35"/>
        <v>22.460892086330936</v>
      </c>
      <c r="E202" s="549"/>
      <c r="F202" s="617">
        <f t="shared" si="36"/>
        <v>0.2329071994203199</v>
      </c>
      <c r="G202" s="548">
        <f t="shared" si="37"/>
        <v>8</v>
      </c>
      <c r="H202" s="548">
        <f t="shared" si="38"/>
        <v>0.35617463319137593</v>
      </c>
      <c r="I202" s="618">
        <f t="shared" si="39"/>
        <v>1.9230769230769232E-2</v>
      </c>
    </row>
    <row r="203" spans="2:23">
      <c r="B203" s="93" t="s">
        <v>1897</v>
      </c>
      <c r="C203" s="550" t="s">
        <v>1154</v>
      </c>
      <c r="D203" s="637">
        <f t="shared" si="35"/>
        <v>5.1992805755395688</v>
      </c>
      <c r="E203" s="549"/>
      <c r="F203" s="617">
        <f t="shared" si="36"/>
        <v>0.23290719942031984</v>
      </c>
      <c r="G203" s="548">
        <f t="shared" si="37"/>
        <v>8</v>
      </c>
      <c r="H203" s="548">
        <f t="shared" si="38"/>
        <v>1.538674415386744</v>
      </c>
      <c r="I203" s="618">
        <f t="shared" si="39"/>
        <v>1.9230769230769232E-2</v>
      </c>
    </row>
    <row r="204" spans="2:23">
      <c r="B204" s="93" t="s">
        <v>1897</v>
      </c>
      <c r="C204" s="550" t="s">
        <v>1893</v>
      </c>
      <c r="D204" s="637">
        <f t="shared" si="35"/>
        <v>5.1992805755395688</v>
      </c>
      <c r="E204" s="549"/>
      <c r="F204" s="617">
        <f t="shared" si="36"/>
        <v>0.23290719942031984</v>
      </c>
      <c r="G204" s="548">
        <f t="shared" si="37"/>
        <v>8</v>
      </c>
      <c r="H204" s="548">
        <f t="shared" si="38"/>
        <v>1.538674415386744</v>
      </c>
      <c r="I204" s="618">
        <f t="shared" si="39"/>
        <v>1.9230769230769232E-2</v>
      </c>
    </row>
    <row r="205" spans="2:23">
      <c r="B205" s="93" t="s">
        <v>1897</v>
      </c>
      <c r="C205" s="550" t="s">
        <v>1152</v>
      </c>
      <c r="D205" s="637">
        <f t="shared" si="35"/>
        <v>3.5611510791366907</v>
      </c>
      <c r="E205" s="549"/>
      <c r="F205" s="617">
        <f t="shared" si="36"/>
        <v>0.23290719942031987</v>
      </c>
      <c r="G205" s="548">
        <f t="shared" si="37"/>
        <v>8</v>
      </c>
      <c r="H205" s="548">
        <f t="shared" si="38"/>
        <v>2.2464646464646463</v>
      </c>
      <c r="I205" s="618">
        <f t="shared" si="39"/>
        <v>1.9230769230769232E-2</v>
      </c>
    </row>
    <row r="206" spans="2:23">
      <c r="B206" s="93" t="s">
        <v>1897</v>
      </c>
      <c r="C206" s="550" t="s">
        <v>1892</v>
      </c>
      <c r="D206" s="637">
        <f t="shared" si="35"/>
        <v>4.2733812949640289</v>
      </c>
      <c r="E206" s="549"/>
      <c r="F206" s="617">
        <f t="shared" si="36"/>
        <v>0.23290719942031984</v>
      </c>
      <c r="G206" s="548">
        <f t="shared" si="37"/>
        <v>8</v>
      </c>
      <c r="H206" s="548">
        <f t="shared" si="38"/>
        <v>1.872053872053872</v>
      </c>
      <c r="I206" s="618">
        <f t="shared" si="39"/>
        <v>1.9230769230769232E-2</v>
      </c>
    </row>
    <row r="207" spans="2:23">
      <c r="B207" s="93" t="s">
        <v>1897</v>
      </c>
      <c r="C207" s="552" t="s">
        <v>1891</v>
      </c>
      <c r="D207" s="637">
        <f t="shared" si="35"/>
        <v>12.820143884892087</v>
      </c>
      <c r="E207" s="549"/>
      <c r="F207" s="617">
        <f t="shared" si="36"/>
        <v>0.23290719942031984</v>
      </c>
      <c r="G207" s="548">
        <f t="shared" si="37"/>
        <v>8</v>
      </c>
      <c r="H207" s="548">
        <f t="shared" si="38"/>
        <v>0.62401795735129062</v>
      </c>
      <c r="I207" s="618">
        <f t="shared" si="39"/>
        <v>1.9230769230769232E-2</v>
      </c>
    </row>
    <row r="208" spans="2:23">
      <c r="B208" s="93" t="s">
        <v>1897</v>
      </c>
      <c r="C208" s="552" t="s">
        <v>1890</v>
      </c>
      <c r="D208" s="637">
        <f t="shared" si="35"/>
        <v>23.396762589928056</v>
      </c>
      <c r="E208" s="549"/>
      <c r="F208" s="617">
        <f t="shared" si="36"/>
        <v>0.23290719942031982</v>
      </c>
      <c r="G208" s="548">
        <f t="shared" si="37"/>
        <v>8</v>
      </c>
      <c r="H208" s="548">
        <f t="shared" si="38"/>
        <v>0.34192764786372093</v>
      </c>
      <c r="I208" s="618">
        <f t="shared" si="39"/>
        <v>1.9230769230769232E-2</v>
      </c>
    </row>
    <row r="209" spans="2:9">
      <c r="B209" s="93" t="s">
        <v>1897</v>
      </c>
      <c r="C209" s="552" t="s">
        <v>1889</v>
      </c>
      <c r="D209" s="637">
        <f t="shared" si="35"/>
        <v>2.5996402877697844</v>
      </c>
      <c r="E209" s="549"/>
      <c r="F209" s="617">
        <f t="shared" si="36"/>
        <v>0.23290719942031984</v>
      </c>
      <c r="G209" s="548">
        <f t="shared" si="37"/>
        <v>8</v>
      </c>
      <c r="H209" s="548">
        <f t="shared" si="38"/>
        <v>3.077348830773488</v>
      </c>
      <c r="I209" s="618">
        <f t="shared" si="39"/>
        <v>1.9230769230769232E-2</v>
      </c>
    </row>
    <row r="210" spans="2:9">
      <c r="B210" s="93" t="s">
        <v>1897</v>
      </c>
      <c r="C210" s="551" t="s">
        <v>1888</v>
      </c>
      <c r="D210" s="637">
        <f t="shared" si="35"/>
        <v>1.8204604316546762</v>
      </c>
      <c r="E210" s="549"/>
      <c r="F210" s="617">
        <f t="shared" si="36"/>
        <v>0.23290719942031984</v>
      </c>
      <c r="G210" s="548">
        <f t="shared" si="37"/>
        <v>8</v>
      </c>
      <c r="H210" s="548">
        <f t="shared" si="38"/>
        <v>4.3944926574034557</v>
      </c>
      <c r="I210" s="618">
        <f t="shared" si="39"/>
        <v>1.9230769230769232E-2</v>
      </c>
    </row>
    <row r="211" spans="2:9">
      <c r="B211" s="93" t="s">
        <v>1897</v>
      </c>
      <c r="C211" s="550" t="s">
        <v>1887</v>
      </c>
      <c r="D211" s="637">
        <f t="shared" si="35"/>
        <v>7.1223021582733814</v>
      </c>
      <c r="E211" s="549"/>
      <c r="F211" s="617">
        <f t="shared" si="36"/>
        <v>0.23290719942031987</v>
      </c>
      <c r="G211" s="548">
        <f t="shared" si="37"/>
        <v>8</v>
      </c>
      <c r="H211" s="548">
        <f t="shared" si="38"/>
        <v>1.1232323232323231</v>
      </c>
      <c r="I211" s="618">
        <f t="shared" si="39"/>
        <v>1.9230769230769232E-2</v>
      </c>
    </row>
    <row r="212" spans="2:9">
      <c r="B212" s="177" t="s">
        <v>788</v>
      </c>
      <c r="C212" s="550" t="s">
        <v>188</v>
      </c>
      <c r="D212" s="637">
        <f t="shared" si="35"/>
        <v>4.2895683453237412</v>
      </c>
      <c r="E212" s="549"/>
      <c r="F212" s="617">
        <f t="shared" si="36"/>
        <v>0.2329071994203199</v>
      </c>
      <c r="G212" s="548">
        <f t="shared" si="37"/>
        <v>8</v>
      </c>
      <c r="H212" s="548">
        <f t="shared" si="38"/>
        <v>1.8649895178197065</v>
      </c>
      <c r="I212" s="618">
        <f t="shared" si="39"/>
        <v>1.9230769230769232E-2</v>
      </c>
    </row>
    <row r="213" spans="2:9">
      <c r="B213" s="177" t="s">
        <v>788</v>
      </c>
      <c r="C213" s="550" t="s">
        <v>175</v>
      </c>
      <c r="D213" s="637">
        <f t="shared" si="35"/>
        <v>19.303057553956833</v>
      </c>
      <c r="E213" s="549"/>
      <c r="F213" s="617">
        <f t="shared" si="36"/>
        <v>0.23290719942031984</v>
      </c>
      <c r="G213" s="548">
        <f t="shared" si="37"/>
        <v>8</v>
      </c>
      <c r="H213" s="548">
        <f t="shared" si="38"/>
        <v>0.41444211507104589</v>
      </c>
      <c r="I213" s="618">
        <f t="shared" si="39"/>
        <v>1.9230769230769232E-2</v>
      </c>
    </row>
    <row r="214" spans="2:9">
      <c r="B214" s="177" t="s">
        <v>788</v>
      </c>
      <c r="C214" s="550" t="s">
        <v>1895</v>
      </c>
      <c r="D214" s="637">
        <f t="shared" si="35"/>
        <v>16.439341726618704</v>
      </c>
      <c r="E214" s="549"/>
      <c r="F214" s="617">
        <f t="shared" si="36"/>
        <v>0.23290719942031987</v>
      </c>
      <c r="G214" s="548">
        <f t="shared" si="37"/>
        <v>8</v>
      </c>
      <c r="H214" s="548">
        <f t="shared" si="38"/>
        <v>0.4866374902984309</v>
      </c>
      <c r="I214" s="618">
        <f t="shared" si="39"/>
        <v>1.9230769230769232E-2</v>
      </c>
    </row>
    <row r="215" spans="2:9">
      <c r="B215" s="177" t="s">
        <v>788</v>
      </c>
      <c r="C215" s="550" t="s">
        <v>1894</v>
      </c>
      <c r="D215" s="637">
        <f t="shared" si="35"/>
        <v>27.055165467625898</v>
      </c>
      <c r="E215" s="549"/>
      <c r="F215" s="617">
        <f t="shared" si="36"/>
        <v>0.2329071994203199</v>
      </c>
      <c r="G215" s="548">
        <f t="shared" si="37"/>
        <v>8</v>
      </c>
      <c r="H215" s="548">
        <f t="shared" si="38"/>
        <v>0.29569214830982155</v>
      </c>
      <c r="I215" s="618">
        <f t="shared" si="39"/>
        <v>1.9230769230769232E-2</v>
      </c>
    </row>
    <row r="216" spans="2:9">
      <c r="B216" s="177" t="s">
        <v>788</v>
      </c>
      <c r="C216" s="550" t="s">
        <v>1154</v>
      </c>
      <c r="D216" s="637">
        <f t="shared" si="35"/>
        <v>6.2627697841726624</v>
      </c>
      <c r="E216" s="549"/>
      <c r="F216" s="617">
        <f t="shared" si="36"/>
        <v>0.23290719942031987</v>
      </c>
      <c r="G216" s="548">
        <f t="shared" si="37"/>
        <v>8</v>
      </c>
      <c r="H216" s="548">
        <f t="shared" si="38"/>
        <v>1.2773900806984291</v>
      </c>
      <c r="I216" s="618">
        <f t="shared" si="39"/>
        <v>1.9230769230769232E-2</v>
      </c>
    </row>
    <row r="217" spans="2:9">
      <c r="B217" s="177" t="s">
        <v>788</v>
      </c>
      <c r="C217" s="550" t="s">
        <v>1893</v>
      </c>
      <c r="D217" s="637">
        <f t="shared" si="35"/>
        <v>6.2627697841726624</v>
      </c>
      <c r="E217" s="549"/>
      <c r="F217" s="617">
        <f t="shared" si="36"/>
        <v>0.23290719942031987</v>
      </c>
      <c r="G217" s="548">
        <f t="shared" si="37"/>
        <v>8</v>
      </c>
      <c r="H217" s="548">
        <f t="shared" si="38"/>
        <v>1.2773900806984291</v>
      </c>
      <c r="I217" s="618">
        <f t="shared" si="39"/>
        <v>1.9230769230769232E-2</v>
      </c>
    </row>
    <row r="218" spans="2:9">
      <c r="B218" s="177" t="s">
        <v>788</v>
      </c>
      <c r="C218" s="550" t="s">
        <v>1152</v>
      </c>
      <c r="D218" s="637">
        <f t="shared" si="35"/>
        <v>4.2895683453237412</v>
      </c>
      <c r="E218" s="549"/>
      <c r="F218" s="617">
        <f t="shared" si="36"/>
        <v>0.2329071994203199</v>
      </c>
      <c r="G218" s="548">
        <f t="shared" si="37"/>
        <v>8</v>
      </c>
      <c r="H218" s="548">
        <f t="shared" si="38"/>
        <v>1.8649895178197065</v>
      </c>
      <c r="I218" s="618">
        <f t="shared" si="39"/>
        <v>1.9230769230769232E-2</v>
      </c>
    </row>
    <row r="219" spans="2:9">
      <c r="B219" s="177" t="s">
        <v>788</v>
      </c>
      <c r="C219" s="550" t="s">
        <v>1892</v>
      </c>
      <c r="D219" s="637">
        <f t="shared" si="35"/>
        <v>5.1474820143884887</v>
      </c>
      <c r="E219" s="549"/>
      <c r="F219" s="617">
        <f t="shared" si="36"/>
        <v>0.23290719942031984</v>
      </c>
      <c r="G219" s="548">
        <f t="shared" si="37"/>
        <v>8</v>
      </c>
      <c r="H219" s="548">
        <f t="shared" si="38"/>
        <v>1.5541579315164222</v>
      </c>
      <c r="I219" s="618">
        <f t="shared" si="39"/>
        <v>1.9230769230769232E-2</v>
      </c>
    </row>
    <row r="220" spans="2:9">
      <c r="B220" s="177" t="s">
        <v>788</v>
      </c>
      <c r="C220" s="552" t="s">
        <v>1891</v>
      </c>
      <c r="D220" s="637">
        <f t="shared" si="35"/>
        <v>15.442446043165468</v>
      </c>
      <c r="E220" s="549"/>
      <c r="F220" s="617">
        <f t="shared" si="36"/>
        <v>0.23290719942031987</v>
      </c>
      <c r="G220" s="548">
        <f t="shared" si="37"/>
        <v>8</v>
      </c>
      <c r="H220" s="548">
        <f t="shared" si="38"/>
        <v>0.51805264383880734</v>
      </c>
      <c r="I220" s="618">
        <f t="shared" si="39"/>
        <v>1.9230769230769232E-2</v>
      </c>
    </row>
    <row r="221" spans="2:9">
      <c r="B221" s="177" t="s">
        <v>788</v>
      </c>
      <c r="C221" s="552" t="s">
        <v>1890</v>
      </c>
      <c r="D221" s="637">
        <f t="shared" si="35"/>
        <v>28.182464028776977</v>
      </c>
      <c r="E221" s="549"/>
      <c r="F221" s="617">
        <f t="shared" si="36"/>
        <v>0.23290719942031984</v>
      </c>
      <c r="G221" s="548">
        <f t="shared" si="37"/>
        <v>8</v>
      </c>
      <c r="H221" s="548">
        <f t="shared" si="38"/>
        <v>0.28386446237742868</v>
      </c>
      <c r="I221" s="618">
        <f t="shared" si="39"/>
        <v>1.9230769230769232E-2</v>
      </c>
    </row>
    <row r="222" spans="2:9">
      <c r="B222" s="177" t="s">
        <v>788</v>
      </c>
      <c r="C222" s="552" t="s">
        <v>1889</v>
      </c>
      <c r="D222" s="637">
        <f t="shared" si="35"/>
        <v>3.1313848920863312</v>
      </c>
      <c r="E222" s="549"/>
      <c r="F222" s="617">
        <f t="shared" si="36"/>
        <v>0.23290719942031987</v>
      </c>
      <c r="G222" s="548">
        <f t="shared" si="37"/>
        <v>8</v>
      </c>
      <c r="H222" s="548">
        <f t="shared" si="38"/>
        <v>2.5547801613968582</v>
      </c>
      <c r="I222" s="618">
        <f t="shared" si="39"/>
        <v>1.9230769230769232E-2</v>
      </c>
    </row>
    <row r="223" spans="2:9">
      <c r="B223" s="177" t="s">
        <v>788</v>
      </c>
      <c r="C223" s="551" t="s">
        <v>1888</v>
      </c>
      <c r="D223" s="637">
        <f t="shared" si="35"/>
        <v>2.1928273381294963</v>
      </c>
      <c r="E223" s="549"/>
      <c r="F223" s="617">
        <f t="shared" si="36"/>
        <v>0.23290719942031987</v>
      </c>
      <c r="G223" s="548">
        <f t="shared" si="37"/>
        <v>8</v>
      </c>
      <c r="H223" s="548">
        <f t="shared" si="38"/>
        <v>3.6482580552028692</v>
      </c>
      <c r="I223" s="618">
        <f t="shared" si="39"/>
        <v>1.9230769230769232E-2</v>
      </c>
    </row>
    <row r="224" spans="2:9">
      <c r="B224" s="177" t="s">
        <v>788</v>
      </c>
      <c r="C224" s="550" t="s">
        <v>1887</v>
      </c>
      <c r="D224" s="637">
        <f t="shared" si="35"/>
        <v>8.5791366906474824</v>
      </c>
      <c r="E224" s="549"/>
      <c r="F224" s="617">
        <f t="shared" si="36"/>
        <v>0.2329071994203199</v>
      </c>
      <c r="G224" s="548">
        <f t="shared" si="37"/>
        <v>8</v>
      </c>
      <c r="H224" s="548">
        <f t="shared" si="38"/>
        <v>0.93249475890985323</v>
      </c>
      <c r="I224" s="618">
        <f t="shared" si="39"/>
        <v>1.9230769230769232E-2</v>
      </c>
    </row>
    <row r="225" spans="2:9">
      <c r="B225" s="177" t="s">
        <v>1896</v>
      </c>
      <c r="C225" s="550" t="s">
        <v>188</v>
      </c>
      <c r="D225" s="637">
        <f t="shared" si="35"/>
        <v>5.9892086330935257</v>
      </c>
      <c r="E225" s="549"/>
      <c r="F225" s="617">
        <f t="shared" si="36"/>
        <v>0.2329071994203199</v>
      </c>
      <c r="G225" s="548">
        <f t="shared" si="37"/>
        <v>14.27</v>
      </c>
      <c r="H225" s="548">
        <f t="shared" si="38"/>
        <v>2.3826186186186185</v>
      </c>
      <c r="I225" s="618">
        <f t="shared" si="39"/>
        <v>1.9230769230769232E-2</v>
      </c>
    </row>
    <row r="226" spans="2:9">
      <c r="B226" s="177" t="s">
        <v>1896</v>
      </c>
      <c r="C226" s="550" t="s">
        <v>175</v>
      </c>
      <c r="D226" s="637">
        <f t="shared" si="35"/>
        <v>26.951438848920862</v>
      </c>
      <c r="E226" s="549"/>
      <c r="F226" s="617">
        <f t="shared" si="36"/>
        <v>0.23290719942031987</v>
      </c>
      <c r="G226" s="548">
        <f t="shared" si="37"/>
        <v>14.27</v>
      </c>
      <c r="H226" s="548">
        <f t="shared" si="38"/>
        <v>0.52947080413747083</v>
      </c>
      <c r="I226" s="618">
        <f t="shared" si="39"/>
        <v>1.9230769230769232E-2</v>
      </c>
    </row>
    <row r="227" spans="2:9">
      <c r="B227" s="177" t="s">
        <v>1896</v>
      </c>
      <c r="C227" s="550" t="s">
        <v>1895</v>
      </c>
      <c r="D227" s="637">
        <f t="shared" si="35"/>
        <v>22.953043165467626</v>
      </c>
      <c r="E227" s="549"/>
      <c r="F227" s="617">
        <f t="shared" si="36"/>
        <v>0.2329071994203199</v>
      </c>
      <c r="G227" s="548">
        <f t="shared" si="37"/>
        <v>14.27</v>
      </c>
      <c r="H227" s="548">
        <f t="shared" si="38"/>
        <v>0.62170405453987543</v>
      </c>
      <c r="I227" s="618">
        <f t="shared" si="39"/>
        <v>1.9230769230769232E-2</v>
      </c>
    </row>
    <row r="228" spans="2:9">
      <c r="B228" s="177" t="s">
        <v>1896</v>
      </c>
      <c r="C228" s="550" t="s">
        <v>1894</v>
      </c>
      <c r="D228" s="637">
        <f t="shared" si="35"/>
        <v>37.775136690647486</v>
      </c>
      <c r="E228" s="549"/>
      <c r="F228" s="617">
        <f t="shared" si="36"/>
        <v>0.23290719942031993</v>
      </c>
      <c r="G228" s="548">
        <f t="shared" si="37"/>
        <v>14.27</v>
      </c>
      <c r="H228" s="548">
        <f t="shared" si="38"/>
        <v>0.37776170386520458</v>
      </c>
      <c r="I228" s="618">
        <f t="shared" si="39"/>
        <v>1.9230769230769232E-2</v>
      </c>
    </row>
    <row r="229" spans="2:9">
      <c r="B229" s="177" t="s">
        <v>1896</v>
      </c>
      <c r="C229" s="550" t="s">
        <v>1154</v>
      </c>
      <c r="D229" s="637">
        <f t="shared" si="35"/>
        <v>8.7442446043165472</v>
      </c>
      <c r="E229" s="549"/>
      <c r="F229" s="617">
        <f t="shared" si="36"/>
        <v>0.23290719942031987</v>
      </c>
      <c r="G229" s="548">
        <f t="shared" si="37"/>
        <v>14.27</v>
      </c>
      <c r="H229" s="548">
        <f t="shared" si="38"/>
        <v>1.6319305606976839</v>
      </c>
      <c r="I229" s="618">
        <f t="shared" si="39"/>
        <v>1.9230769230769232E-2</v>
      </c>
    </row>
    <row r="230" spans="2:9">
      <c r="B230" s="177" t="s">
        <v>1896</v>
      </c>
      <c r="C230" s="550" t="s">
        <v>1893</v>
      </c>
      <c r="D230" s="637">
        <f t="shared" si="35"/>
        <v>8.7442446043165472</v>
      </c>
      <c r="E230" s="549"/>
      <c r="F230" s="617">
        <f t="shared" si="36"/>
        <v>0.23290719942031987</v>
      </c>
      <c r="G230" s="548">
        <f t="shared" si="37"/>
        <v>14.27</v>
      </c>
      <c r="H230" s="548">
        <f t="shared" si="38"/>
        <v>1.6319305606976839</v>
      </c>
      <c r="I230" s="618">
        <f t="shared" si="39"/>
        <v>1.9230769230769232E-2</v>
      </c>
    </row>
    <row r="231" spans="2:9">
      <c r="B231" s="177" t="s">
        <v>1896</v>
      </c>
      <c r="C231" s="550" t="s">
        <v>1152</v>
      </c>
      <c r="D231" s="637">
        <f t="shared" si="35"/>
        <v>5.9892086330935257</v>
      </c>
      <c r="E231" s="549"/>
      <c r="F231" s="617">
        <f t="shared" si="36"/>
        <v>0.2329071994203199</v>
      </c>
      <c r="G231" s="548">
        <f t="shared" si="37"/>
        <v>14.27</v>
      </c>
      <c r="H231" s="548">
        <f t="shared" si="38"/>
        <v>2.3826186186186185</v>
      </c>
      <c r="I231" s="618">
        <f t="shared" si="39"/>
        <v>1.9230769230769232E-2</v>
      </c>
    </row>
    <row r="232" spans="2:9">
      <c r="B232" s="177" t="s">
        <v>1896</v>
      </c>
      <c r="C232" s="550" t="s">
        <v>1892</v>
      </c>
      <c r="D232" s="637">
        <f t="shared" si="35"/>
        <v>7.1870503597122299</v>
      </c>
      <c r="E232" s="549"/>
      <c r="F232" s="617">
        <f t="shared" si="36"/>
        <v>0.23290719942031984</v>
      </c>
      <c r="G232" s="548">
        <f t="shared" si="37"/>
        <v>14.27</v>
      </c>
      <c r="H232" s="548">
        <f t="shared" si="38"/>
        <v>1.9855155155155155</v>
      </c>
      <c r="I232" s="618">
        <f t="shared" si="39"/>
        <v>1.9230769230769232E-2</v>
      </c>
    </row>
    <row r="233" spans="2:9">
      <c r="B233" s="177" t="s">
        <v>1896</v>
      </c>
      <c r="C233" s="552" t="s">
        <v>1891</v>
      </c>
      <c r="D233" s="637">
        <f t="shared" si="35"/>
        <v>21.561151079136692</v>
      </c>
      <c r="E233" s="549"/>
      <c r="F233" s="617">
        <f t="shared" si="36"/>
        <v>0.23290719942031987</v>
      </c>
      <c r="G233" s="548">
        <f t="shared" si="37"/>
        <v>14.27</v>
      </c>
      <c r="H233" s="548">
        <f t="shared" si="38"/>
        <v>0.6618385051718384</v>
      </c>
      <c r="I233" s="618">
        <f t="shared" si="39"/>
        <v>1.9230769230769232E-2</v>
      </c>
    </row>
    <row r="234" spans="2:9">
      <c r="B234" s="177" t="s">
        <v>1896</v>
      </c>
      <c r="C234" s="552" t="s">
        <v>1890</v>
      </c>
      <c r="D234" s="637">
        <f t="shared" si="35"/>
        <v>39.349100719424456</v>
      </c>
      <c r="E234" s="549"/>
      <c r="F234" s="617">
        <f t="shared" si="36"/>
        <v>0.23290719942031982</v>
      </c>
      <c r="G234" s="548">
        <f t="shared" si="37"/>
        <v>14.27</v>
      </c>
      <c r="H234" s="548">
        <f t="shared" si="38"/>
        <v>0.36265123571059649</v>
      </c>
      <c r="I234" s="618">
        <f t="shared" si="39"/>
        <v>1.9230769230769232E-2</v>
      </c>
    </row>
    <row r="235" spans="2:9">
      <c r="B235" s="177" t="s">
        <v>1896</v>
      </c>
      <c r="C235" s="552" t="s">
        <v>1889</v>
      </c>
      <c r="D235" s="637">
        <f t="shared" si="35"/>
        <v>4.3721223021582736</v>
      </c>
      <c r="E235" s="549"/>
      <c r="F235" s="617">
        <f t="shared" si="36"/>
        <v>0.23290719942031987</v>
      </c>
      <c r="G235" s="548">
        <f t="shared" si="37"/>
        <v>14.27</v>
      </c>
      <c r="H235" s="548">
        <f t="shared" si="38"/>
        <v>3.2638611213953679</v>
      </c>
      <c r="I235" s="618">
        <f t="shared" si="39"/>
        <v>1.9230769230769232E-2</v>
      </c>
    </row>
    <row r="236" spans="2:9">
      <c r="B236" s="177" t="s">
        <v>1896</v>
      </c>
      <c r="C236" s="551" t="s">
        <v>1888</v>
      </c>
      <c r="D236" s="637">
        <f t="shared" si="35"/>
        <v>3.0616834532374098</v>
      </c>
      <c r="E236" s="549"/>
      <c r="F236" s="617">
        <f t="shared" si="36"/>
        <v>0.23290719942031984</v>
      </c>
      <c r="G236" s="548">
        <f t="shared" si="37"/>
        <v>14.27</v>
      </c>
      <c r="H236" s="548">
        <f t="shared" si="38"/>
        <v>4.6608345434636522</v>
      </c>
      <c r="I236" s="618">
        <f t="shared" si="39"/>
        <v>1.9230769230769232E-2</v>
      </c>
    </row>
    <row r="237" spans="2:9">
      <c r="B237" s="177" t="s">
        <v>1896</v>
      </c>
      <c r="C237" s="550" t="s">
        <v>1887</v>
      </c>
      <c r="D237" s="637">
        <f t="shared" si="35"/>
        <v>11.978417266187051</v>
      </c>
      <c r="E237" s="549"/>
      <c r="F237" s="617">
        <f t="shared" si="36"/>
        <v>0.2329071994203199</v>
      </c>
      <c r="G237" s="548">
        <f t="shared" si="37"/>
        <v>14.27</v>
      </c>
      <c r="H237" s="548">
        <f t="shared" si="38"/>
        <v>1.1913093093093092</v>
      </c>
      <c r="I237" s="618">
        <f t="shared" si="39"/>
        <v>1.9230769230769232E-2</v>
      </c>
    </row>
    <row r="238" spans="2:9">
      <c r="B238" s="177" t="s">
        <v>841</v>
      </c>
      <c r="C238" s="550" t="s">
        <v>188</v>
      </c>
      <c r="D238" s="637">
        <f t="shared" si="35"/>
        <v>4.0467625899280577</v>
      </c>
      <c r="E238" s="549"/>
      <c r="F238" s="617">
        <f t="shared" si="36"/>
        <v>0.23290719942031993</v>
      </c>
      <c r="G238" s="548">
        <f t="shared" si="37"/>
        <v>8</v>
      </c>
      <c r="H238" s="548">
        <f t="shared" si="38"/>
        <v>1.9768888888888889</v>
      </c>
      <c r="I238" s="618">
        <f t="shared" si="39"/>
        <v>1.9230769230769232E-2</v>
      </c>
    </row>
    <row r="239" spans="2:9">
      <c r="B239" s="177" t="s">
        <v>841</v>
      </c>
      <c r="C239" s="550" t="s">
        <v>175</v>
      </c>
      <c r="D239" s="637">
        <f t="shared" si="35"/>
        <v>18.21043165467626</v>
      </c>
      <c r="E239" s="549"/>
      <c r="F239" s="617">
        <f t="shared" si="36"/>
        <v>0.2329071994203199</v>
      </c>
      <c r="G239" s="548">
        <f t="shared" si="37"/>
        <v>8</v>
      </c>
      <c r="H239" s="548">
        <f t="shared" si="38"/>
        <v>0.43930864197530861</v>
      </c>
      <c r="I239" s="618">
        <f t="shared" si="39"/>
        <v>1.9230769230769232E-2</v>
      </c>
    </row>
    <row r="240" spans="2:9">
      <c r="B240" s="177" t="s">
        <v>841</v>
      </c>
      <c r="C240" s="550" t="s">
        <v>1895</v>
      </c>
      <c r="D240" s="637">
        <f t="shared" si="35"/>
        <v>15.508812949640287</v>
      </c>
      <c r="E240" s="549"/>
      <c r="F240" s="617">
        <f t="shared" si="36"/>
        <v>0.23290719942031987</v>
      </c>
      <c r="G240" s="548">
        <f t="shared" si="37"/>
        <v>8</v>
      </c>
      <c r="H240" s="548">
        <f t="shared" si="38"/>
        <v>0.51583573971633678</v>
      </c>
      <c r="I240" s="618">
        <f t="shared" si="39"/>
        <v>1.9230769230769232E-2</v>
      </c>
    </row>
    <row r="241" spans="2:9">
      <c r="B241" s="177" t="s">
        <v>841</v>
      </c>
      <c r="C241" s="550" t="s">
        <v>1894</v>
      </c>
      <c r="D241" s="637">
        <f t="shared" si="35"/>
        <v>25.523741007194246</v>
      </c>
      <c r="E241" s="549"/>
      <c r="F241" s="617">
        <f t="shared" si="36"/>
        <v>0.23290719942031993</v>
      </c>
      <c r="G241" s="548">
        <f t="shared" si="37"/>
        <v>8</v>
      </c>
      <c r="H241" s="548">
        <f t="shared" si="38"/>
        <v>0.31343367720841081</v>
      </c>
      <c r="I241" s="618">
        <f t="shared" si="39"/>
        <v>1.9230769230769232E-2</v>
      </c>
    </row>
    <row r="242" spans="2:9">
      <c r="B242" s="177" t="s">
        <v>841</v>
      </c>
      <c r="C242" s="550" t="s">
        <v>1154</v>
      </c>
      <c r="D242" s="637">
        <f t="shared" si="35"/>
        <v>5.9082733812949639</v>
      </c>
      <c r="E242" s="549"/>
      <c r="F242" s="617">
        <f t="shared" si="36"/>
        <v>0.23290719942031987</v>
      </c>
      <c r="G242" s="548">
        <f t="shared" si="37"/>
        <v>8</v>
      </c>
      <c r="H242" s="548">
        <f t="shared" si="38"/>
        <v>1.3540334855403349</v>
      </c>
      <c r="I242" s="618">
        <f t="shared" si="39"/>
        <v>1.9230769230769232E-2</v>
      </c>
    </row>
    <row r="243" spans="2:9">
      <c r="B243" s="177" t="s">
        <v>841</v>
      </c>
      <c r="C243" s="550" t="s">
        <v>1893</v>
      </c>
      <c r="D243" s="637">
        <f t="shared" si="35"/>
        <v>5.9082733812949639</v>
      </c>
      <c r="E243" s="549"/>
      <c r="F243" s="617">
        <f t="shared" si="36"/>
        <v>0.23290719942031987</v>
      </c>
      <c r="G243" s="548">
        <f t="shared" si="37"/>
        <v>8</v>
      </c>
      <c r="H243" s="548">
        <f t="shared" si="38"/>
        <v>1.3540334855403349</v>
      </c>
      <c r="I243" s="618">
        <f t="shared" si="39"/>
        <v>1.9230769230769232E-2</v>
      </c>
    </row>
    <row r="244" spans="2:9">
      <c r="B244" s="177" t="s">
        <v>841</v>
      </c>
      <c r="C244" s="550" t="s">
        <v>1152</v>
      </c>
      <c r="D244" s="637">
        <f t="shared" si="35"/>
        <v>4.0467625899280577</v>
      </c>
      <c r="E244" s="549"/>
      <c r="F244" s="617">
        <f t="shared" si="36"/>
        <v>0.23290719942031993</v>
      </c>
      <c r="G244" s="548">
        <f t="shared" si="37"/>
        <v>8</v>
      </c>
      <c r="H244" s="548">
        <f t="shared" si="38"/>
        <v>1.9768888888888889</v>
      </c>
      <c r="I244" s="618">
        <f t="shared" si="39"/>
        <v>1.9230769230769232E-2</v>
      </c>
    </row>
    <row r="245" spans="2:9">
      <c r="B245" s="177" t="s">
        <v>841</v>
      </c>
      <c r="C245" s="550" t="s">
        <v>1892</v>
      </c>
      <c r="D245" s="637">
        <f t="shared" si="35"/>
        <v>4.8561151079136691</v>
      </c>
      <c r="E245" s="549"/>
      <c r="F245" s="617">
        <f t="shared" si="36"/>
        <v>0.23290719942031984</v>
      </c>
      <c r="G245" s="548">
        <f t="shared" si="37"/>
        <v>8</v>
      </c>
      <c r="H245" s="548">
        <f t="shared" si="38"/>
        <v>1.6474074074074074</v>
      </c>
      <c r="I245" s="618">
        <f t="shared" si="39"/>
        <v>1.9230769230769232E-2</v>
      </c>
    </row>
    <row r="246" spans="2:9">
      <c r="B246" s="177" t="s">
        <v>841</v>
      </c>
      <c r="C246" s="552" t="s">
        <v>1891</v>
      </c>
      <c r="D246" s="637">
        <f t="shared" si="35"/>
        <v>14.568345323741008</v>
      </c>
      <c r="E246" s="549"/>
      <c r="F246" s="617">
        <f t="shared" si="36"/>
        <v>0.23290719942031987</v>
      </c>
      <c r="G246" s="548">
        <f t="shared" si="37"/>
        <v>8</v>
      </c>
      <c r="H246" s="548">
        <f t="shared" si="38"/>
        <v>0.54913580246913574</v>
      </c>
      <c r="I246" s="618">
        <f t="shared" si="39"/>
        <v>1.9230769230769232E-2</v>
      </c>
    </row>
    <row r="247" spans="2:9">
      <c r="B247" s="177" t="s">
        <v>841</v>
      </c>
      <c r="C247" s="552" t="s">
        <v>1890</v>
      </c>
      <c r="D247" s="637">
        <f t="shared" si="35"/>
        <v>26.587230215827336</v>
      </c>
      <c r="E247" s="549"/>
      <c r="F247" s="617">
        <f t="shared" si="36"/>
        <v>0.23290719942031984</v>
      </c>
      <c r="G247" s="548">
        <f t="shared" si="37"/>
        <v>8</v>
      </c>
      <c r="H247" s="548">
        <f t="shared" si="38"/>
        <v>0.30089633012007444</v>
      </c>
      <c r="I247" s="618">
        <f t="shared" si="39"/>
        <v>1.9230769230769232E-2</v>
      </c>
    </row>
    <row r="248" spans="2:9">
      <c r="B248" s="177" t="s">
        <v>841</v>
      </c>
      <c r="C248" s="552" t="s">
        <v>1889</v>
      </c>
      <c r="D248" s="637">
        <f t="shared" si="35"/>
        <v>2.954136690647482</v>
      </c>
      <c r="E248" s="549"/>
      <c r="F248" s="617">
        <f t="shared" si="36"/>
        <v>0.23290719942031987</v>
      </c>
      <c r="G248" s="548">
        <f t="shared" si="37"/>
        <v>8</v>
      </c>
      <c r="H248" s="548">
        <f t="shared" si="38"/>
        <v>2.7080669710806697</v>
      </c>
      <c r="I248" s="618">
        <f t="shared" si="39"/>
        <v>1.9230769230769232E-2</v>
      </c>
    </row>
    <row r="249" spans="2:9">
      <c r="B249" s="177" t="s">
        <v>841</v>
      </c>
      <c r="C249" s="551" t="s">
        <v>1888</v>
      </c>
      <c r="D249" s="637">
        <f t="shared" si="35"/>
        <v>2.0687050359712229</v>
      </c>
      <c r="E249" s="549"/>
      <c r="F249" s="617">
        <f t="shared" si="36"/>
        <v>0.23290719942031987</v>
      </c>
      <c r="G249" s="548">
        <f t="shared" si="37"/>
        <v>8</v>
      </c>
      <c r="H249" s="548">
        <f t="shared" si="38"/>
        <v>3.8671535385150411</v>
      </c>
      <c r="I249" s="618">
        <f t="shared" si="39"/>
        <v>1.9230769230769232E-2</v>
      </c>
    </row>
    <row r="250" spans="2:9">
      <c r="B250" s="177" t="s">
        <v>841</v>
      </c>
      <c r="C250" s="550" t="s">
        <v>1887</v>
      </c>
      <c r="D250" s="637">
        <f t="shared" si="35"/>
        <v>8.0935251798561154</v>
      </c>
      <c r="E250" s="549"/>
      <c r="F250" s="617">
        <f t="shared" si="36"/>
        <v>0.23290719942031993</v>
      </c>
      <c r="G250" s="548">
        <f t="shared" si="37"/>
        <v>8</v>
      </c>
      <c r="H250" s="548">
        <f t="shared" si="38"/>
        <v>0.98844444444444446</v>
      </c>
      <c r="I250" s="618">
        <f t="shared" si="39"/>
        <v>1.9230769230769232E-2</v>
      </c>
    </row>
    <row r="251" spans="2:9">
      <c r="B251" s="7" t="s">
        <v>0</v>
      </c>
      <c r="C251" s="7"/>
      <c r="D251" s="7">
        <f>SUMPRODUCT(D199:D250,$I$143:$I$194)</f>
        <v>11.753894784172662</v>
      </c>
      <c r="E251" s="7"/>
      <c r="F251" s="7">
        <f>SUMPRODUCT(F199:F250,$I$143:$I$194)</f>
        <v>0.23290719942032004</v>
      </c>
      <c r="G251" s="7">
        <f>SUMPRODUCT(G199:G250,$I$143:$I$194)</f>
        <v>9.567499999999999</v>
      </c>
      <c r="H251" s="7">
        <f>SUMPRODUCT(H199:H250,$I$143:$I$194)</f>
        <v>1.4825697847288124</v>
      </c>
      <c r="I251" s="7"/>
    </row>
  </sheetData>
  <phoneticPr fontId="35" type="noConversion"/>
  <dataValidations count="5">
    <dataValidation type="list" allowBlank="1" showInputMessage="1" showErrorMessage="1" sqref="C59:L59" xr:uid="{00000000-0002-0000-C600-000004000000}">
      <formula1>$N$19:$AQ$19</formula1>
    </dataValidation>
    <dataValidation type="list" allowBlank="1" showInputMessage="1" showErrorMessage="1" sqref="E11:E20" xr:uid="{00000000-0002-0000-C600-000003000000}">
      <formula1>$N$16:$O$16</formula1>
    </dataValidation>
    <dataValidation type="list" allowBlank="1" showInputMessage="1" showErrorMessage="1" sqref="D11:D20" xr:uid="{00000000-0002-0000-C600-000002000000}">
      <formula1>$N$22:$AE$22</formula1>
    </dataValidation>
    <dataValidation type="list" allowBlank="1" showInputMessage="1" showErrorMessage="1" sqref="B11:C20" xr:uid="{00000000-0002-0000-C600-000001000000}">
      <formula1>$N$7:$Q$7</formula1>
    </dataValidation>
    <dataValidation type="list" allowBlank="1" showInputMessage="1" showErrorMessage="1" sqref="D7" xr:uid="{00000000-0002-0000-C600-000000000000}">
      <formula1>$N$11:$O$11</formula1>
    </dataValidation>
  </dataValidations>
  <pageMargins left="0.7" right="0.7" top="0.75" bottom="0.75" header="0.3" footer="0.3"/>
  <pageSetup orientation="portrait" r:id="rId1"/>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075D-B0D8-4351-9329-5851E9030019}">
  <sheetPr codeName="Sheet64">
    <tabColor indexed="60"/>
  </sheetPr>
  <dimension ref="A1:AQ137"/>
  <sheetViews>
    <sheetView topLeftCell="A9"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HPWH</v>
      </c>
      <c r="C7" s="98" t="s">
        <v>2417</v>
      </c>
      <c r="D7" s="97" t="s">
        <v>211</v>
      </c>
      <c r="E7" s="97">
        <f>C111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HPWH_CI, E - HWat  (MD)</v>
      </c>
      <c r="J11" s="83" t="str">
        <f t="shared" ref="J11:J20" si="3">IF(B11="","",CONCATENATE($C$7,IF(C11="","",CONCATENATE(" with ",C11," Secondary Fuel"))))</f>
        <v>Heat Pump Water Heater</v>
      </c>
      <c r="K11" s="83"/>
      <c r="M11" s="94" t="s">
        <v>123</v>
      </c>
      <c r="N11" s="93" t="s">
        <v>212</v>
      </c>
      <c r="O11" s="93" t="s">
        <v>211</v>
      </c>
    </row>
    <row r="12" spans="1:17">
      <c r="A12" s="1">
        <v>2</v>
      </c>
      <c r="B12" s="97" t="s">
        <v>227</v>
      </c>
      <c r="C12" s="97"/>
      <c r="D12" s="97" t="s">
        <v>113</v>
      </c>
      <c r="E12" s="99" t="s">
        <v>202</v>
      </c>
      <c r="F12" s="99"/>
      <c r="G12" s="83" t="str">
        <f t="shared" si="0"/>
        <v>P</v>
      </c>
      <c r="H12" s="91" t="str">
        <f t="shared" si="1"/>
        <v xml:space="preserve">HWat </v>
      </c>
      <c r="I12" s="83" t="str">
        <f t="shared" ca="1" si="2"/>
        <v>CI HPWH_CI, P - HWat  (MD)</v>
      </c>
      <c r="J12" s="83" t="str">
        <f t="shared" si="3"/>
        <v>Heat Pump Water Heater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HPWH_CI, E - HWat  (MD)</v>
      </c>
      <c r="D33" s="83" t="str">
        <f t="shared" ca="1" si="5"/>
        <v>CI HPWH_CI, P - HWat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HPWH_CI, E - HWat  (MD)</v>
      </c>
      <c r="N33" s="84" t="str">
        <f t="shared" ca="1" si="6"/>
        <v>CI HPWH_CI, P - HWat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Heat Pump Water Heater</v>
      </c>
      <c r="D34" s="83" t="str">
        <f t="shared" si="8"/>
        <v>Heat Pump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HPWH_CI, E - HWat  (MD)</v>
      </c>
      <c r="D35" s="82" t="str">
        <f ca="1">D33</f>
        <v>CI HPWH_CI, P - HWat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Heat Pump Water Heater</v>
      </c>
      <c r="D36" s="82" t="str">
        <f>D34</f>
        <v>Heat Pump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Heat Pump Water Heater</v>
      </c>
      <c r="D52" s="66" t="str">
        <f t="shared" si="16"/>
        <v>Heat Pump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2418</v>
      </c>
      <c r="D55" s="65" t="s">
        <v>2418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2419</v>
      </c>
      <c r="D56" s="65" t="s">
        <v>2419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H137</f>
        <v>1304.3562861198566</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J137</f>
        <v>0.66003828828828826</v>
      </c>
      <c r="D65" s="74" t="e">
        <f>#REF!</f>
        <v>#REF!</v>
      </c>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K137</f>
        <v>0</v>
      </c>
      <c r="D68" s="71">
        <f>C112</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L137</f>
        <v>0</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Heat Pump Water Heater</v>
      </c>
      <c r="D71" s="66" t="str">
        <f t="shared" si="21"/>
        <v>Heat Pump Water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2255</v>
      </c>
    </row>
    <row r="106" spans="1:22">
      <c r="B106" t="s">
        <v>2256</v>
      </c>
    </row>
    <row r="108" spans="1:22" s="63" customFormat="1" ht="15.75" thickBot="1">
      <c r="B108" s="63" t="s">
        <v>50</v>
      </c>
    </row>
    <row r="110" spans="1:22">
      <c r="B110" s="94" t="s">
        <v>520</v>
      </c>
      <c r="C110" s="94" t="s">
        <v>519</v>
      </c>
      <c r="D110" s="94" t="s">
        <v>409</v>
      </c>
      <c r="E110" s="94" t="s">
        <v>122</v>
      </c>
    </row>
    <row r="111" spans="1:22">
      <c r="B111" s="93" t="s">
        <v>518</v>
      </c>
      <c r="C111" s="93">
        <v>15</v>
      </c>
      <c r="D111" s="93" t="s">
        <v>2257</v>
      </c>
      <c r="E111" s="93"/>
    </row>
    <row r="112" spans="1:22">
      <c r="B112" s="93" t="s">
        <v>438</v>
      </c>
      <c r="C112" s="93"/>
      <c r="D112" s="93" t="s">
        <v>2257</v>
      </c>
      <c r="E112" s="93"/>
    </row>
    <row r="113" spans="2:13">
      <c r="B113" s="93" t="s">
        <v>484</v>
      </c>
      <c r="C113" s="97">
        <v>0.22</v>
      </c>
      <c r="D113" s="93" t="s">
        <v>2257</v>
      </c>
      <c r="E113" s="93"/>
    </row>
    <row r="114" spans="2:13">
      <c r="B114" s="93" t="s">
        <v>2258</v>
      </c>
      <c r="C114" s="93">
        <v>46</v>
      </c>
      <c r="D114" s="93" t="s">
        <v>2257</v>
      </c>
      <c r="E114" s="286"/>
    </row>
    <row r="115" spans="2:13">
      <c r="B115" s="93" t="s">
        <v>2259</v>
      </c>
      <c r="C115" s="93">
        <f>125-75</f>
        <v>50</v>
      </c>
      <c r="D115" s="93" t="s">
        <v>2257</v>
      </c>
      <c r="E115" s="286"/>
    </row>
    <row r="116" spans="2:13">
      <c r="B116" s="93" t="s">
        <v>2260</v>
      </c>
      <c r="C116" s="93">
        <v>1</v>
      </c>
      <c r="D116" s="93" t="s">
        <v>2257</v>
      </c>
      <c r="E116" s="286"/>
    </row>
    <row r="117" spans="2:13">
      <c r="B117" s="93" t="s">
        <v>2261</v>
      </c>
      <c r="C117" s="93"/>
      <c r="D117" s="93" t="s">
        <v>2257</v>
      </c>
      <c r="E117" s="286"/>
    </row>
    <row r="118" spans="2:13">
      <c r="B118" s="93" t="s">
        <v>2262</v>
      </c>
      <c r="C118" s="93"/>
      <c r="D118" s="93" t="s">
        <v>2257</v>
      </c>
      <c r="E118" s="286"/>
    </row>
    <row r="119" spans="2:13">
      <c r="B119" s="93" t="s">
        <v>2263</v>
      </c>
      <c r="C119" s="93">
        <v>1</v>
      </c>
      <c r="D119" s="93" t="s">
        <v>2257</v>
      </c>
      <c r="E119" s="286" t="s">
        <v>2266</v>
      </c>
    </row>
    <row r="120" spans="2:13">
      <c r="B120" s="93" t="s">
        <v>2264</v>
      </c>
      <c r="C120" s="93">
        <v>0</v>
      </c>
      <c r="D120" s="93" t="s">
        <v>2257</v>
      </c>
      <c r="E120" s="286" t="s">
        <v>2266</v>
      </c>
    </row>
    <row r="121" spans="2:13">
      <c r="B121" s="93" t="s">
        <v>2265</v>
      </c>
      <c r="C121" s="93">
        <v>0</v>
      </c>
      <c r="D121" s="93" t="s">
        <v>2257</v>
      </c>
      <c r="E121" s="286" t="s">
        <v>2266</v>
      </c>
    </row>
    <row r="122" spans="2:13">
      <c r="B122" s="93" t="s">
        <v>1481</v>
      </c>
      <c r="C122" s="93">
        <v>13</v>
      </c>
      <c r="D122" s="93" t="s">
        <v>2257</v>
      </c>
      <c r="E122" s="286" t="s">
        <v>2267</v>
      </c>
    </row>
    <row r="124" spans="2:13">
      <c r="B124" s="94" t="s">
        <v>716</v>
      </c>
      <c r="C124" s="94" t="s">
        <v>715</v>
      </c>
      <c r="D124" s="94" t="s">
        <v>714</v>
      </c>
      <c r="E124" s="94" t="s">
        <v>713</v>
      </c>
      <c r="F124" s="94" t="s">
        <v>2261</v>
      </c>
      <c r="G124" s="94" t="s">
        <v>2262</v>
      </c>
      <c r="H124" s="94" t="s">
        <v>500</v>
      </c>
      <c r="I124" s="94" t="s">
        <v>499</v>
      </c>
      <c r="J124" s="94" t="s">
        <v>244</v>
      </c>
      <c r="K124" s="94" t="s">
        <v>9</v>
      </c>
      <c r="L124" s="94" t="s">
        <v>8</v>
      </c>
      <c r="M124" s="94" t="s">
        <v>497</v>
      </c>
    </row>
    <row r="125" spans="2:13">
      <c r="B125" s="712" t="s">
        <v>711</v>
      </c>
      <c r="C125" s="712" t="s">
        <v>710</v>
      </c>
      <c r="D125" s="284">
        <v>50</v>
      </c>
      <c r="E125" s="93" t="s">
        <v>707</v>
      </c>
      <c r="F125" s="93">
        <f>0.8808-(0.0008*D125)</f>
        <v>0.84079999999999999</v>
      </c>
      <c r="G125" s="93">
        <v>3.7</v>
      </c>
      <c r="H125" s="93">
        <f>$C$114*365*8.33*$C$115*(($C$116/F125)-(1/(G125*$C$119)))/3412</f>
        <v>1883.6785287132641</v>
      </c>
      <c r="I125" s="93">
        <v>0.17</v>
      </c>
      <c r="J125" s="530">
        <f>H125/($C$114*365*8.33*$C$115*($C$116/F125)/3412)</f>
        <v>0.7727567567567567</v>
      </c>
      <c r="K125" s="93"/>
      <c r="L125" s="93"/>
      <c r="M125" s="93">
        <f>1/COUNT($F$125:$F$136)</f>
        <v>8.3333333333333329E-2</v>
      </c>
    </row>
    <row r="126" spans="2:13">
      <c r="B126" s="712"/>
      <c r="C126" s="712"/>
      <c r="D126" s="284">
        <v>50</v>
      </c>
      <c r="E126" s="93" t="s">
        <v>706</v>
      </c>
      <c r="F126" s="93">
        <f>0.9254-(0.0003*D126)</f>
        <v>0.91039999999999999</v>
      </c>
      <c r="G126" s="93">
        <v>3.7</v>
      </c>
      <c r="H126" s="93">
        <f t="shared" ref="H126:H136" si="26">$C$114*365*8.33*$C$115*(($C$116/F126)-(1/(G126*$C$119)))/3412</f>
        <v>1697.323564184491</v>
      </c>
      <c r="I126" s="93">
        <v>0.17</v>
      </c>
      <c r="J126" s="530">
        <f t="shared" ref="J126:J136" si="27">H126/($C$114*365*8.33*$C$115*($C$116/F126)/3412)</f>
        <v>0.75394594594594588</v>
      </c>
      <c r="K126" s="93"/>
      <c r="L126" s="93"/>
      <c r="M126" s="93">
        <f t="shared" ref="M126:M136" si="28">1/COUNT($F$125:$F$136)</f>
        <v>8.3333333333333329E-2</v>
      </c>
    </row>
    <row r="127" spans="2:13">
      <c r="B127" s="712"/>
      <c r="C127" s="712"/>
      <c r="D127" s="284">
        <v>50</v>
      </c>
      <c r="E127" s="93" t="s">
        <v>705</v>
      </c>
      <c r="F127" s="93">
        <f>0.9307-(0.0002*D127)</f>
        <v>0.92069999999999996</v>
      </c>
      <c r="G127" s="93">
        <v>3.7</v>
      </c>
      <c r="H127" s="93">
        <f t="shared" si="26"/>
        <v>1672.1384739106825</v>
      </c>
      <c r="I127" s="93">
        <v>0.17</v>
      </c>
      <c r="J127" s="530">
        <f t="shared" si="27"/>
        <v>0.75116216216216236</v>
      </c>
      <c r="K127" s="93"/>
      <c r="L127" s="93"/>
      <c r="M127" s="93">
        <f t="shared" si="28"/>
        <v>8.3333333333333329E-2</v>
      </c>
    </row>
    <row r="128" spans="2:13">
      <c r="B128" s="712"/>
      <c r="C128" s="712"/>
      <c r="D128" s="284">
        <v>50</v>
      </c>
      <c r="E128" s="93" t="s">
        <v>704</v>
      </c>
      <c r="F128" s="93">
        <f>0.9349-(0.0001*D128)</f>
        <v>0.92989999999999995</v>
      </c>
      <c r="G128" s="93">
        <v>3.7</v>
      </c>
      <c r="H128" s="93">
        <f t="shared" si="26"/>
        <v>1650.1147823659674</v>
      </c>
      <c r="I128" s="93">
        <v>0.17</v>
      </c>
      <c r="J128" s="530">
        <f t="shared" si="27"/>
        <v>0.74867567567567583</v>
      </c>
      <c r="K128" s="93"/>
      <c r="L128" s="93"/>
      <c r="M128" s="93">
        <f t="shared" si="28"/>
        <v>8.3333333333333329E-2</v>
      </c>
    </row>
    <row r="129" spans="2:13">
      <c r="B129" s="712"/>
      <c r="C129" s="712" t="s">
        <v>709</v>
      </c>
      <c r="D129" s="284">
        <v>110</v>
      </c>
      <c r="E129" s="93" t="s">
        <v>707</v>
      </c>
      <c r="F129" s="93">
        <f>1.9236-(0.0011*D129)</f>
        <v>1.8026</v>
      </c>
      <c r="G129" s="93">
        <v>3.7</v>
      </c>
      <c r="H129" s="93">
        <f t="shared" si="26"/>
        <v>583.06166011774508</v>
      </c>
      <c r="I129" s="93">
        <v>0.17</v>
      </c>
      <c r="J129" s="530">
        <f t="shared" si="27"/>
        <v>0.51281081081081092</v>
      </c>
      <c r="K129" s="93"/>
      <c r="L129" s="93"/>
      <c r="M129" s="93">
        <f t="shared" si="28"/>
        <v>8.3333333333333329E-2</v>
      </c>
    </row>
    <row r="130" spans="2:13">
      <c r="B130" s="712"/>
      <c r="C130" s="712"/>
      <c r="D130" s="284">
        <v>110</v>
      </c>
      <c r="E130" s="93" t="s">
        <v>706</v>
      </c>
      <c r="F130" s="93">
        <f>2.044-(0.0011*D130)</f>
        <v>1.923</v>
      </c>
      <c r="G130" s="93">
        <v>3.7</v>
      </c>
      <c r="H130" s="93">
        <f t="shared" si="26"/>
        <v>511.87403326113099</v>
      </c>
      <c r="I130" s="93">
        <v>0.17</v>
      </c>
      <c r="J130" s="530">
        <f t="shared" si="27"/>
        <v>0.48027027027027036</v>
      </c>
      <c r="K130" s="93"/>
      <c r="L130" s="93"/>
      <c r="M130" s="93">
        <f t="shared" si="28"/>
        <v>8.3333333333333329E-2</v>
      </c>
    </row>
    <row r="131" spans="2:13">
      <c r="B131" s="712"/>
      <c r="C131" s="712"/>
      <c r="D131" s="284">
        <v>110</v>
      </c>
      <c r="E131" s="93" t="s">
        <v>705</v>
      </c>
      <c r="F131" s="93">
        <f>2.1171-(0.0011*D131)</f>
        <v>1.9961000000000002</v>
      </c>
      <c r="G131" s="93">
        <v>3.7</v>
      </c>
      <c r="H131" s="93">
        <f t="shared" si="26"/>
        <v>472.84278169701923</v>
      </c>
      <c r="I131" s="93">
        <v>0.17</v>
      </c>
      <c r="J131" s="530">
        <f t="shared" si="27"/>
        <v>0.46051351351351361</v>
      </c>
      <c r="K131" s="93"/>
      <c r="L131" s="93"/>
      <c r="M131" s="93">
        <f t="shared" si="28"/>
        <v>8.3333333333333329E-2</v>
      </c>
    </row>
    <row r="132" spans="2:13">
      <c r="B132" s="712"/>
      <c r="C132" s="712"/>
      <c r="D132" s="284">
        <v>110</v>
      </c>
      <c r="E132" s="93" t="s">
        <v>704</v>
      </c>
      <c r="F132" s="93">
        <f>2.2418-(0.0011*D132)</f>
        <v>2.1208</v>
      </c>
      <c r="G132" s="93">
        <v>3.7</v>
      </c>
      <c r="H132" s="93">
        <f t="shared" si="26"/>
        <v>412.47000877071474</v>
      </c>
      <c r="I132" s="93">
        <v>0.17</v>
      </c>
      <c r="J132" s="530">
        <f t="shared" si="27"/>
        <v>0.42681081081081085</v>
      </c>
      <c r="K132" s="93"/>
      <c r="L132" s="93"/>
      <c r="M132" s="93">
        <f t="shared" si="28"/>
        <v>8.3333333333333329E-2</v>
      </c>
    </row>
    <row r="133" spans="2:13">
      <c r="B133" s="712" t="s">
        <v>2022</v>
      </c>
      <c r="C133" s="712" t="s">
        <v>708</v>
      </c>
      <c r="D133" s="713"/>
      <c r="E133" s="93" t="s">
        <v>707</v>
      </c>
      <c r="F133" s="93">
        <v>0.91</v>
      </c>
      <c r="G133" s="93">
        <v>3.7</v>
      </c>
      <c r="H133" s="93">
        <f t="shared" si="26"/>
        <v>1698.3131262293048</v>
      </c>
      <c r="I133" s="93">
        <v>0.17</v>
      </c>
      <c r="J133" s="530">
        <f t="shared" si="27"/>
        <v>0.75405405405405412</v>
      </c>
      <c r="K133" s="93"/>
      <c r="L133" s="93"/>
      <c r="M133" s="93">
        <f t="shared" si="28"/>
        <v>8.3333333333333329E-2</v>
      </c>
    </row>
    <row r="134" spans="2:13">
      <c r="B134" s="712"/>
      <c r="C134" s="712"/>
      <c r="D134" s="713"/>
      <c r="E134" s="93" t="s">
        <v>706</v>
      </c>
      <c r="F134" s="93">
        <v>0.91</v>
      </c>
      <c r="G134" s="93">
        <v>3.7</v>
      </c>
      <c r="H134" s="93">
        <f t="shared" si="26"/>
        <v>1698.3131262293048</v>
      </c>
      <c r="I134" s="93">
        <v>0.17</v>
      </c>
      <c r="J134" s="530">
        <f t="shared" si="27"/>
        <v>0.75405405405405412</v>
      </c>
      <c r="K134" s="93"/>
      <c r="L134" s="93"/>
      <c r="M134" s="93">
        <f t="shared" si="28"/>
        <v>8.3333333333333329E-2</v>
      </c>
    </row>
    <row r="135" spans="2:13">
      <c r="B135" s="712"/>
      <c r="C135" s="712"/>
      <c r="D135" s="713"/>
      <c r="E135" s="93" t="s">
        <v>705</v>
      </c>
      <c r="F135" s="93">
        <v>0.91</v>
      </c>
      <c r="G135" s="93">
        <v>3.7</v>
      </c>
      <c r="H135" s="93">
        <f t="shared" si="26"/>
        <v>1698.3131262293048</v>
      </c>
      <c r="I135" s="93">
        <v>0.17</v>
      </c>
      <c r="J135" s="530">
        <f t="shared" si="27"/>
        <v>0.75405405405405412</v>
      </c>
      <c r="K135" s="93"/>
      <c r="L135" s="93"/>
      <c r="M135" s="93">
        <f t="shared" si="28"/>
        <v>8.3333333333333329E-2</v>
      </c>
    </row>
    <row r="136" spans="2:13">
      <c r="B136" s="712"/>
      <c r="C136" s="712"/>
      <c r="D136" s="713"/>
      <c r="E136" s="93" t="s">
        <v>704</v>
      </c>
      <c r="F136" s="93">
        <v>0.92</v>
      </c>
      <c r="G136" s="93">
        <v>3.7</v>
      </c>
      <c r="H136" s="93">
        <f t="shared" si="26"/>
        <v>1673.8322217293498</v>
      </c>
      <c r="I136" s="93">
        <v>0.17</v>
      </c>
      <c r="J136" s="530">
        <f t="shared" si="27"/>
        <v>0.75135135135135134</v>
      </c>
      <c r="K136" s="93"/>
      <c r="L136" s="93"/>
      <c r="M136" s="93">
        <f t="shared" si="28"/>
        <v>8.3333333333333329E-2</v>
      </c>
    </row>
    <row r="137" spans="2:13">
      <c r="B137" s="7" t="s">
        <v>0</v>
      </c>
      <c r="C137" s="7"/>
      <c r="D137" s="7"/>
      <c r="E137" s="7"/>
      <c r="F137" s="7"/>
      <c r="G137" s="7"/>
      <c r="H137" s="7">
        <f>SUMPRODUCT(H125:H136,$M$125:$M$136)</f>
        <v>1304.3562861198566</v>
      </c>
      <c r="I137" s="7">
        <f>SUMPRODUCT(I125:I136,$M$125:$M$136)</f>
        <v>0.16999999999999996</v>
      </c>
      <c r="J137" s="7">
        <f>SUMPRODUCT(J125:J136,$M$125:$M$136)</f>
        <v>0.66003828828828826</v>
      </c>
      <c r="K137" s="7"/>
      <c r="L137" s="7"/>
      <c r="M137" s="7"/>
    </row>
  </sheetData>
  <mergeCells count="6">
    <mergeCell ref="D133:D136"/>
    <mergeCell ref="B125:B132"/>
    <mergeCell ref="C125:C128"/>
    <mergeCell ref="C129:C132"/>
    <mergeCell ref="B133:B136"/>
    <mergeCell ref="C133:C136"/>
  </mergeCells>
  <phoneticPr fontId="35" type="noConversion"/>
  <dataValidations count="5">
    <dataValidation type="list" allowBlank="1" showInputMessage="1" showErrorMessage="1" sqref="D7" xr:uid="{3FB43FEB-65F2-40EA-81F7-DF603CEC31AC}">
      <formula1>$N$11:$O$11</formula1>
    </dataValidation>
    <dataValidation type="list" allowBlank="1" showInputMessage="1" showErrorMessage="1" sqref="B11:C20" xr:uid="{EF73D99B-F6C5-4AFD-A8D1-83BA3F631056}">
      <formula1>$N$7:$Q$7</formula1>
    </dataValidation>
    <dataValidation type="list" allowBlank="1" showInputMessage="1" showErrorMessage="1" sqref="D11:D20" xr:uid="{9A5FDC50-ECC1-4BF1-9C30-F7D56EBFBF0D}">
      <formula1>$N$22:$AE$22</formula1>
    </dataValidation>
    <dataValidation type="list" allowBlank="1" showInputMessage="1" showErrorMessage="1" sqref="E11:E20" xr:uid="{D46493EB-2A2D-4FE7-AE0C-98D15F574992}">
      <formula1>$N$16:$O$16</formula1>
    </dataValidation>
    <dataValidation type="list" allowBlank="1" showInputMessage="1" showErrorMessage="1" sqref="C59:L59" xr:uid="{20297BA4-2B33-44CE-A440-F4E2266B7BA5}">
      <formula1>$N$19:$AQ$19</formula1>
    </dataValidation>
  </dataValidations>
  <pageMargins left="0.7" right="0.7" top="0.75" bottom="0.75" header="0.3" footer="0.3"/>
  <pageSetup orientation="portrait" r:id="rId1"/>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A4D4-F6C5-42A2-9D4B-050C9445E213}">
  <sheetPr codeName="Sheet65">
    <tabColor indexed="60"/>
  </sheetPr>
  <dimension ref="A1:AQ130"/>
  <sheetViews>
    <sheetView topLeftCell="A93"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Ozone Laundry</v>
      </c>
      <c r="C7" s="98" t="s">
        <v>2278</v>
      </c>
      <c r="D7" s="97" t="s">
        <v>211</v>
      </c>
      <c r="E7" s="97">
        <f>C111</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Ozone Laundry_CI, E - HWat  (RET)</v>
      </c>
      <c r="J11" s="83" t="str">
        <f t="shared" ref="J11:J20" si="3">IF(B11="","",CONCATENATE($C$7,IF(C11="","",CONCATENATE(" with ",C11," Secondary Fuel"))))</f>
        <v>Ozone Laundry</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CI Ozone Laundry_CI, P - HWat  (RET)</v>
      </c>
      <c r="J12" s="83" t="str">
        <f t="shared" si="3"/>
        <v>Ozone Laundry</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Ozone Laundry_CI, E - HWat  (RET)</v>
      </c>
      <c r="D33" s="83" t="str">
        <f t="shared" ca="1" si="5"/>
        <v>CI Ozone Laundry_CI,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Ozone Laundry_CI, E - HWat  (RET)</v>
      </c>
      <c r="N33" s="84" t="str">
        <f t="shared" ca="1" si="6"/>
        <v>CI Ozone Laundry_CI,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IF(VLOOKUP(C$31,$A$11:$K$20,10,FALSE)="","",VLOOKUP(C$31,$A$11:$K$20,10,FALSE))</f>
        <v>Ozone Laundry</v>
      </c>
      <c r="D34" s="83" t="str">
        <f t="shared" ref="D34:L34" si="8">IF(VLOOKUP(D$31,$A$11:$K$20,10,FALSE)="","",VLOOKUP(D$31,$A$11:$K$20,10,FALSE))</f>
        <v>Ozone Laundry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Ozone Laundry_CI, E - HWat  (RET)</v>
      </c>
      <c r="D35" s="82" t="str">
        <f ca="1">D33</f>
        <v>CI Ozone Laundry_CI,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Ozone Laundry</v>
      </c>
      <c r="D36" s="82" t="str">
        <f>D34</f>
        <v>Ozone Laundry</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2420</v>
      </c>
      <c r="D38" s="82" t="s">
        <v>2420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Ozone Laundry</v>
      </c>
      <c r="D52" s="66" t="str">
        <f t="shared" si="16"/>
        <v>Ozone Laundry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82" t="s">
        <v>204</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2421</v>
      </c>
      <c r="D55" s="65" t="s">
        <v>2421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2422</v>
      </c>
      <c r="D56" s="65" t="s">
        <v>2422</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D130</f>
        <v>656.48000000000013</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F130</f>
        <v>0.22000000000000003</v>
      </c>
      <c r="D65" s="74" t="e">
        <f>#REF!</f>
        <v>#REF!</v>
      </c>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G130</f>
        <v>68.978000000000009</v>
      </c>
      <c r="D68" s="71" t="str">
        <f>C112</f>
        <v>See table</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J130</f>
        <v>26.132600616621982</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Ozone Laundry</v>
      </c>
      <c r="D71" s="66" t="str">
        <f t="shared" si="21"/>
        <v>Ozone Laundry</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2268</v>
      </c>
    </row>
    <row r="106" spans="1:22">
      <c r="B106"/>
    </row>
    <row r="108" spans="1:22" s="63" customFormat="1" ht="15.75" thickBot="1">
      <c r="B108" s="63" t="s">
        <v>50</v>
      </c>
    </row>
    <row r="110" spans="1:22">
      <c r="B110" s="94" t="s">
        <v>520</v>
      </c>
      <c r="C110" s="94" t="s">
        <v>519</v>
      </c>
      <c r="D110" s="94" t="s">
        <v>409</v>
      </c>
      <c r="E110" s="94" t="s">
        <v>122</v>
      </c>
    </row>
    <row r="111" spans="1:22">
      <c r="B111" s="93" t="s">
        <v>518</v>
      </c>
      <c r="C111" s="93">
        <v>10</v>
      </c>
      <c r="D111" s="93" t="s">
        <v>2269</v>
      </c>
      <c r="E111" s="93"/>
    </row>
    <row r="112" spans="1:22">
      <c r="B112" s="93" t="s">
        <v>438</v>
      </c>
      <c r="C112" s="93" t="s">
        <v>1955</v>
      </c>
      <c r="D112" s="93" t="s">
        <v>2269</v>
      </c>
      <c r="E112" s="93"/>
    </row>
    <row r="113" spans="2:11">
      <c r="B113" s="93" t="s">
        <v>484</v>
      </c>
      <c r="C113" s="97"/>
      <c r="D113" s="93" t="s">
        <v>2269</v>
      </c>
      <c r="E113" s="93"/>
    </row>
    <row r="114" spans="2:11">
      <c r="B114" s="93" t="s">
        <v>2275</v>
      </c>
      <c r="C114" s="93">
        <v>0.746</v>
      </c>
      <c r="D114" s="93" t="s">
        <v>2269</v>
      </c>
      <c r="E114" s="286"/>
    </row>
    <row r="115" spans="2:11">
      <c r="B115" s="93" t="s">
        <v>309</v>
      </c>
      <c r="C115" s="93">
        <v>800</v>
      </c>
      <c r="D115" s="93" t="s">
        <v>2269</v>
      </c>
      <c r="E115" s="286"/>
    </row>
    <row r="116" spans="2:11">
      <c r="B116" s="93" t="s">
        <v>1570</v>
      </c>
      <c r="C116" s="93">
        <v>5</v>
      </c>
      <c r="D116" s="93" t="s">
        <v>2269</v>
      </c>
      <c r="E116" s="286"/>
    </row>
    <row r="117" spans="2:11">
      <c r="B117" s="93"/>
      <c r="C117" s="93"/>
      <c r="D117" s="93"/>
      <c r="E117" s="286"/>
    </row>
    <row r="118" spans="2:11">
      <c r="B118" s="93"/>
      <c r="C118" s="93"/>
      <c r="D118" s="93"/>
      <c r="E118" s="286"/>
    </row>
    <row r="119" spans="2:11">
      <c r="B119" s="93"/>
      <c r="C119" s="93"/>
      <c r="D119" s="93"/>
      <c r="E119" s="286"/>
    </row>
    <row r="120" spans="2:11">
      <c r="B120" s="93"/>
      <c r="C120" s="93"/>
      <c r="D120" s="93"/>
      <c r="E120" s="286"/>
    </row>
    <row r="121" spans="2:11">
      <c r="B121" s="93"/>
      <c r="C121" s="93"/>
      <c r="D121" s="93"/>
      <c r="E121" s="286"/>
    </row>
    <row r="122" spans="2:11">
      <c r="B122" s="93"/>
      <c r="C122" s="93"/>
      <c r="D122" s="93"/>
      <c r="E122" s="286"/>
    </row>
    <row r="124" spans="2:11">
      <c r="B124" s="94" t="s">
        <v>579</v>
      </c>
      <c r="C124" s="94" t="s">
        <v>2274</v>
      </c>
      <c r="D124" s="94" t="s">
        <v>500</v>
      </c>
      <c r="E124" s="94" t="s">
        <v>499</v>
      </c>
      <c r="F124" s="94" t="s">
        <v>244</v>
      </c>
      <c r="G124" s="94" t="s">
        <v>2276</v>
      </c>
      <c r="H124" s="94" t="s">
        <v>2277</v>
      </c>
      <c r="I124" s="94" t="s">
        <v>438</v>
      </c>
      <c r="J124" s="94" t="s">
        <v>8</v>
      </c>
      <c r="K124" s="94" t="s">
        <v>497</v>
      </c>
    </row>
    <row r="125" spans="2:11">
      <c r="B125" s="648" t="s">
        <v>2270</v>
      </c>
      <c r="C125" s="648">
        <v>0.1</v>
      </c>
      <c r="D125" s="93">
        <f>$C$116*$C$114*$C$115*C125</f>
        <v>298.40000000000003</v>
      </c>
      <c r="E125" s="93">
        <v>0</v>
      </c>
      <c r="F125" s="530">
        <f>C125</f>
        <v>0.1</v>
      </c>
      <c r="G125" s="93">
        <v>25.53</v>
      </c>
      <c r="H125" s="93">
        <v>254.38</v>
      </c>
      <c r="I125" s="93">
        <f>H125*G125</f>
        <v>6494.3213999999998</v>
      </c>
      <c r="J125" s="93">
        <f>I125/D125</f>
        <v>21.763811662198389</v>
      </c>
      <c r="K125" s="93">
        <f>1/COUNT($C$125:$C$129)</f>
        <v>0.2</v>
      </c>
    </row>
    <row r="126" spans="2:11">
      <c r="B126" s="648" t="s">
        <v>2271</v>
      </c>
      <c r="C126" s="648">
        <v>0.25</v>
      </c>
      <c r="D126" s="93">
        <f>$C$116*$C$114*$C$115*C126</f>
        <v>746</v>
      </c>
      <c r="E126" s="93">
        <v>0</v>
      </c>
      <c r="F126" s="530">
        <f>C126</f>
        <v>0.25</v>
      </c>
      <c r="G126" s="93">
        <v>79.84</v>
      </c>
      <c r="H126" s="93">
        <v>254.38</v>
      </c>
      <c r="I126" s="93">
        <f>H126*G126</f>
        <v>20309.699199999999</v>
      </c>
      <c r="J126" s="93">
        <f>I126/D126</f>
        <v>27.22479785522788</v>
      </c>
      <c r="K126" s="93">
        <f>1/COUNT($C$125:$C$129)</f>
        <v>0.2</v>
      </c>
    </row>
    <row r="127" spans="2:11">
      <c r="B127" s="648" t="s">
        <v>2272</v>
      </c>
      <c r="C127" s="648">
        <v>0.25</v>
      </c>
      <c r="D127" s="93">
        <f>$C$116*$C$114*$C$115*C127</f>
        <v>746</v>
      </c>
      <c r="E127" s="93">
        <v>0</v>
      </c>
      <c r="F127" s="530">
        <f>C127</f>
        <v>0.25</v>
      </c>
      <c r="G127" s="93">
        <v>79.84</v>
      </c>
      <c r="H127" s="93">
        <v>254.38</v>
      </c>
      <c r="I127" s="93">
        <f>H127*G127</f>
        <v>20309.699199999999</v>
      </c>
      <c r="J127" s="93">
        <f>I127/D127</f>
        <v>27.22479785522788</v>
      </c>
      <c r="K127" s="93">
        <f>1/COUNT($C$125:$C$129)</f>
        <v>0.2</v>
      </c>
    </row>
    <row r="128" spans="2:11">
      <c r="B128" s="648" t="s">
        <v>1335</v>
      </c>
      <c r="C128" s="648">
        <v>0.25</v>
      </c>
      <c r="D128" s="93">
        <f>$C$116*$C$114*$C$115*C128</f>
        <v>746</v>
      </c>
      <c r="E128" s="93">
        <v>0</v>
      </c>
      <c r="F128" s="530">
        <f>C128</f>
        <v>0.25</v>
      </c>
      <c r="G128" s="93">
        <v>79.84</v>
      </c>
      <c r="H128" s="93">
        <v>254.38</v>
      </c>
      <c r="I128" s="93">
        <f>H128*G128</f>
        <v>20309.699199999999</v>
      </c>
      <c r="J128" s="93">
        <f>I128/D128</f>
        <v>27.22479785522788</v>
      </c>
      <c r="K128" s="93">
        <f>1/COUNT($C$125:$C$129)</f>
        <v>0.2</v>
      </c>
    </row>
    <row r="129" spans="2:11">
      <c r="B129" s="648" t="s">
        <v>2273</v>
      </c>
      <c r="C129" s="648">
        <v>0.25</v>
      </c>
      <c r="D129" s="93">
        <f>$C$116*$C$114*$C$115*C129</f>
        <v>746</v>
      </c>
      <c r="E129" s="93">
        <v>0</v>
      </c>
      <c r="F129" s="530">
        <f>C129</f>
        <v>0.25</v>
      </c>
      <c r="G129" s="93">
        <v>79.84</v>
      </c>
      <c r="H129" s="93">
        <v>254.38</v>
      </c>
      <c r="I129" s="93">
        <f>H129*G129</f>
        <v>20309.699199999999</v>
      </c>
      <c r="J129" s="93">
        <f>I129/D129</f>
        <v>27.22479785522788</v>
      </c>
      <c r="K129" s="93">
        <f>1/COUNT($C$125:$C$129)</f>
        <v>0.2</v>
      </c>
    </row>
    <row r="130" spans="2:11">
      <c r="B130" s="7" t="s">
        <v>0</v>
      </c>
      <c r="C130" s="7"/>
      <c r="D130" s="7">
        <f>SUMPRODUCT(D125:D129,$K$125:$K$129)</f>
        <v>656.48000000000013</v>
      </c>
      <c r="E130" s="7">
        <f t="shared" ref="E130:J130" si="26">SUMPRODUCT(E125:E129,$K$125:$K$129)</f>
        <v>0</v>
      </c>
      <c r="F130" s="7">
        <f t="shared" si="26"/>
        <v>0.22000000000000003</v>
      </c>
      <c r="G130" s="7">
        <f t="shared" si="26"/>
        <v>68.978000000000009</v>
      </c>
      <c r="H130" s="7">
        <f t="shared" si="26"/>
        <v>254.38000000000002</v>
      </c>
      <c r="I130" s="7">
        <f t="shared" si="26"/>
        <v>17546.623639999998</v>
      </c>
      <c r="J130" s="7">
        <f t="shared" si="26"/>
        <v>26.132600616621982</v>
      </c>
      <c r="K130" s="7"/>
    </row>
  </sheetData>
  <phoneticPr fontId="35" type="noConversion"/>
  <dataValidations count="5">
    <dataValidation type="list" allowBlank="1" showInputMessage="1" showErrorMessage="1" sqref="C59:L59" xr:uid="{13BFB174-489E-45D6-AD69-0D7F76AA3905}">
      <formula1>$N$19:$AQ$19</formula1>
    </dataValidation>
    <dataValidation type="list" allowBlank="1" showInputMessage="1" showErrorMessage="1" sqref="E11:E20" xr:uid="{6B48E748-48C0-46DF-80EC-D4E433678D61}">
      <formula1>$N$16:$O$16</formula1>
    </dataValidation>
    <dataValidation type="list" allowBlank="1" showInputMessage="1" showErrorMessage="1" sqref="D11:D20" xr:uid="{26AC43A1-57D4-4759-BB60-2387FAD59FC3}">
      <formula1>$N$22:$AE$22</formula1>
    </dataValidation>
    <dataValidation type="list" allowBlank="1" showInputMessage="1" showErrorMessage="1" sqref="B11:C20" xr:uid="{39B5AE92-0750-441B-9EF9-4E5F670BFE93}">
      <formula1>$N$7:$Q$7</formula1>
    </dataValidation>
    <dataValidation type="list" allowBlank="1" showInputMessage="1" showErrorMessage="1" sqref="D7" xr:uid="{BF40008B-2D18-40E1-9022-4D8BAA0AD039}">
      <formula1>$N$11:$O$11</formula1>
    </dataValidation>
  </dataValidations>
  <pageMargins left="0.7" right="0.7" top="0.75" bottom="0.75" header="0.3" footer="0.3"/>
  <pageSetup orientation="portrait" r:id="rId1"/>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05B1C-5C82-4084-A59E-7A547D5D183F}">
  <sheetPr codeName="Sheet140">
    <tabColor indexed="60"/>
  </sheetPr>
  <dimension ref="A1:AQ172"/>
  <sheetViews>
    <sheetView topLeftCell="A84" zoomScale="85" zoomScaleNormal="85" workbookViewId="0">
      <selection activeCell="C77" sqref="C77"/>
    </sheetView>
  </sheetViews>
  <sheetFormatPr defaultColWidth="8.85546875" defaultRowHeight="15"/>
  <cols>
    <col min="1" max="1" width="3.5703125" style="1" customWidth="1"/>
    <col min="2" max="2" width="27.42578125" style="1" customWidth="1"/>
    <col min="3" max="3" width="30.85546875"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16.85546875" style="1" customWidth="1"/>
    <col min="10" max="10" width="33.42578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Pre-Rinse Spray Valves</v>
      </c>
      <c r="C7" s="98" t="s">
        <v>1940</v>
      </c>
      <c r="D7" s="97" t="s">
        <v>211</v>
      </c>
      <c r="E7" s="97">
        <f>C124</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Pre-Rinse Spray Valves_CI, E - HWat  (RET)</v>
      </c>
      <c r="J11" s="83" t="str">
        <f t="shared" ref="J11:J20" si="3">IF(B11="","",CONCATENATE($C$7,IF(C11="","",CONCATENATE(" with ",C11," Secondary Fuel"))))</f>
        <v>High Efficiency Pre-Rinse Spray Valve</v>
      </c>
      <c r="K11" s="83"/>
      <c r="M11" s="94" t="s">
        <v>123</v>
      </c>
      <c r="N11" s="93" t="s">
        <v>212</v>
      </c>
      <c r="O11" s="93" t="s">
        <v>211</v>
      </c>
    </row>
    <row r="12" spans="1:17">
      <c r="A12" s="1">
        <v>2</v>
      </c>
      <c r="B12" s="97" t="s">
        <v>227</v>
      </c>
      <c r="C12" s="97"/>
      <c r="D12" s="97" t="s">
        <v>113</v>
      </c>
      <c r="E12" s="99" t="s">
        <v>204</v>
      </c>
      <c r="F12" s="99"/>
      <c r="G12" s="83" t="str">
        <f t="shared" si="0"/>
        <v>P</v>
      </c>
      <c r="H12" s="83" t="str">
        <f t="shared" si="1"/>
        <v xml:space="preserve">HWat </v>
      </c>
      <c r="I12" s="83" t="str">
        <f t="shared" ca="1" si="2"/>
        <v>CI Pre-Rinse Spray Valves_CI, P - HWat  (RET)</v>
      </c>
      <c r="J12" s="83" t="str">
        <f t="shared" si="3"/>
        <v>High Efficiency Pre-Rinse Spray Valve</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Pre-Rinse Spray Valves_CI, E - HWat  (RET)</v>
      </c>
      <c r="D33" s="83" t="str">
        <f t="shared" ca="1" si="5"/>
        <v>CI Pre-Rinse Spray Valves_CI,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Pre-Rinse Spray Valves_CI, E - HWat  (RET)</v>
      </c>
      <c r="N33" s="84" t="str">
        <f t="shared" ca="1" si="6"/>
        <v>CI Pre-Rinse Spray Valves_CI,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High Efficiency Pre-Rinse Spray Valve</v>
      </c>
      <c r="D34" s="83" t="str">
        <f t="shared" si="8"/>
        <v>High Efficiency Pre-Rinse Spray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Pre-Rinse Spray Valves_CI, E - HWat  (RET)</v>
      </c>
      <c r="D35" s="82" t="str">
        <f ca="1">D33</f>
        <v>CI Pre-Rinse Spray Valves_CI,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High Efficiency Pre-Rinse Spray Valve</v>
      </c>
      <c r="D36" s="65" t="str">
        <f>D34</f>
        <v>High Efficiency Pre-Rinse Spray Valve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1939</v>
      </c>
      <c r="D38" s="82" t="s">
        <v>1939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High Efficiency Pre-Rinse Spray Valve</v>
      </c>
      <c r="D52" s="66" t="str">
        <f t="shared" si="15"/>
        <v>High Efficiency Pre-Rinse Spray Valve</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s">
        <v>204</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1938</v>
      </c>
      <c r="D55" s="65" t="s">
        <v>1938</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1937</v>
      </c>
      <c r="D56" s="65" t="s">
        <v>1937</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187</v>
      </c>
      <c r="D59" s="82" t="s">
        <v>187</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F144</f>
        <v>4219.3382180539284</v>
      </c>
      <c r="D64" s="67">
        <f>F153</f>
        <v>176.35567950000001</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67">
        <f>H144</f>
        <v>0</v>
      </c>
      <c r="D65" s="67">
        <f>H153</f>
        <v>0</v>
      </c>
      <c r="E65" s="65"/>
      <c r="F65" s="73"/>
      <c r="G65" s="73"/>
      <c r="H65" s="67"/>
      <c r="I65" s="65"/>
      <c r="J65" s="65"/>
      <c r="K65" s="65"/>
      <c r="L65" s="65"/>
      <c r="M65" s="69" t="s">
        <v>1936</v>
      </c>
      <c r="N65" s="69" t="s">
        <v>1936</v>
      </c>
      <c r="O65" s="69"/>
      <c r="P65" s="69"/>
      <c r="Q65" s="69"/>
      <c r="R65" s="69"/>
      <c r="S65" s="69"/>
      <c r="T65" s="69"/>
      <c r="U65" s="69"/>
      <c r="V65" s="69"/>
    </row>
    <row r="66" spans="1:22">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C125</f>
        <v>54</v>
      </c>
      <c r="D68" s="71">
        <f>C125</f>
        <v>54</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J144</f>
        <v>2.6808951697389827E-2</v>
      </c>
      <c r="D69" s="70">
        <f>J153</f>
        <v>0.64140851490274009</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High Efficiency Pre-Rinse Spray Valve</v>
      </c>
      <c r="D71" s="66" t="str">
        <f t="shared" si="21"/>
        <v>High Efficiency Pre-Rinse Spray Valve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f>C39</f>
        <v>5</v>
      </c>
      <c r="D76" s="65">
        <f>C76</f>
        <v>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282">
        <f>ROUND(2/3*C76,0)</f>
        <v>3</v>
      </c>
      <c r="D77" s="65">
        <f>C77</f>
        <v>3</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267" t="e">
        <f>#REF!</f>
        <v>#REF!</v>
      </c>
      <c r="D78" s="65" t="e">
        <f>C78</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266" t="e">
        <f>C78/C64</f>
        <v>#REF!</v>
      </c>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8" t="e">
        <f>#REF!/#REF!</f>
        <v>#REF!</v>
      </c>
      <c r="D80" s="68" t="e">
        <f>#REF!/#REF!</f>
        <v>#REF!</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c r="A102" s="1">
        <f t="shared" si="25"/>
        <v>70</v>
      </c>
      <c r="B102" s="65" t="s">
        <v>52</v>
      </c>
      <c r="C102" s="79" t="e">
        <f>#REF!</f>
        <v>#REF!</v>
      </c>
      <c r="D102" s="79" t="e">
        <f>#REF!</f>
        <v>#REF!</v>
      </c>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5"/>
        <v>71</v>
      </c>
      <c r="B103" s="65" t="s">
        <v>51</v>
      </c>
      <c r="C103" s="282" t="e">
        <f>C102/C64</f>
        <v>#REF!</v>
      </c>
      <c r="D103" s="282" t="e">
        <f>D102/D64</f>
        <v>#REF!</v>
      </c>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t="s">
        <v>1935</v>
      </c>
    </row>
    <row r="106" spans="1:23">
      <c r="B106" t="s">
        <v>1934</v>
      </c>
    </row>
    <row r="107" spans="1:23">
      <c r="B107" t="s">
        <v>1933</v>
      </c>
    </row>
    <row r="109" spans="1:23" s="63" customFormat="1" ht="15.75" thickBot="1">
      <c r="B109" s="63" t="s">
        <v>50</v>
      </c>
    </row>
    <row r="111" spans="1:23">
      <c r="B111" s="94" t="s">
        <v>520</v>
      </c>
      <c r="C111" s="94" t="s">
        <v>410</v>
      </c>
      <c r="D111" s="94" t="s">
        <v>409</v>
      </c>
      <c r="E111" s="94" t="s">
        <v>1676</v>
      </c>
      <c r="S111" s="27"/>
      <c r="T111" s="27"/>
      <c r="U111" s="27"/>
      <c r="V111" s="26"/>
      <c r="W111" s="26"/>
    </row>
    <row r="112" spans="1:23">
      <c r="B112" s="93" t="s">
        <v>249</v>
      </c>
      <c r="C112" s="93" t="s">
        <v>1932</v>
      </c>
      <c r="D112" s="93" t="s">
        <v>1918</v>
      </c>
      <c r="E112" s="286" t="s">
        <v>1931</v>
      </c>
      <c r="S112" s="27"/>
      <c r="T112" s="27"/>
      <c r="U112" s="27"/>
      <c r="V112" s="26"/>
      <c r="W112" s="26"/>
    </row>
    <row r="113" spans="2:40">
      <c r="B113" s="93" t="s">
        <v>689</v>
      </c>
      <c r="C113" s="93">
        <f>C114+70</f>
        <v>120.7</v>
      </c>
      <c r="D113" s="93" t="s">
        <v>1918</v>
      </c>
      <c r="E113" s="286" t="s">
        <v>1930</v>
      </c>
      <c r="S113" s="27"/>
      <c r="T113" s="27"/>
      <c r="U113" s="27"/>
      <c r="V113" s="26"/>
      <c r="W113" s="26"/>
    </row>
    <row r="114" spans="2:40">
      <c r="B114" s="93" t="s">
        <v>687</v>
      </c>
      <c r="C114" s="93">
        <v>50.7</v>
      </c>
      <c r="D114" s="93" t="s">
        <v>1918</v>
      </c>
      <c r="E114" s="286" t="s">
        <v>1929</v>
      </c>
      <c r="S114" s="27"/>
      <c r="T114" s="27"/>
      <c r="U114" s="27"/>
      <c r="V114" s="26"/>
      <c r="W114" s="26"/>
    </row>
    <row r="115" spans="2:40">
      <c r="B115" s="93" t="s">
        <v>1928</v>
      </c>
      <c r="C115" s="93">
        <v>0.98</v>
      </c>
      <c r="D115" s="93" t="s">
        <v>1918</v>
      </c>
      <c r="E115" s="286" t="s">
        <v>1927</v>
      </c>
      <c r="S115" s="27"/>
      <c r="T115" s="27"/>
      <c r="U115" s="27"/>
      <c r="V115" s="26"/>
      <c r="W115" s="26"/>
    </row>
    <row r="116" spans="2:40">
      <c r="B116" s="93" t="s">
        <v>2125</v>
      </c>
      <c r="C116" s="93">
        <v>0.8</v>
      </c>
      <c r="D116" s="93" t="s">
        <v>1918</v>
      </c>
      <c r="E116" s="286"/>
      <c r="S116" s="27"/>
      <c r="T116" s="27"/>
      <c r="U116" s="27"/>
      <c r="V116" s="26"/>
      <c r="W116" s="26"/>
    </row>
    <row r="117" spans="2:40">
      <c r="B117" s="93" t="s">
        <v>2124</v>
      </c>
      <c r="C117" s="93">
        <v>1</v>
      </c>
      <c r="D117" s="93" t="s">
        <v>1918</v>
      </c>
      <c r="E117" s="93"/>
      <c r="S117" s="27"/>
      <c r="T117" s="27"/>
      <c r="U117" s="27"/>
      <c r="V117" s="26"/>
      <c r="W117" s="26"/>
    </row>
    <row r="118" spans="2:40">
      <c r="B118" s="93" t="s">
        <v>2126</v>
      </c>
      <c r="C118" s="93">
        <v>0</v>
      </c>
      <c r="D118" s="93" t="s">
        <v>1918</v>
      </c>
      <c r="E118" s="93"/>
      <c r="S118" s="27"/>
      <c r="T118" s="27"/>
      <c r="U118" s="27"/>
      <c r="V118" s="26"/>
      <c r="W118" s="26"/>
    </row>
    <row r="119" spans="2:40">
      <c r="B119" s="93" t="s">
        <v>1926</v>
      </c>
      <c r="C119" s="93">
        <v>5010</v>
      </c>
      <c r="D119" s="93" t="s">
        <v>1918</v>
      </c>
      <c r="E119" s="93" t="s">
        <v>1925</v>
      </c>
      <c r="S119" s="27"/>
      <c r="T119" s="27"/>
      <c r="U119" s="27"/>
      <c r="V119" s="26"/>
      <c r="W119" s="26"/>
    </row>
    <row r="120" spans="2:40">
      <c r="B120" s="93" t="s">
        <v>1917</v>
      </c>
      <c r="C120" s="93" t="s">
        <v>35</v>
      </c>
      <c r="D120" s="93" t="s">
        <v>1918</v>
      </c>
      <c r="E120" s="286" t="s">
        <v>1924</v>
      </c>
      <c r="S120" s="27"/>
      <c r="T120" s="27"/>
      <c r="U120" s="27"/>
      <c r="V120" s="27"/>
      <c r="W120" s="27"/>
    </row>
    <row r="121" spans="2:40">
      <c r="B121" s="354" t="s">
        <v>1923</v>
      </c>
      <c r="C121" s="354">
        <v>0.98</v>
      </c>
      <c r="D121" s="93" t="s">
        <v>1918</v>
      </c>
      <c r="E121" s="286" t="s">
        <v>1922</v>
      </c>
      <c r="F121" s="26"/>
      <c r="G121" s="26"/>
      <c r="H121" s="26"/>
      <c r="I121" s="26"/>
      <c r="J121" s="26"/>
      <c r="K121" s="26"/>
      <c r="L121" s="26"/>
      <c r="M121" s="2"/>
      <c r="N121" s="26"/>
      <c r="O121" s="26"/>
      <c r="P121" s="26"/>
      <c r="Q121" s="26"/>
      <c r="R121" s="213"/>
      <c r="S121" s="26"/>
      <c r="T121" s="26"/>
      <c r="U121" s="27"/>
      <c r="V121" s="2"/>
      <c r="W121" s="26"/>
      <c r="X121" s="26"/>
      <c r="Y121" s="26"/>
      <c r="Z121" s="26"/>
      <c r="AA121" s="213"/>
      <c r="AB121" s="26"/>
      <c r="AC121" s="26"/>
      <c r="AD121" s="27"/>
      <c r="AE121" s="2"/>
      <c r="AF121" s="26"/>
      <c r="AG121" s="26"/>
      <c r="AH121" s="26"/>
      <c r="AI121" s="26"/>
      <c r="AJ121" s="213"/>
      <c r="AK121" s="26"/>
      <c r="AL121" s="26"/>
      <c r="AM121" s="27"/>
      <c r="AN121" s="26"/>
    </row>
    <row r="122" spans="2:40">
      <c r="B122" s="595" t="s">
        <v>1028</v>
      </c>
      <c r="C122" s="595" t="s">
        <v>35</v>
      </c>
      <c r="D122" s="93" t="s">
        <v>1918</v>
      </c>
      <c r="E122" s="286" t="s">
        <v>1921</v>
      </c>
      <c r="F122" s="561"/>
      <c r="G122" s="561"/>
      <c r="H122" s="561"/>
      <c r="I122" s="561"/>
      <c r="J122" s="561"/>
      <c r="K122" s="560"/>
      <c r="L122" s="561"/>
      <c r="M122" s="561"/>
      <c r="N122" s="561"/>
      <c r="O122" s="561"/>
      <c r="P122" s="561"/>
      <c r="Q122" s="560"/>
      <c r="R122" s="560"/>
      <c r="S122" s="560"/>
      <c r="T122" s="560"/>
      <c r="U122" s="560"/>
      <c r="V122" s="560"/>
      <c r="W122" s="560"/>
      <c r="X122" s="560"/>
      <c r="Y122" s="560"/>
      <c r="Z122" s="560"/>
      <c r="AA122" s="560"/>
      <c r="AB122" s="560"/>
      <c r="AC122" s="560"/>
      <c r="AD122" s="560"/>
      <c r="AE122" s="560"/>
      <c r="AF122" s="560"/>
      <c r="AG122" s="560"/>
      <c r="AH122" s="560"/>
      <c r="AI122" s="560"/>
      <c r="AJ122" s="560"/>
      <c r="AK122" s="560"/>
      <c r="AL122" s="560"/>
      <c r="AM122" s="560"/>
      <c r="AN122" s="460"/>
    </row>
    <row r="123" spans="2:40">
      <c r="B123" s="354" t="s">
        <v>1920</v>
      </c>
      <c r="C123" s="354">
        <v>312</v>
      </c>
      <c r="D123" s="93" t="s">
        <v>1918</v>
      </c>
      <c r="E123" s="286" t="s">
        <v>1919</v>
      </c>
      <c r="F123" s="296"/>
      <c r="G123" s="252"/>
      <c r="H123" s="296"/>
      <c r="I123" s="296"/>
      <c r="J123" s="296"/>
      <c r="K123" s="27"/>
      <c r="L123" s="571"/>
      <c r="M123" s="296"/>
      <c r="N123" s="296"/>
      <c r="O123" s="231"/>
      <c r="P123" s="569"/>
      <c r="Q123" s="292"/>
      <c r="R123" s="292"/>
      <c r="S123" s="558"/>
      <c r="T123" s="229"/>
      <c r="U123" s="229"/>
      <c r="V123" s="249"/>
      <c r="W123" s="296"/>
      <c r="X123" s="231"/>
      <c r="Y123" s="569"/>
      <c r="Z123" s="292"/>
      <c r="AA123" s="292"/>
      <c r="AB123" s="558"/>
      <c r="AC123" s="568"/>
      <c r="AD123" s="229"/>
      <c r="AE123" s="296"/>
      <c r="AF123" s="296"/>
      <c r="AG123" s="231"/>
      <c r="AH123" s="569"/>
      <c r="AI123" s="292"/>
      <c r="AJ123" s="292"/>
      <c r="AK123" s="558"/>
      <c r="AL123" s="568"/>
      <c r="AM123" s="568"/>
      <c r="AN123" s="26"/>
    </row>
    <row r="124" spans="2:40">
      <c r="B124" s="354" t="s">
        <v>518</v>
      </c>
      <c r="C124" s="354">
        <v>5</v>
      </c>
      <c r="D124" s="93" t="s">
        <v>1918</v>
      </c>
      <c r="E124" s="586"/>
      <c r="F124" s="296"/>
      <c r="G124" s="252"/>
      <c r="H124" s="296"/>
      <c r="I124" s="296"/>
      <c r="J124" s="296"/>
      <c r="K124" s="27"/>
      <c r="L124" s="567"/>
      <c r="M124" s="296"/>
      <c r="N124" s="296"/>
      <c r="O124" s="231"/>
      <c r="P124" s="569"/>
      <c r="Q124" s="292"/>
      <c r="R124" s="292"/>
      <c r="S124" s="558"/>
      <c r="T124" s="229"/>
      <c r="U124" s="229"/>
      <c r="V124" s="249"/>
      <c r="W124" s="296"/>
      <c r="X124" s="231"/>
      <c r="Y124" s="569"/>
      <c r="Z124" s="292"/>
      <c r="AA124" s="292"/>
      <c r="AB124" s="558"/>
      <c r="AC124" s="568"/>
      <c r="AD124" s="229"/>
      <c r="AE124" s="296"/>
      <c r="AF124" s="296"/>
      <c r="AG124" s="231"/>
      <c r="AH124" s="569"/>
      <c r="AI124" s="292"/>
      <c r="AJ124" s="292"/>
      <c r="AK124" s="558"/>
      <c r="AL124" s="568"/>
      <c r="AM124" s="568"/>
      <c r="AN124" s="26"/>
    </row>
    <row r="125" spans="2:40">
      <c r="B125" s="354" t="s">
        <v>438</v>
      </c>
      <c r="C125" s="594">
        <v>54</v>
      </c>
      <c r="D125" s="93" t="s">
        <v>1918</v>
      </c>
      <c r="E125" s="586"/>
      <c r="F125" s="296"/>
      <c r="G125" s="252"/>
      <c r="H125" s="296"/>
      <c r="I125" s="296"/>
      <c r="J125" s="296"/>
      <c r="K125" s="27"/>
      <c r="L125" s="567"/>
      <c r="M125" s="296"/>
      <c r="N125" s="296"/>
      <c r="O125" s="231"/>
      <c r="P125" s="569"/>
      <c r="Q125" s="292"/>
      <c r="R125" s="292"/>
      <c r="S125" s="558"/>
      <c r="T125" s="229"/>
      <c r="U125" s="229"/>
      <c r="V125" s="249"/>
      <c r="W125" s="296"/>
      <c r="X125" s="231"/>
      <c r="Y125" s="569"/>
      <c r="Z125" s="292"/>
      <c r="AA125" s="292"/>
      <c r="AB125" s="558"/>
      <c r="AC125" s="568"/>
      <c r="AD125" s="229"/>
      <c r="AE125" s="296"/>
      <c r="AF125" s="296"/>
      <c r="AG125" s="231"/>
      <c r="AH125" s="569"/>
      <c r="AI125" s="292"/>
      <c r="AJ125" s="292"/>
      <c r="AK125" s="558"/>
      <c r="AL125" s="568"/>
      <c r="AM125" s="568"/>
      <c r="AN125" s="26"/>
    </row>
    <row r="126" spans="2:40">
      <c r="B126" s="302"/>
      <c r="C126" s="302"/>
      <c r="E126" s="303"/>
      <c r="F126" s="296"/>
      <c r="G126" s="252"/>
      <c r="H126" s="296"/>
      <c r="I126" s="296"/>
      <c r="J126" s="296"/>
      <c r="K126" s="27"/>
      <c r="L126" s="567"/>
      <c r="M126" s="296"/>
      <c r="N126" s="296"/>
      <c r="O126" s="231"/>
      <c r="P126" s="569"/>
      <c r="Q126" s="292"/>
      <c r="R126" s="292"/>
      <c r="S126" s="558"/>
      <c r="T126" s="229"/>
      <c r="U126" s="229"/>
      <c r="V126" s="249"/>
      <c r="W126" s="296"/>
      <c r="X126" s="231"/>
      <c r="Y126" s="569"/>
      <c r="Z126" s="292"/>
      <c r="AA126" s="292"/>
      <c r="AB126" s="558"/>
      <c r="AC126" s="568"/>
      <c r="AD126" s="229"/>
      <c r="AE126" s="296"/>
      <c r="AF126" s="296"/>
      <c r="AG126" s="231"/>
      <c r="AH126" s="569"/>
      <c r="AI126" s="292"/>
      <c r="AJ126" s="292"/>
      <c r="AK126" s="558"/>
      <c r="AL126" s="568"/>
      <c r="AM126" s="568"/>
      <c r="AN126" s="26"/>
    </row>
    <row r="127" spans="2:40">
      <c r="B127" s="302"/>
      <c r="C127" s="302"/>
      <c r="D127" s="302"/>
      <c r="E127" s="303"/>
      <c r="F127" s="296"/>
      <c r="G127" s="252"/>
      <c r="H127" s="296"/>
      <c r="I127" s="296"/>
      <c r="J127" s="296"/>
      <c r="K127" s="27"/>
      <c r="L127" s="567"/>
      <c r="M127" s="296"/>
      <c r="N127" s="296"/>
      <c r="O127" s="231"/>
      <c r="P127" s="569"/>
      <c r="Q127" s="292"/>
      <c r="R127" s="292"/>
      <c r="S127" s="558"/>
      <c r="T127" s="229"/>
      <c r="U127" s="229"/>
      <c r="V127" s="249"/>
      <c r="W127" s="296"/>
      <c r="X127" s="231"/>
      <c r="Y127" s="569"/>
      <c r="Z127" s="292"/>
      <c r="AA127" s="292"/>
      <c r="AB127" s="558"/>
      <c r="AC127" s="568"/>
      <c r="AD127" s="229"/>
      <c r="AE127" s="296"/>
      <c r="AF127" s="296"/>
      <c r="AG127" s="231"/>
      <c r="AH127" s="569"/>
      <c r="AI127" s="292"/>
      <c r="AJ127" s="292"/>
      <c r="AK127" s="558"/>
      <c r="AL127" s="568"/>
      <c r="AM127" s="568"/>
      <c r="AN127" s="26"/>
    </row>
    <row r="128" spans="2:40">
      <c r="B128" s="591" t="s">
        <v>208</v>
      </c>
      <c r="C128" s="591" t="s">
        <v>1917</v>
      </c>
      <c r="D128" s="302"/>
      <c r="E128" s="303"/>
      <c r="F128" s="303"/>
      <c r="G128" s="304"/>
      <c r="H128" s="303"/>
      <c r="I128" s="303"/>
      <c r="J128" s="303"/>
      <c r="K128" s="27"/>
      <c r="L128" s="567"/>
      <c r="M128" s="296"/>
      <c r="N128" s="296"/>
      <c r="O128" s="231"/>
      <c r="P128" s="569"/>
      <c r="Q128" s="292"/>
      <c r="R128" s="292"/>
      <c r="S128" s="558"/>
      <c r="T128" s="229"/>
      <c r="U128" s="229"/>
      <c r="V128" s="249"/>
      <c r="W128" s="296"/>
      <c r="X128" s="231"/>
      <c r="Y128" s="569"/>
      <c r="Z128" s="292"/>
      <c r="AA128" s="292"/>
      <c r="AB128" s="558"/>
      <c r="AC128" s="568"/>
      <c r="AD128" s="229"/>
      <c r="AE128" s="296"/>
      <c r="AF128" s="296"/>
      <c r="AG128" s="231"/>
      <c r="AH128" s="569"/>
      <c r="AI128" s="292"/>
      <c r="AJ128" s="292"/>
      <c r="AK128" s="558"/>
      <c r="AL128" s="568"/>
      <c r="AM128" s="568"/>
      <c r="AN128" s="26"/>
    </row>
    <row r="129" spans="2:40">
      <c r="B129" s="354" t="s">
        <v>1057</v>
      </c>
      <c r="C129" s="354">
        <v>1.23</v>
      </c>
      <c r="D129" s="302"/>
      <c r="E129" s="303"/>
      <c r="F129" s="303"/>
      <c r="G129" s="304"/>
      <c r="H129" s="303"/>
      <c r="I129" s="303"/>
      <c r="J129" s="303"/>
      <c r="K129" s="27"/>
      <c r="L129" s="571"/>
      <c r="M129" s="296"/>
      <c r="N129" s="296"/>
      <c r="O129" s="231"/>
      <c r="P129" s="569"/>
      <c r="Q129" s="292"/>
      <c r="R129" s="292"/>
      <c r="S129" s="558"/>
      <c r="T129" s="229"/>
      <c r="U129" s="229"/>
      <c r="V129" s="249"/>
      <c r="W129" s="296"/>
      <c r="X129" s="231"/>
      <c r="Y129" s="569"/>
      <c r="Z129" s="292"/>
      <c r="AA129" s="292"/>
      <c r="AB129" s="558"/>
      <c r="AC129" s="568"/>
      <c r="AD129" s="229"/>
      <c r="AE129" s="296"/>
      <c r="AF129" s="296"/>
      <c r="AG129" s="231"/>
      <c r="AH129" s="569"/>
      <c r="AI129" s="292"/>
      <c r="AJ129" s="292"/>
      <c r="AK129" s="558"/>
      <c r="AL129" s="568"/>
      <c r="AM129" s="568"/>
      <c r="AN129" s="26"/>
    </row>
    <row r="130" spans="2:40">
      <c r="B130" s="354" t="s">
        <v>1913</v>
      </c>
      <c r="C130" s="354">
        <v>2.14</v>
      </c>
      <c r="D130" s="302"/>
      <c r="E130" s="303"/>
      <c r="F130" s="303"/>
      <c r="G130" s="304"/>
      <c r="H130" s="303"/>
      <c r="I130" s="303"/>
      <c r="J130" s="303"/>
      <c r="K130" s="27"/>
      <c r="L130" s="567"/>
      <c r="M130" s="296"/>
      <c r="N130" s="296"/>
      <c r="O130" s="231"/>
      <c r="P130" s="569"/>
      <c r="Q130" s="292"/>
      <c r="R130" s="292"/>
      <c r="S130" s="558"/>
      <c r="T130" s="229"/>
      <c r="U130" s="229"/>
      <c r="V130" s="249"/>
      <c r="W130" s="296"/>
      <c r="X130" s="231"/>
      <c r="Y130" s="569"/>
      <c r="Z130" s="292"/>
      <c r="AA130" s="292"/>
      <c r="AB130" s="558"/>
      <c r="AC130" s="568"/>
      <c r="AD130" s="229"/>
      <c r="AE130" s="296"/>
      <c r="AF130" s="296"/>
      <c r="AG130" s="231"/>
      <c r="AH130" s="569"/>
      <c r="AI130" s="292"/>
      <c r="AJ130" s="292"/>
      <c r="AK130" s="558"/>
      <c r="AL130" s="568"/>
      <c r="AM130" s="568"/>
      <c r="AN130" s="26"/>
    </row>
    <row r="131" spans="2:40">
      <c r="B131" s="302"/>
      <c r="C131" s="302"/>
      <c r="D131" s="302"/>
      <c r="E131" s="303"/>
      <c r="F131" s="303"/>
      <c r="G131" s="304"/>
      <c r="H131" s="303"/>
      <c r="I131" s="303"/>
      <c r="J131" s="303"/>
      <c r="K131" s="27"/>
      <c r="L131" s="567"/>
      <c r="M131" s="296"/>
      <c r="N131" s="296"/>
      <c r="O131" s="231"/>
      <c r="P131" s="569"/>
      <c r="Q131" s="292"/>
      <c r="R131" s="292"/>
      <c r="S131" s="558"/>
      <c r="T131" s="229"/>
      <c r="U131" s="229"/>
      <c r="V131" s="249"/>
      <c r="W131" s="296"/>
      <c r="X131" s="231"/>
      <c r="Y131" s="569"/>
      <c r="Z131" s="292"/>
      <c r="AA131" s="292"/>
      <c r="AB131" s="558"/>
      <c r="AC131" s="568"/>
      <c r="AD131" s="229"/>
      <c r="AE131" s="296"/>
      <c r="AF131" s="296"/>
      <c r="AG131" s="231"/>
      <c r="AH131" s="569"/>
      <c r="AI131" s="292"/>
      <c r="AJ131" s="292"/>
      <c r="AK131" s="558"/>
      <c r="AL131" s="568"/>
      <c r="AM131" s="568"/>
      <c r="AN131" s="26"/>
    </row>
    <row r="132" spans="2:40">
      <c r="B132" s="591" t="s">
        <v>579</v>
      </c>
      <c r="C132" s="591" t="s">
        <v>1028</v>
      </c>
      <c r="D132" s="302"/>
      <c r="E132" s="303"/>
      <c r="F132" s="303"/>
      <c r="G132" s="304"/>
      <c r="H132" s="303"/>
      <c r="I132" s="303"/>
      <c r="J132" s="303"/>
      <c r="K132" s="27"/>
      <c r="L132" s="567"/>
      <c r="M132" s="296"/>
      <c r="N132" s="296"/>
      <c r="O132" s="231"/>
      <c r="P132" s="569"/>
      <c r="Q132" s="292"/>
      <c r="R132" s="292"/>
      <c r="S132" s="558"/>
      <c r="T132" s="229"/>
      <c r="U132" s="229"/>
      <c r="V132" s="249"/>
      <c r="W132" s="296"/>
      <c r="X132" s="231"/>
      <c r="Y132" s="569"/>
      <c r="Z132" s="292"/>
      <c r="AA132" s="292"/>
      <c r="AB132" s="558"/>
      <c r="AC132" s="568"/>
      <c r="AD132" s="229"/>
      <c r="AE132" s="296"/>
      <c r="AF132" s="296"/>
      <c r="AG132" s="231"/>
      <c r="AH132" s="569"/>
      <c r="AI132" s="292"/>
      <c r="AJ132" s="292"/>
      <c r="AK132" s="558"/>
      <c r="AL132" s="568"/>
      <c r="AM132" s="568"/>
      <c r="AN132" s="26"/>
    </row>
    <row r="133" spans="2:40">
      <c r="B133" s="498" t="s">
        <v>1915</v>
      </c>
      <c r="C133" s="354">
        <v>1</v>
      </c>
      <c r="D133" s="302"/>
      <c r="E133" s="303"/>
      <c r="F133" s="303"/>
      <c r="G133" s="304"/>
      <c r="H133" s="303"/>
      <c r="I133" s="303"/>
      <c r="J133" s="303"/>
      <c r="K133" s="27"/>
      <c r="L133" s="567"/>
      <c r="M133" s="296"/>
      <c r="N133" s="296"/>
      <c r="O133" s="231"/>
      <c r="P133" s="569"/>
      <c r="Q133" s="292"/>
      <c r="R133" s="292"/>
      <c r="S133" s="558"/>
      <c r="T133" s="229"/>
      <c r="U133" s="229"/>
      <c r="V133" s="249"/>
      <c r="W133" s="296"/>
      <c r="X133" s="231"/>
      <c r="Y133" s="569"/>
      <c r="Z133" s="292"/>
      <c r="AA133" s="292"/>
      <c r="AB133" s="558"/>
      <c r="AC133" s="568"/>
      <c r="AD133" s="229"/>
      <c r="AE133" s="296"/>
      <c r="AF133" s="296"/>
      <c r="AG133" s="231"/>
      <c r="AH133" s="569"/>
      <c r="AI133" s="292"/>
      <c r="AJ133" s="292"/>
      <c r="AK133" s="558"/>
      <c r="AL133" s="568"/>
      <c r="AM133" s="568"/>
      <c r="AN133" s="26"/>
    </row>
    <row r="134" spans="2:40">
      <c r="B134" s="498" t="s">
        <v>1914</v>
      </c>
      <c r="C134" s="354">
        <v>1.5</v>
      </c>
      <c r="D134" s="302"/>
      <c r="E134" s="303"/>
      <c r="F134" s="593"/>
      <c r="G134" s="593"/>
      <c r="H134" s="593"/>
      <c r="I134" s="593"/>
      <c r="J134" s="593"/>
      <c r="K134" s="291"/>
      <c r="L134" s="567"/>
      <c r="M134" s="291"/>
      <c r="N134" s="291"/>
      <c r="O134" s="291"/>
      <c r="P134" s="565"/>
      <c r="Q134" s="564"/>
      <c r="R134" s="563"/>
      <c r="S134" s="290"/>
      <c r="T134" s="562"/>
      <c r="U134" s="503"/>
      <c r="V134" s="566"/>
      <c r="W134" s="291"/>
      <c r="X134" s="291"/>
      <c r="Y134" s="565"/>
      <c r="Z134" s="564"/>
      <c r="AA134" s="563"/>
      <c r="AB134" s="290"/>
      <c r="AC134" s="562"/>
      <c r="AD134" s="503"/>
      <c r="AE134" s="291"/>
      <c r="AF134" s="291"/>
      <c r="AG134" s="291"/>
      <c r="AH134" s="565"/>
      <c r="AI134" s="564"/>
      <c r="AJ134" s="563"/>
      <c r="AK134" s="290"/>
      <c r="AL134" s="562"/>
      <c r="AM134" s="562"/>
      <c r="AN134" s="26"/>
    </row>
    <row r="135" spans="2:40">
      <c r="B135" s="498" t="s">
        <v>1912</v>
      </c>
      <c r="C135" s="354">
        <v>3</v>
      </c>
      <c r="D135" s="302"/>
      <c r="E135" s="302"/>
      <c r="F135" s="302"/>
      <c r="G135" s="302"/>
      <c r="H135" s="302"/>
      <c r="I135" s="364"/>
      <c r="J135" s="302"/>
      <c r="K135" s="26"/>
      <c r="L135" s="26"/>
      <c r="M135" s="26"/>
      <c r="N135" s="26"/>
      <c r="O135" s="26"/>
      <c r="P135" s="26"/>
      <c r="Q135" s="26"/>
      <c r="R135" s="26"/>
      <c r="S135" s="26"/>
      <c r="T135" s="26"/>
      <c r="U135" s="26"/>
      <c r="V135" s="26"/>
      <c r="W135" s="26"/>
    </row>
    <row r="136" spans="2:40">
      <c r="B136" s="302"/>
      <c r="C136" s="302"/>
      <c r="D136" s="302"/>
      <c r="E136" s="380"/>
      <c r="F136" s="341"/>
      <c r="G136" s="341"/>
      <c r="H136" s="341"/>
      <c r="I136" s="592"/>
      <c r="J136" s="592"/>
      <c r="K136" s="561"/>
      <c r="L136" s="560"/>
      <c r="M136" s="561"/>
      <c r="N136" s="560"/>
      <c r="O136" s="560"/>
      <c r="P136" s="26"/>
      <c r="Q136" s="26"/>
      <c r="R136" s="26"/>
      <c r="S136" s="26"/>
      <c r="T136" s="26"/>
      <c r="U136" s="26"/>
      <c r="V136" s="26"/>
      <c r="W136" s="26"/>
    </row>
    <row r="137" spans="2:40">
      <c r="B137" s="591" t="s">
        <v>208</v>
      </c>
      <c r="C137" s="591" t="s">
        <v>579</v>
      </c>
      <c r="D137" s="591" t="s">
        <v>249</v>
      </c>
      <c r="E137" s="589" t="s">
        <v>1916</v>
      </c>
      <c r="F137" s="589" t="s">
        <v>500</v>
      </c>
      <c r="G137" s="589" t="s">
        <v>499</v>
      </c>
      <c r="H137" s="589" t="s">
        <v>244</v>
      </c>
      <c r="I137" s="590" t="s">
        <v>9</v>
      </c>
      <c r="J137" s="590" t="s">
        <v>8</v>
      </c>
      <c r="K137" s="589" t="s">
        <v>7</v>
      </c>
      <c r="L137" s="558"/>
      <c r="M137" s="296"/>
      <c r="N137" s="229"/>
      <c r="O137" s="229"/>
      <c r="P137" s="26"/>
      <c r="Q137" s="26"/>
      <c r="R137" s="26"/>
      <c r="S137" s="26"/>
      <c r="T137" s="26"/>
      <c r="U137" s="26"/>
      <c r="V137" s="26"/>
      <c r="W137" s="26"/>
    </row>
    <row r="138" spans="2:40">
      <c r="B138" s="354" t="s">
        <v>1057</v>
      </c>
      <c r="C138" s="498" t="s">
        <v>1915</v>
      </c>
      <c r="D138" s="354">
        <f t="shared" ref="D138:D143" si="26">(VLOOKUP(B138,$B$128:$C$130,2,FALSE)-$C$121)*60*$C$123*VLOOKUP(C138,$B$132:$C$135,2,FALSE)</f>
        <v>4680</v>
      </c>
      <c r="E138" s="586">
        <f t="shared" ref="E138:E143" si="27">D138*$C$119/1000000</f>
        <v>23.4468</v>
      </c>
      <c r="F138" s="586">
        <f t="shared" ref="F138:F143" si="28">D138*8.33*($C$113-$C$114)*$C$117/($C$115*3412)</f>
        <v>816.11957796014076</v>
      </c>
      <c r="G138" s="586"/>
      <c r="H138" s="586"/>
      <c r="I138" s="588"/>
      <c r="J138" s="587">
        <f t="shared" ref="J138:J143" si="29">$C$125/F138</f>
        <v>6.6166774402068515E-2</v>
      </c>
      <c r="K138" s="619">
        <f t="shared" ref="K138:K143" si="30">1/COUNT($J$138:$J$143)</f>
        <v>0.16666666666666666</v>
      </c>
      <c r="L138" s="558"/>
      <c r="M138" s="296"/>
      <c r="N138" s="229"/>
      <c r="O138" s="229"/>
      <c r="P138" s="26"/>
      <c r="Q138" s="26"/>
      <c r="R138" s="26"/>
      <c r="S138" s="26"/>
      <c r="T138" s="26"/>
      <c r="U138" s="26"/>
      <c r="V138" s="26"/>
      <c r="W138" s="26"/>
    </row>
    <row r="139" spans="2:40">
      <c r="B139" s="354" t="s">
        <v>1057</v>
      </c>
      <c r="C139" s="498" t="s">
        <v>1914</v>
      </c>
      <c r="D139" s="354">
        <f>(VLOOKUP(B139,$B$128:$C$130,2,FALSE)-$C$121)*60*$C$123*VLOOKUP(C139,$B$132:$C$135,2,FALSE)</f>
        <v>7020</v>
      </c>
      <c r="E139" s="586">
        <f t="shared" si="27"/>
        <v>35.170200000000001</v>
      </c>
      <c r="F139" s="586">
        <f t="shared" si="28"/>
        <v>1224.1793669402111</v>
      </c>
      <c r="G139" s="586"/>
      <c r="H139" s="586"/>
      <c r="I139" s="588"/>
      <c r="J139" s="587">
        <f t="shared" si="29"/>
        <v>4.4111182934712341E-2</v>
      </c>
      <c r="K139" s="619">
        <f t="shared" si="30"/>
        <v>0.16666666666666666</v>
      </c>
      <c r="L139" s="558"/>
      <c r="M139" s="296"/>
      <c r="N139" s="229"/>
      <c r="O139" s="229"/>
      <c r="P139" s="26"/>
      <c r="Q139" s="26"/>
      <c r="R139" s="26"/>
      <c r="S139" s="26"/>
      <c r="T139" s="26"/>
      <c r="U139" s="26"/>
      <c r="V139" s="26"/>
      <c r="W139" s="26"/>
    </row>
    <row r="140" spans="2:40">
      <c r="B140" s="354" t="s">
        <v>1057</v>
      </c>
      <c r="C140" s="498" t="s">
        <v>1912</v>
      </c>
      <c r="D140" s="354">
        <f t="shared" si="26"/>
        <v>14040</v>
      </c>
      <c r="E140" s="586">
        <f t="shared" si="27"/>
        <v>70.340400000000002</v>
      </c>
      <c r="F140" s="586">
        <f t="shared" si="28"/>
        <v>2448.3587338804223</v>
      </c>
      <c r="G140" s="586"/>
      <c r="H140" s="586"/>
      <c r="I140" s="588"/>
      <c r="J140" s="587">
        <f t="shared" si="29"/>
        <v>2.2055591467356171E-2</v>
      </c>
      <c r="K140" s="619">
        <f t="shared" si="30"/>
        <v>0.16666666666666666</v>
      </c>
      <c r="L140" s="558"/>
      <c r="M140" s="296"/>
      <c r="N140" s="229"/>
      <c r="O140" s="229"/>
      <c r="P140" s="26"/>
      <c r="Q140" s="26"/>
      <c r="R140" s="26"/>
      <c r="S140" s="26"/>
      <c r="T140" s="26"/>
      <c r="U140" s="26"/>
      <c r="V140" s="26"/>
      <c r="W140" s="26"/>
    </row>
    <row r="141" spans="2:40">
      <c r="B141" s="354" t="s">
        <v>1913</v>
      </c>
      <c r="C141" s="498" t="s">
        <v>1915</v>
      </c>
      <c r="D141" s="354">
        <f>(VLOOKUP(B141,$B$128:$C$130,2,FALSE)-$C$121)*60*$C$123*VLOOKUP(C141,$B$132:$C$135,2,FALSE)</f>
        <v>21715.200000000004</v>
      </c>
      <c r="E141" s="586">
        <f t="shared" si="27"/>
        <v>108.79315200000002</v>
      </c>
      <c r="F141" s="586">
        <f t="shared" si="28"/>
        <v>3786.794841735054</v>
      </c>
      <c r="G141" s="586"/>
      <c r="H141" s="586"/>
      <c r="I141" s="588"/>
      <c r="J141" s="587">
        <f t="shared" si="29"/>
        <v>1.4260080690100969E-2</v>
      </c>
      <c r="K141" s="619">
        <f t="shared" si="30"/>
        <v>0.16666666666666666</v>
      </c>
      <c r="L141" s="558"/>
      <c r="M141" s="296"/>
      <c r="N141" s="229"/>
      <c r="O141" s="229"/>
      <c r="P141" s="26"/>
      <c r="Q141" s="26"/>
      <c r="R141" s="26"/>
      <c r="S141" s="26"/>
      <c r="T141" s="26"/>
      <c r="U141" s="26"/>
      <c r="V141" s="26"/>
      <c r="W141" s="26"/>
    </row>
    <row r="142" spans="2:40">
      <c r="B142" s="354" t="s">
        <v>1913</v>
      </c>
      <c r="C142" s="498" t="s">
        <v>1914</v>
      </c>
      <c r="D142" s="354">
        <f t="shared" si="26"/>
        <v>32572.800000000007</v>
      </c>
      <c r="E142" s="586">
        <f t="shared" si="27"/>
        <v>163.18972800000003</v>
      </c>
      <c r="F142" s="586">
        <f t="shared" si="28"/>
        <v>5680.1922626025807</v>
      </c>
      <c r="G142" s="586"/>
      <c r="H142" s="586"/>
      <c r="I142" s="588"/>
      <c r="J142" s="587">
        <f t="shared" si="29"/>
        <v>9.5067204600673139E-3</v>
      </c>
      <c r="K142" s="619">
        <f t="shared" si="30"/>
        <v>0.16666666666666666</v>
      </c>
      <c r="L142" s="558"/>
      <c r="M142" s="296"/>
      <c r="N142" s="229"/>
      <c r="O142" s="229"/>
      <c r="P142" s="26"/>
      <c r="Q142" s="26"/>
      <c r="R142" s="26"/>
      <c r="S142" s="26"/>
      <c r="T142" s="26"/>
      <c r="U142" s="26"/>
      <c r="V142" s="26"/>
      <c r="W142" s="26"/>
    </row>
    <row r="143" spans="2:40">
      <c r="B143" s="354" t="s">
        <v>1913</v>
      </c>
      <c r="C143" s="498" t="s">
        <v>1912</v>
      </c>
      <c r="D143" s="354">
        <f t="shared" si="26"/>
        <v>65145.600000000013</v>
      </c>
      <c r="E143" s="586">
        <f t="shared" si="27"/>
        <v>326.37945600000006</v>
      </c>
      <c r="F143" s="586">
        <f t="shared" si="28"/>
        <v>11360.384525205161</v>
      </c>
      <c r="G143" s="586"/>
      <c r="H143" s="586"/>
      <c r="I143" s="588"/>
      <c r="J143" s="587">
        <f t="shared" si="29"/>
        <v>4.7533602300336569E-3</v>
      </c>
      <c r="K143" s="619">
        <f t="shared" si="30"/>
        <v>0.16666666666666666</v>
      </c>
      <c r="L143" s="558"/>
      <c r="M143" s="296"/>
      <c r="N143" s="229"/>
      <c r="O143" s="229"/>
      <c r="P143" s="26"/>
      <c r="Q143" s="26"/>
      <c r="R143" s="26"/>
      <c r="S143" s="26"/>
      <c r="T143" s="26"/>
      <c r="U143" s="26"/>
      <c r="V143" s="26"/>
      <c r="W143" s="26"/>
    </row>
    <row r="144" spans="2:40">
      <c r="B144" s="7" t="s">
        <v>0</v>
      </c>
      <c r="C144" s="7"/>
      <c r="D144" s="7"/>
      <c r="E144" s="7"/>
      <c r="F144" s="7">
        <f>SUMPRODUCT(F138:F143,$K$138:$K$143)</f>
        <v>4219.3382180539284</v>
      </c>
      <c r="G144" s="7">
        <f>SUMPRODUCT(G138:G143,$K$138:$K$143)</f>
        <v>0</v>
      </c>
      <c r="H144" s="7">
        <f>SUMPRODUCT(H138:H143,$K$138:$K$143)</f>
        <v>0</v>
      </c>
      <c r="I144" s="7">
        <f>SUMPRODUCT(I138:I143,$K$138:$K$143)</f>
        <v>0</v>
      </c>
      <c r="J144" s="7">
        <f>SUMPRODUCT(J138:J143,$K$138:$K$143)</f>
        <v>2.6808951697389827E-2</v>
      </c>
      <c r="K144" s="559"/>
      <c r="L144" s="558"/>
      <c r="M144" s="296"/>
      <c r="N144" s="229"/>
      <c r="O144" s="229"/>
      <c r="P144" s="26"/>
      <c r="Q144" s="26"/>
      <c r="R144" s="26"/>
      <c r="S144" s="26"/>
      <c r="T144" s="26"/>
      <c r="U144" s="26"/>
      <c r="V144" s="26"/>
      <c r="W144" s="26"/>
    </row>
    <row r="145" spans="2:23">
      <c r="B145" s="302"/>
      <c r="C145" s="302"/>
      <c r="D145" s="302"/>
      <c r="E145" s="303"/>
      <c r="F145" s="296"/>
      <c r="G145" s="296"/>
      <c r="H145" s="296"/>
      <c r="I145" s="231"/>
      <c r="J145" s="231"/>
      <c r="K145" s="296"/>
      <c r="L145" s="558"/>
      <c r="M145" s="296"/>
      <c r="N145" s="229"/>
      <c r="O145" s="229"/>
      <c r="P145" s="26"/>
      <c r="Q145" s="26"/>
      <c r="R145" s="26"/>
      <c r="S145" s="26"/>
      <c r="T145" s="26"/>
      <c r="U145" s="26"/>
      <c r="V145" s="26"/>
      <c r="W145" s="26"/>
    </row>
    <row r="146" spans="2:23">
      <c r="B146" s="591" t="s">
        <v>208</v>
      </c>
      <c r="C146" s="591" t="s">
        <v>579</v>
      </c>
      <c r="D146" s="591" t="s">
        <v>249</v>
      </c>
      <c r="E146" s="589" t="s">
        <v>1916</v>
      </c>
      <c r="F146" s="589" t="s">
        <v>2017</v>
      </c>
      <c r="G146" s="589" t="s">
        <v>499</v>
      </c>
      <c r="H146" s="589" t="s">
        <v>244</v>
      </c>
      <c r="I146" s="590" t="s">
        <v>9</v>
      </c>
      <c r="J146" s="590" t="s">
        <v>2047</v>
      </c>
      <c r="K146" s="589" t="s">
        <v>7</v>
      </c>
      <c r="L146" s="290"/>
      <c r="M146" s="291"/>
      <c r="N146" s="291"/>
      <c r="O146" s="503"/>
      <c r="P146" s="26"/>
      <c r="Q146" s="26"/>
      <c r="R146" s="26"/>
      <c r="S146" s="26"/>
      <c r="T146" s="26"/>
      <c r="U146" s="26"/>
      <c r="V146" s="26"/>
      <c r="W146" s="26"/>
    </row>
    <row r="147" spans="2:23">
      <c r="B147" s="354" t="s">
        <v>1057</v>
      </c>
      <c r="C147" s="498" t="s">
        <v>1915</v>
      </c>
      <c r="D147" s="354">
        <f t="shared" ref="D147:D152" si="31">(VLOOKUP(B147,$B$128:$C$130,2,FALSE)-$C$121)*60*$C$123*VLOOKUP(C147,$B$132:$C$135,2,FALSE)</f>
        <v>4680</v>
      </c>
      <c r="E147" s="586">
        <f t="shared" ref="E147:E152" si="32">D147*$C$119/1000000</f>
        <v>23.4468</v>
      </c>
      <c r="F147" s="586">
        <f t="shared" ref="F147:F152" si="33">D147*8.33*($C$113-$C$114)/(($C$116*100000*(1-$C$118)))</f>
        <v>34.111350000000002</v>
      </c>
      <c r="G147" s="586"/>
      <c r="H147" s="586"/>
      <c r="I147" s="588"/>
      <c r="J147" s="587">
        <f t="shared" ref="J147:J152" si="34">$C$125/F147</f>
        <v>1.5830508027386778</v>
      </c>
      <c r="K147" s="619">
        <f t="shared" ref="K147:K152" si="35">1/COUNT($J$138:$J$143)</f>
        <v>0.16666666666666666</v>
      </c>
      <c r="L147" s="26"/>
      <c r="M147" s="26"/>
      <c r="N147" s="26"/>
      <c r="O147" s="26"/>
      <c r="P147" s="26"/>
      <c r="Q147" s="26"/>
      <c r="R147" s="26"/>
      <c r="S147" s="26"/>
      <c r="T147" s="26"/>
      <c r="U147" s="26"/>
      <c r="V147" s="26"/>
      <c r="W147" s="26"/>
    </row>
    <row r="148" spans="2:23">
      <c r="B148" s="354" t="s">
        <v>1057</v>
      </c>
      <c r="C148" s="498" t="s">
        <v>1914</v>
      </c>
      <c r="D148" s="354">
        <f t="shared" si="31"/>
        <v>7020</v>
      </c>
      <c r="E148" s="586">
        <f t="shared" si="32"/>
        <v>35.170200000000001</v>
      </c>
      <c r="F148" s="586">
        <f t="shared" si="33"/>
        <v>51.167025000000002</v>
      </c>
      <c r="G148" s="586"/>
      <c r="H148" s="586"/>
      <c r="I148" s="588"/>
      <c r="J148" s="587">
        <f t="shared" si="34"/>
        <v>1.0553672018257851</v>
      </c>
      <c r="K148" s="619">
        <f t="shared" si="35"/>
        <v>0.16666666666666666</v>
      </c>
      <c r="L148" s="26"/>
      <c r="M148" s="26"/>
      <c r="N148" s="26"/>
      <c r="O148" s="27"/>
      <c r="P148" s="27"/>
      <c r="Q148" s="27"/>
      <c r="R148" s="27"/>
      <c r="S148" s="27"/>
      <c r="T148" s="27"/>
      <c r="U148" s="26"/>
      <c r="V148" s="26"/>
      <c r="W148" s="26"/>
    </row>
    <row r="149" spans="2:23">
      <c r="B149" s="354" t="s">
        <v>1057</v>
      </c>
      <c r="C149" s="498" t="s">
        <v>1912</v>
      </c>
      <c r="D149" s="354">
        <f t="shared" si="31"/>
        <v>14040</v>
      </c>
      <c r="E149" s="586">
        <f t="shared" si="32"/>
        <v>70.340400000000002</v>
      </c>
      <c r="F149" s="586">
        <f t="shared" si="33"/>
        <v>102.33405</v>
      </c>
      <c r="G149" s="586"/>
      <c r="H149" s="586"/>
      <c r="I149" s="588"/>
      <c r="J149" s="587">
        <f t="shared" si="34"/>
        <v>0.52768360091289257</v>
      </c>
      <c r="K149" s="619">
        <f t="shared" si="35"/>
        <v>0.16666666666666666</v>
      </c>
      <c r="L149" s="221"/>
      <c r="M149" s="26"/>
      <c r="N149" s="26"/>
      <c r="O149" s="27"/>
      <c r="P149" s="27"/>
      <c r="Q149" s="27"/>
      <c r="R149" s="27"/>
      <c r="S149" s="27"/>
      <c r="T149" s="27"/>
      <c r="U149" s="26"/>
      <c r="V149" s="26"/>
      <c r="W149" s="26"/>
    </row>
    <row r="150" spans="2:23">
      <c r="B150" s="354" t="s">
        <v>1913</v>
      </c>
      <c r="C150" s="498" t="s">
        <v>1915</v>
      </c>
      <c r="D150" s="354">
        <f t="shared" si="31"/>
        <v>21715.200000000004</v>
      </c>
      <c r="E150" s="586">
        <f t="shared" si="32"/>
        <v>108.79315200000002</v>
      </c>
      <c r="F150" s="586">
        <f t="shared" si="33"/>
        <v>158.27666400000004</v>
      </c>
      <c r="G150" s="586"/>
      <c r="H150" s="586"/>
      <c r="I150" s="588"/>
      <c r="J150" s="587">
        <f t="shared" si="34"/>
        <v>0.34117474196954256</v>
      </c>
      <c r="K150" s="619">
        <f t="shared" si="35"/>
        <v>0.16666666666666666</v>
      </c>
      <c r="L150" s="221"/>
      <c r="M150" s="26"/>
      <c r="N150" s="26"/>
      <c r="O150" s="27"/>
      <c r="P150" s="27"/>
      <c r="Q150" s="27"/>
      <c r="R150" s="27"/>
      <c r="S150" s="27"/>
      <c r="T150" s="27"/>
      <c r="U150" s="26"/>
      <c r="V150" s="26"/>
      <c r="W150" s="26"/>
    </row>
    <row r="151" spans="2:23">
      <c r="B151" s="354" t="s">
        <v>1913</v>
      </c>
      <c r="C151" s="498" t="s">
        <v>1914</v>
      </c>
      <c r="D151" s="354">
        <f t="shared" si="31"/>
        <v>32572.800000000007</v>
      </c>
      <c r="E151" s="586">
        <f t="shared" si="32"/>
        <v>163.18972800000003</v>
      </c>
      <c r="F151" s="586">
        <f t="shared" si="33"/>
        <v>237.41499600000003</v>
      </c>
      <c r="G151" s="586"/>
      <c r="H151" s="586"/>
      <c r="I151" s="588"/>
      <c r="J151" s="587">
        <f t="shared" si="34"/>
        <v>0.22744982797969507</v>
      </c>
      <c r="K151" s="619">
        <f t="shared" si="35"/>
        <v>0.16666666666666666</v>
      </c>
      <c r="L151" s="26"/>
      <c r="M151" s="26"/>
      <c r="N151" s="26"/>
      <c r="O151" s="27"/>
      <c r="P151" s="27"/>
      <c r="Q151" s="27"/>
      <c r="R151" s="27"/>
      <c r="S151" s="27"/>
      <c r="T151" s="27"/>
      <c r="U151" s="26"/>
      <c r="V151" s="26"/>
      <c r="W151" s="26"/>
    </row>
    <row r="152" spans="2:23">
      <c r="B152" s="354" t="s">
        <v>1913</v>
      </c>
      <c r="C152" s="498" t="s">
        <v>1912</v>
      </c>
      <c r="D152" s="354">
        <f t="shared" si="31"/>
        <v>65145.600000000013</v>
      </c>
      <c r="E152" s="586">
        <f t="shared" si="32"/>
        <v>326.37945600000006</v>
      </c>
      <c r="F152" s="586">
        <f t="shared" si="33"/>
        <v>474.82999200000006</v>
      </c>
      <c r="G152" s="586"/>
      <c r="H152" s="586"/>
      <c r="I152" s="588"/>
      <c r="J152" s="587">
        <f t="shared" si="34"/>
        <v>0.11372491398984753</v>
      </c>
      <c r="K152" s="619">
        <f t="shared" si="35"/>
        <v>0.16666666666666666</v>
      </c>
      <c r="L152" s="26"/>
      <c r="M152" s="26"/>
      <c r="N152" s="26"/>
      <c r="O152" s="27"/>
      <c r="P152" s="27"/>
      <c r="Q152" s="27"/>
      <c r="R152" s="27"/>
      <c r="S152" s="27"/>
      <c r="T152" s="27"/>
      <c r="U152" s="26"/>
      <c r="V152" s="26"/>
      <c r="W152" s="26"/>
    </row>
    <row r="153" spans="2:23">
      <c r="B153" s="7" t="s">
        <v>0</v>
      </c>
      <c r="C153" s="7"/>
      <c r="D153" s="7"/>
      <c r="E153" s="7"/>
      <c r="F153" s="7">
        <f>SUMPRODUCT(F147:F152,$K$138:$K$143)</f>
        <v>176.35567950000001</v>
      </c>
      <c r="G153" s="7">
        <f>SUMPRODUCT(G147:G152,$K$138:$K$143)</f>
        <v>0</v>
      </c>
      <c r="H153" s="7">
        <f>SUMPRODUCT(H147:H152,$K$138:$K$143)</f>
        <v>0</v>
      </c>
      <c r="I153" s="7">
        <f>SUMPRODUCT(I147:I152,$K$138:$K$143)</f>
        <v>0</v>
      </c>
      <c r="J153" s="7">
        <f>SUMPRODUCT(J147:J152,$K$138:$K$143)</f>
        <v>0.64140851490274009</v>
      </c>
      <c r="K153" s="559"/>
      <c r="L153" s="26"/>
      <c r="M153" s="26"/>
      <c r="N153" s="26"/>
      <c r="O153" s="27"/>
      <c r="P153" s="27"/>
      <c r="Q153" s="27"/>
      <c r="R153" s="27"/>
      <c r="S153" s="27"/>
      <c r="T153" s="27"/>
      <c r="U153" s="26"/>
      <c r="V153" s="26"/>
      <c r="W153" s="26"/>
    </row>
    <row r="154" spans="2:23" ht="15.75">
      <c r="B154" s="585"/>
      <c r="C154" s="585"/>
      <c r="D154" s="585"/>
      <c r="E154" s="585"/>
      <c r="F154" s="557"/>
      <c r="G154" s="557"/>
      <c r="H154" s="557"/>
      <c r="I154" s="557"/>
      <c r="J154" s="557"/>
      <c r="K154" s="557"/>
      <c r="L154" s="557"/>
      <c r="M154" s="557"/>
      <c r="N154" s="557"/>
      <c r="O154" s="557"/>
      <c r="P154" s="557"/>
      <c r="Q154" s="557"/>
      <c r="R154" s="557"/>
      <c r="S154" s="557"/>
      <c r="T154" s="557"/>
      <c r="U154" s="556"/>
      <c r="V154" s="556"/>
      <c r="W154" s="556"/>
    </row>
    <row r="155" spans="2:23" ht="15.75">
      <c r="B155" s="333"/>
      <c r="C155" s="333"/>
      <c r="D155" s="333"/>
      <c r="E155" s="333"/>
      <c r="F155" s="553"/>
      <c r="G155" s="553"/>
      <c r="H155" s="553"/>
      <c r="I155" s="553"/>
      <c r="J155" s="553"/>
      <c r="K155" s="553"/>
      <c r="L155" s="554"/>
      <c r="M155" s="554"/>
      <c r="N155" s="555"/>
      <c r="O155" s="553"/>
      <c r="P155" s="553"/>
      <c r="Q155" s="553"/>
      <c r="R155" s="554"/>
      <c r="S155" s="554"/>
      <c r="T155" s="553"/>
      <c r="U155" s="553"/>
      <c r="V155" s="553"/>
      <c r="W155" s="553"/>
    </row>
    <row r="156" spans="2:23" ht="15.75">
      <c r="B156" s="333"/>
      <c r="C156" s="333"/>
      <c r="D156" s="333"/>
      <c r="E156" s="333"/>
      <c r="F156" s="553"/>
      <c r="G156" s="553"/>
      <c r="H156" s="553"/>
      <c r="I156" s="553"/>
      <c r="J156" s="553"/>
      <c r="K156" s="553"/>
      <c r="L156" s="554"/>
      <c r="M156" s="554"/>
      <c r="N156" s="555"/>
      <c r="O156" s="553"/>
      <c r="P156" s="553"/>
      <c r="Q156" s="553"/>
      <c r="R156" s="554"/>
      <c r="S156" s="554"/>
      <c r="T156" s="553"/>
      <c r="U156" s="553"/>
      <c r="V156" s="553"/>
      <c r="W156" s="553"/>
    </row>
    <row r="157" spans="2:23" ht="15.75">
      <c r="B157" s="333"/>
      <c r="C157" s="333"/>
      <c r="D157" s="333"/>
      <c r="E157" s="333"/>
      <c r="F157" s="553"/>
      <c r="G157" s="553"/>
      <c r="H157" s="553"/>
      <c r="I157" s="553"/>
      <c r="J157" s="553"/>
      <c r="K157" s="553"/>
      <c r="L157" s="554"/>
      <c r="M157" s="554"/>
      <c r="N157" s="555"/>
      <c r="O157" s="553"/>
      <c r="P157" s="553"/>
      <c r="Q157" s="553"/>
      <c r="R157" s="554"/>
      <c r="S157" s="554"/>
      <c r="T157" s="553"/>
      <c r="U157" s="553"/>
      <c r="V157" s="553"/>
      <c r="W157" s="553"/>
    </row>
    <row r="158" spans="2:23" ht="15.75">
      <c r="B158" s="333"/>
      <c r="C158" s="333"/>
      <c r="D158" s="333"/>
      <c r="E158" s="333"/>
      <c r="F158" s="553"/>
      <c r="G158" s="553"/>
      <c r="H158" s="553"/>
      <c r="I158" s="553"/>
      <c r="J158" s="553"/>
      <c r="K158" s="553"/>
      <c r="L158" s="554"/>
      <c r="M158" s="554"/>
      <c r="N158" s="555"/>
      <c r="O158" s="553"/>
      <c r="P158" s="553"/>
      <c r="Q158" s="553"/>
      <c r="R158" s="554"/>
      <c r="S158" s="554"/>
      <c r="T158" s="553"/>
      <c r="U158" s="553"/>
      <c r="V158" s="553"/>
      <c r="W158" s="553"/>
    </row>
    <row r="159" spans="2:23" ht="15.75">
      <c r="B159" s="333"/>
      <c r="C159" s="333"/>
      <c r="D159" s="333"/>
      <c r="E159" s="333"/>
      <c r="F159" s="553"/>
      <c r="G159" s="553"/>
      <c r="H159" s="553"/>
      <c r="I159" s="553"/>
      <c r="J159" s="553"/>
      <c r="K159" s="553"/>
      <c r="L159" s="554"/>
      <c r="M159" s="554"/>
      <c r="N159" s="555"/>
      <c r="O159" s="553"/>
      <c r="P159" s="553"/>
      <c r="Q159" s="553"/>
      <c r="R159" s="554"/>
      <c r="S159" s="554"/>
      <c r="T159" s="553"/>
      <c r="U159" s="553"/>
      <c r="V159" s="553"/>
      <c r="W159" s="553"/>
    </row>
    <row r="160" spans="2:23" ht="15.75">
      <c r="B160" s="333"/>
      <c r="C160" s="333"/>
      <c r="D160" s="333"/>
      <c r="E160" s="333"/>
      <c r="F160" s="553"/>
      <c r="G160" s="553"/>
      <c r="H160" s="553"/>
      <c r="I160" s="553"/>
      <c r="J160" s="553"/>
      <c r="K160" s="553"/>
      <c r="L160" s="554"/>
      <c r="M160" s="554"/>
      <c r="N160" s="555"/>
      <c r="O160" s="553"/>
      <c r="P160" s="553"/>
      <c r="Q160" s="553"/>
      <c r="R160" s="554"/>
      <c r="S160" s="554"/>
      <c r="T160" s="553"/>
      <c r="U160" s="553"/>
      <c r="V160" s="553"/>
      <c r="W160" s="553"/>
    </row>
    <row r="161" spans="2:23" ht="15.75">
      <c r="B161" s="333"/>
      <c r="C161" s="333"/>
      <c r="D161" s="333"/>
      <c r="E161" s="333"/>
      <c r="F161" s="553"/>
      <c r="G161" s="553"/>
      <c r="H161" s="553"/>
      <c r="I161" s="553"/>
      <c r="J161" s="553"/>
      <c r="K161" s="553"/>
      <c r="L161" s="554"/>
      <c r="M161" s="554"/>
      <c r="N161" s="555"/>
      <c r="O161" s="553"/>
      <c r="P161" s="553"/>
      <c r="Q161" s="553"/>
      <c r="R161" s="554"/>
      <c r="S161" s="554"/>
      <c r="T161" s="553"/>
      <c r="U161" s="553"/>
      <c r="V161" s="553"/>
      <c r="W161" s="553"/>
    </row>
    <row r="162" spans="2:23" ht="15.75">
      <c r="B162" s="333"/>
      <c r="C162" s="333"/>
      <c r="D162" s="333"/>
      <c r="E162" s="333"/>
      <c r="F162" s="553"/>
      <c r="G162" s="553"/>
      <c r="H162" s="553"/>
      <c r="I162" s="553"/>
      <c r="J162" s="553"/>
      <c r="K162" s="553"/>
      <c r="L162" s="554"/>
      <c r="M162" s="554"/>
      <c r="N162" s="555"/>
      <c r="O162" s="553"/>
      <c r="P162" s="553"/>
      <c r="Q162" s="553"/>
      <c r="R162" s="554"/>
      <c r="S162" s="554"/>
      <c r="T162" s="553"/>
      <c r="U162" s="553"/>
      <c r="V162" s="553"/>
      <c r="W162" s="553"/>
    </row>
    <row r="163" spans="2:23">
      <c r="B163" s="26"/>
      <c r="C163" s="26"/>
      <c r="D163" s="26"/>
      <c r="E163" s="26"/>
      <c r="F163" s="26"/>
      <c r="G163" s="26"/>
      <c r="H163" s="26"/>
      <c r="I163" s="26"/>
      <c r="J163" s="26"/>
      <c r="K163" s="26"/>
      <c r="L163" s="26"/>
      <c r="M163" s="26"/>
      <c r="N163" s="26"/>
      <c r="O163" s="27"/>
      <c r="P163" s="27"/>
      <c r="Q163" s="27"/>
      <c r="R163" s="27"/>
      <c r="S163" s="27"/>
      <c r="T163" s="27"/>
      <c r="U163" s="26"/>
      <c r="V163" s="26"/>
      <c r="W163" s="26"/>
    </row>
    <row r="164" spans="2:23">
      <c r="B164" s="26"/>
      <c r="C164" s="26"/>
      <c r="D164" s="26"/>
      <c r="E164" s="26"/>
      <c r="F164" s="26"/>
      <c r="G164" s="26"/>
      <c r="H164" s="26"/>
      <c r="I164" s="26"/>
      <c r="J164" s="26"/>
      <c r="K164" s="26"/>
      <c r="L164" s="26"/>
      <c r="M164" s="26"/>
      <c r="N164" s="26"/>
      <c r="O164" s="27"/>
      <c r="P164" s="27"/>
      <c r="Q164" s="27"/>
      <c r="R164" s="27"/>
      <c r="S164" s="27"/>
      <c r="T164" s="27"/>
      <c r="U164" s="26"/>
      <c r="V164" s="26"/>
      <c r="W164" s="26"/>
    </row>
    <row r="165" spans="2:23">
      <c r="B165" s="26"/>
      <c r="C165" s="26"/>
      <c r="D165" s="26"/>
      <c r="E165" s="26"/>
      <c r="F165" s="26"/>
      <c r="G165" s="26"/>
      <c r="H165" s="26"/>
      <c r="I165" s="26"/>
      <c r="J165" s="26"/>
      <c r="K165" s="26"/>
      <c r="L165" s="26"/>
      <c r="M165" s="26"/>
      <c r="N165" s="26"/>
      <c r="O165" s="27"/>
      <c r="P165" s="27"/>
      <c r="Q165" s="27"/>
      <c r="R165" s="27"/>
      <c r="S165" s="27"/>
      <c r="T165" s="27"/>
      <c r="U165" s="26"/>
      <c r="V165" s="26"/>
      <c r="W165" s="26"/>
    </row>
    <row r="166" spans="2:23">
      <c r="B166" s="26"/>
      <c r="C166" s="26"/>
      <c r="D166" s="26"/>
      <c r="E166" s="26"/>
      <c r="F166" s="26"/>
      <c r="G166" s="26"/>
      <c r="H166" s="26"/>
      <c r="I166" s="26"/>
      <c r="J166" s="26"/>
      <c r="K166" s="26"/>
      <c r="L166" s="26"/>
      <c r="M166" s="26"/>
      <c r="N166" s="26"/>
      <c r="O166" s="27"/>
      <c r="P166" s="27"/>
      <c r="Q166" s="27"/>
      <c r="R166" s="27"/>
      <c r="S166" s="27"/>
      <c r="T166" s="27"/>
      <c r="U166" s="26"/>
      <c r="V166" s="26"/>
      <c r="W166" s="26"/>
    </row>
    <row r="168" spans="2:23">
      <c r="B168" s="26"/>
      <c r="C168" s="26"/>
      <c r="D168" s="26"/>
    </row>
    <row r="169" spans="2:23">
      <c r="B169" s="26"/>
    </row>
    <row r="170" spans="2:23">
      <c r="B170" s="26"/>
    </row>
    <row r="171" spans="2:23">
      <c r="B171" s="26"/>
    </row>
    <row r="172" spans="2:23">
      <c r="B172" s="26"/>
    </row>
  </sheetData>
  <phoneticPr fontId="35" type="noConversion"/>
  <dataValidations count="5">
    <dataValidation type="list" allowBlank="1" showInputMessage="1" showErrorMessage="1" sqref="C59:L59" xr:uid="{00000000-0002-0000-C700-000004000000}">
      <formula1>$N$19:$AQ$19</formula1>
    </dataValidation>
    <dataValidation type="list" allowBlank="1" showInputMessage="1" showErrorMessage="1" sqref="E11:E20" xr:uid="{00000000-0002-0000-C700-000003000000}">
      <formula1>$N$16:$O$16</formula1>
    </dataValidation>
    <dataValidation type="list" allowBlank="1" showInputMessage="1" showErrorMessage="1" sqref="D11:D20" xr:uid="{00000000-0002-0000-C700-000002000000}">
      <formula1>$N$22:$AE$22</formula1>
    </dataValidation>
    <dataValidation type="list" allowBlank="1" showInputMessage="1" showErrorMessage="1" sqref="B11:C20" xr:uid="{00000000-0002-0000-C700-000001000000}">
      <formula1>$N$7:$Q$7</formula1>
    </dataValidation>
    <dataValidation type="list" allowBlank="1" showInputMessage="1" showErrorMessage="1" sqref="D7" xr:uid="{00000000-0002-0000-C700-000000000000}">
      <formula1>$N$11:$O$11</formula1>
    </dataValidation>
  </dataValidations>
  <pageMargins left="0.7" right="0.7" top="0.75" bottom="0.75" header="0.3" footer="0.3"/>
  <pageSetup orientation="portrait"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75443-1A38-4E52-954C-887CCCC378D3}">
  <sheetPr codeName="Sheet66">
    <tabColor theme="5"/>
  </sheetPr>
  <dimension ref="A1:AQ160"/>
  <sheetViews>
    <sheetView topLeftCell="A107" zoomScaleNormal="100" workbookViewId="0">
      <selection activeCell="F121" sqref="F121"/>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Water Heater</v>
      </c>
      <c r="C7" s="98" t="s">
        <v>1947</v>
      </c>
      <c r="D7" s="97" t="s">
        <v>211</v>
      </c>
      <c r="E7" s="250">
        <f>C124</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113</v>
      </c>
      <c r="E11" s="99" t="s">
        <v>202</v>
      </c>
      <c r="F11" s="99" t="s">
        <v>1361</v>
      </c>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Water Heater_CI, E - HWat  [Building w elec WH] (MD)</v>
      </c>
      <c r="J11" s="83" t="str">
        <f t="shared" ref="J11:J20" si="3">IF(B11="","",CONCATENATE($C$7,IF(C11="","",CONCATENATE(" with ",C11," Secondary Fuel"))))</f>
        <v>Water Heater</v>
      </c>
      <c r="K11" s="83"/>
      <c r="M11" s="94" t="s">
        <v>123</v>
      </c>
      <c r="N11" s="93" t="s">
        <v>212</v>
      </c>
      <c r="O11" s="93" t="s">
        <v>211</v>
      </c>
    </row>
    <row r="12" spans="1:17">
      <c r="A12" s="1">
        <v>2</v>
      </c>
      <c r="B12" s="97" t="s">
        <v>227</v>
      </c>
      <c r="C12" s="97"/>
      <c r="D12" s="97" t="s">
        <v>113</v>
      </c>
      <c r="E12" s="99" t="s">
        <v>202</v>
      </c>
      <c r="F12" s="99" t="s">
        <v>2048</v>
      </c>
      <c r="G12" s="83" t="str">
        <f t="shared" si="0"/>
        <v>P</v>
      </c>
      <c r="H12" s="83" t="str">
        <f t="shared" si="1"/>
        <v xml:space="preserve">HWat </v>
      </c>
      <c r="I12" s="83" t="str">
        <f t="shared" ca="1" si="2"/>
        <v>CI Water Heater_CI, P - HWat  [Building w prop WH] (MD)</v>
      </c>
      <c r="J12" s="83" t="str">
        <f t="shared" si="3"/>
        <v>Water Heater</v>
      </c>
      <c r="K12" s="83"/>
      <c r="M12" s="94" t="s">
        <v>154</v>
      </c>
      <c r="N12" s="93" t="s">
        <v>210</v>
      </c>
      <c r="O12" s="93" t="s">
        <v>209</v>
      </c>
    </row>
    <row r="13" spans="1:17">
      <c r="A13" s="1">
        <v>3</v>
      </c>
      <c r="B13" s="97"/>
      <c r="C13" s="97"/>
      <c r="D13" s="98"/>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Water Heater_CI, E - HWat  [Building w elec WH] (MD)</v>
      </c>
      <c r="D33" s="83" t="str">
        <f t="shared" ca="1" si="5"/>
        <v>CI Water Heater_CI, P - HWat  [Building w prop WH]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Heater_CI, E - HWat  [Building w elec WH] (MD)</v>
      </c>
      <c r="N33" s="84" t="str">
        <f t="shared" ca="1" si="6"/>
        <v>CI Water Heater_CI, P - HWat  [Building w prop WH]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Water Heater</v>
      </c>
      <c r="D34" s="83" t="str">
        <f t="shared" si="8"/>
        <v>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Water Heater_CI, E - HWat  [Building w elec WH] (MD)</v>
      </c>
      <c r="D35" s="82" t="str">
        <f t="shared" ca="1" si="10"/>
        <v>CI Water Heater_CI, P - HWat  [Building w prop WH] (MD)</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Water Heater</v>
      </c>
      <c r="D36" s="65" t="str">
        <f t="shared" si="10"/>
        <v>Water Heater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5</v>
      </c>
      <c r="D39" s="83">
        <f t="shared" si="12"/>
        <v>5</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Prp</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Water Heater_CI, E - HWat  [Building w elec WH] (MD)</v>
      </c>
      <c r="D49" s="65" t="str">
        <f ca="1">C33</f>
        <v>CI Water Heater_CI, E - HWat  [Building w elec WH] (MD)</v>
      </c>
      <c r="E49" s="65" t="str">
        <f>E33</f>
        <v/>
      </c>
      <c r="F49" s="65" t="str">
        <f>E33</f>
        <v/>
      </c>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v>
      </c>
      <c r="D52" s="66" t="str">
        <f t="shared" si="16"/>
        <v>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1358</v>
      </c>
      <c r="D54" s="82" t="s">
        <v>1358</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1357</v>
      </c>
      <c r="D55" s="65" t="s">
        <v>1357</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1356</v>
      </c>
      <c r="D56" s="65" t="s">
        <v>1356</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t="s">
        <v>187</v>
      </c>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c r="D64" s="183"/>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c r="D65" s="67"/>
      <c r="E65" s="67"/>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c r="D68" s="71"/>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c r="D69" s="493"/>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Water Heater</v>
      </c>
      <c r="D71" s="66" t="str">
        <f t="shared" si="20"/>
        <v>Water Heater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266"/>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c r="B106" s="63" t="s">
        <v>50</v>
      </c>
    </row>
    <row r="108" spans="1:23" ht="15.6" customHeight="1">
      <c r="B108" s="2" t="s">
        <v>1349</v>
      </c>
      <c r="C108" s="2" t="s">
        <v>45</v>
      </c>
      <c r="D108" s="194" t="s">
        <v>44</v>
      </c>
      <c r="E108" s="2" t="s">
        <v>1348</v>
      </c>
      <c r="F108" s="26"/>
      <c r="G108" s="599"/>
      <c r="H108" s="26"/>
      <c r="I108" s="26"/>
      <c r="J108" s="26"/>
      <c r="K108" s="26"/>
      <c r="L108" s="26"/>
      <c r="M108" s="26"/>
      <c r="N108" s="26"/>
      <c r="O108" s="27"/>
      <c r="P108" s="27"/>
      <c r="Q108" s="27"/>
      <c r="R108" s="27"/>
      <c r="S108" s="27"/>
      <c r="T108" s="27"/>
      <c r="U108" s="26"/>
      <c r="V108" s="26"/>
      <c r="W108" s="26"/>
    </row>
    <row r="109" spans="1:23">
      <c r="B109" s="26" t="s">
        <v>689</v>
      </c>
      <c r="C109" s="26">
        <v>125</v>
      </c>
      <c r="D109" s="26" t="s">
        <v>1971</v>
      </c>
      <c r="E109" s="26" t="s">
        <v>576</v>
      </c>
      <c r="F109" s="221"/>
      <c r="G109" s="26"/>
      <c r="H109" s="26"/>
      <c r="I109" s="221"/>
      <c r="J109" s="26"/>
      <c r="K109" s="26"/>
      <c r="L109" s="221"/>
      <c r="M109" s="26"/>
      <c r="N109" s="26"/>
      <c r="O109" s="27"/>
      <c r="P109" s="27"/>
      <c r="Q109" s="27"/>
      <c r="R109" s="27"/>
      <c r="S109" s="27"/>
      <c r="T109" s="27"/>
      <c r="U109" s="26"/>
      <c r="V109" s="26"/>
      <c r="W109" s="26"/>
    </row>
    <row r="110" spans="1:23">
      <c r="B110" s="26" t="s">
        <v>1969</v>
      </c>
      <c r="C110" s="26">
        <v>75</v>
      </c>
      <c r="D110" s="26" t="s">
        <v>1972</v>
      </c>
      <c r="E110" s="26" t="s">
        <v>576</v>
      </c>
      <c r="F110" s="221"/>
      <c r="G110" s="26"/>
      <c r="H110" s="26"/>
      <c r="I110" s="221"/>
      <c r="J110" s="26"/>
      <c r="K110" s="26"/>
      <c r="L110" s="221"/>
      <c r="M110" s="26"/>
      <c r="N110" s="26"/>
      <c r="O110" s="27"/>
      <c r="P110" s="27"/>
      <c r="Q110" s="27"/>
      <c r="R110" s="27"/>
      <c r="S110" s="27"/>
      <c r="T110" s="27"/>
      <c r="U110" s="26"/>
      <c r="V110" s="26"/>
      <c r="W110" s="26"/>
    </row>
    <row r="111" spans="1:23">
      <c r="B111" s="26" t="s">
        <v>1975</v>
      </c>
      <c r="C111" s="26" t="s">
        <v>1990</v>
      </c>
      <c r="D111" s="26"/>
      <c r="E111" s="26" t="s">
        <v>1973</v>
      </c>
      <c r="F111" s="26"/>
      <c r="G111" s="26"/>
      <c r="H111" s="26"/>
      <c r="I111" s="221"/>
      <c r="J111" s="26"/>
      <c r="K111" s="26"/>
      <c r="L111" s="26"/>
      <c r="M111" s="26"/>
      <c r="N111" s="26"/>
      <c r="O111" s="27"/>
      <c r="P111" s="27"/>
      <c r="Q111" s="27"/>
      <c r="R111" s="27"/>
      <c r="S111" s="27"/>
      <c r="T111" s="27"/>
      <c r="U111" s="26"/>
      <c r="V111" s="26"/>
      <c r="W111" s="26"/>
    </row>
    <row r="112" spans="1:23">
      <c r="B112" s="26" t="s">
        <v>1970</v>
      </c>
      <c r="C112" s="600">
        <v>8.33</v>
      </c>
      <c r="D112" s="26" t="s">
        <v>1971</v>
      </c>
      <c r="E112" s="26" t="s">
        <v>1974</v>
      </c>
      <c r="F112" s="26"/>
      <c r="G112" s="26"/>
      <c r="H112" s="26"/>
      <c r="I112" s="221"/>
      <c r="J112" s="26"/>
      <c r="K112" s="26"/>
      <c r="L112" s="26"/>
      <c r="M112" s="26"/>
      <c r="N112" s="26"/>
      <c r="O112" s="27"/>
      <c r="P112" s="27"/>
      <c r="Q112" s="27"/>
      <c r="R112" s="27"/>
      <c r="S112" s="27"/>
      <c r="T112" s="27"/>
      <c r="U112" s="26"/>
      <c r="V112" s="26"/>
      <c r="W112" s="26"/>
    </row>
    <row r="113" spans="2:23">
      <c r="B113" s="26" t="s">
        <v>1988</v>
      </c>
      <c r="C113" s="598">
        <f>2.1171-(0.0011*C115)</f>
        <v>2.0071000000000003</v>
      </c>
      <c r="D113" s="26" t="s">
        <v>1996</v>
      </c>
      <c r="E113" s="26" t="s">
        <v>1989</v>
      </c>
      <c r="F113" s="26"/>
      <c r="G113" s="26"/>
      <c r="H113" s="26"/>
      <c r="I113" s="26"/>
      <c r="J113" s="26"/>
      <c r="K113" s="26"/>
      <c r="L113" s="26"/>
      <c r="M113" s="26"/>
      <c r="N113" s="26"/>
      <c r="O113" s="27"/>
      <c r="P113" s="27"/>
      <c r="Q113" s="27"/>
      <c r="R113" s="27"/>
      <c r="S113" s="27"/>
      <c r="T113" s="27"/>
      <c r="U113" s="26"/>
      <c r="V113" s="26"/>
      <c r="W113" s="26"/>
    </row>
    <row r="114" spans="2:23">
      <c r="B114" s="26" t="s">
        <v>1976</v>
      </c>
      <c r="C114" s="26">
        <f>(3.3+4.1)/2</f>
        <v>3.6999999999999997</v>
      </c>
      <c r="D114" s="26" t="s">
        <v>1991</v>
      </c>
      <c r="E114" s="26" t="s">
        <v>1989</v>
      </c>
      <c r="F114" s="26"/>
      <c r="G114" s="26"/>
      <c r="H114" s="26"/>
      <c r="I114" s="26"/>
      <c r="J114" s="26"/>
      <c r="K114" s="26"/>
      <c r="L114" s="26"/>
      <c r="M114" s="26"/>
      <c r="N114" s="26"/>
      <c r="O114" s="27"/>
      <c r="P114" s="27"/>
      <c r="Q114" s="27"/>
      <c r="R114" s="27"/>
      <c r="S114" s="27"/>
      <c r="T114" s="27"/>
      <c r="U114" s="26"/>
      <c r="V114" s="26"/>
      <c r="W114" s="26"/>
    </row>
    <row r="115" spans="2:23">
      <c r="B115" s="1" t="s">
        <v>1985</v>
      </c>
      <c r="C115" s="26">
        <v>100</v>
      </c>
      <c r="D115" s="26" t="s">
        <v>1987</v>
      </c>
      <c r="E115" s="26" t="s">
        <v>1986</v>
      </c>
      <c r="F115" s="26"/>
      <c r="G115" s="26"/>
      <c r="H115" s="26"/>
      <c r="I115" s="26"/>
      <c r="J115" s="26"/>
      <c r="K115" s="26"/>
      <c r="L115" s="26"/>
      <c r="M115" s="26"/>
      <c r="N115" s="26"/>
      <c r="O115" s="27"/>
      <c r="P115" s="27"/>
      <c r="Q115" s="27"/>
      <c r="R115" s="27"/>
      <c r="S115" s="27"/>
      <c r="T115" s="27"/>
      <c r="U115" s="26"/>
      <c r="V115" s="26"/>
      <c r="W115" s="26"/>
    </row>
    <row r="116" spans="2:23">
      <c r="B116" s="1" t="s">
        <v>1993</v>
      </c>
      <c r="C116" s="26">
        <v>0</v>
      </c>
      <c r="D116" s="26" t="s">
        <v>1997</v>
      </c>
      <c r="E116" s="26"/>
      <c r="F116" s="26"/>
      <c r="G116" s="26"/>
      <c r="H116" s="26"/>
      <c r="I116" s="26"/>
      <c r="J116" s="26"/>
      <c r="K116" s="26"/>
      <c r="L116" s="26"/>
      <c r="M116" s="26"/>
      <c r="N116" s="26"/>
      <c r="O116" s="27"/>
      <c r="P116" s="27"/>
      <c r="Q116" s="27"/>
      <c r="R116" s="27"/>
      <c r="S116" s="27"/>
      <c r="T116" s="27"/>
      <c r="U116" s="26"/>
      <c r="V116" s="26"/>
      <c r="W116" s="26"/>
    </row>
    <row r="117" spans="2:23">
      <c r="B117" s="26" t="s">
        <v>1959</v>
      </c>
      <c r="C117" s="26">
        <v>0.5</v>
      </c>
      <c r="D117" s="26" t="s">
        <v>1998</v>
      </c>
      <c r="E117" s="26"/>
      <c r="F117" s="26"/>
      <c r="G117" s="26"/>
      <c r="H117" s="26"/>
      <c r="I117" s="26"/>
      <c r="J117" s="26"/>
      <c r="K117" s="26"/>
      <c r="L117" s="26"/>
      <c r="M117" s="26"/>
      <c r="N117" s="26"/>
      <c r="O117" s="27"/>
      <c r="P117" s="27"/>
      <c r="Q117" s="27"/>
      <c r="R117" s="27"/>
      <c r="S117" s="27"/>
      <c r="T117" s="27"/>
      <c r="U117" s="26"/>
      <c r="V117" s="26"/>
      <c r="W117" s="26"/>
    </row>
    <row r="118" spans="2:23">
      <c r="B118" s="26" t="s">
        <v>1994</v>
      </c>
      <c r="C118" s="26">
        <v>1.33</v>
      </c>
      <c r="D118" s="26" t="s">
        <v>1971</v>
      </c>
      <c r="E118" s="26"/>
      <c r="F118" s="26"/>
      <c r="G118" s="26"/>
      <c r="H118" s="26"/>
      <c r="I118" s="26"/>
      <c r="J118" s="26"/>
      <c r="K118" s="26"/>
      <c r="L118" s="26"/>
      <c r="M118" s="26"/>
      <c r="N118" s="26"/>
      <c r="O118" s="27"/>
      <c r="P118" s="27"/>
      <c r="Q118" s="27"/>
      <c r="R118" s="27"/>
      <c r="S118" s="27"/>
      <c r="T118" s="27"/>
      <c r="U118" s="26"/>
      <c r="V118" s="26"/>
      <c r="W118" s="26"/>
    </row>
    <row r="119" spans="2:23">
      <c r="B119" s="1" t="s">
        <v>1995</v>
      </c>
      <c r="C119" s="1">
        <v>3.08</v>
      </c>
      <c r="D119" s="26" t="s">
        <v>1971</v>
      </c>
    </row>
    <row r="120" spans="2:23">
      <c r="B120" s="1" t="s">
        <v>151</v>
      </c>
      <c r="C120" s="1">
        <v>1</v>
      </c>
      <c r="D120" s="26" t="s">
        <v>1971</v>
      </c>
    </row>
    <row r="121" spans="2:23">
      <c r="B121" s="1" t="s">
        <v>309</v>
      </c>
      <c r="C121" s="1">
        <v>6461</v>
      </c>
      <c r="D121" s="26" t="s">
        <v>1971</v>
      </c>
    </row>
    <row r="122" spans="2:23">
      <c r="B122" s="26" t="s">
        <v>34</v>
      </c>
      <c r="C122" s="1">
        <v>0.92500000000000004</v>
      </c>
      <c r="D122" s="26" t="s">
        <v>1971</v>
      </c>
    </row>
    <row r="123" spans="2:23">
      <c r="B123" s="26" t="s">
        <v>9</v>
      </c>
      <c r="C123" s="603">
        <v>1950</v>
      </c>
      <c r="D123" s="26"/>
    </row>
    <row r="124" spans="2:23">
      <c r="B124" s="26" t="s">
        <v>2045</v>
      </c>
      <c r="C124" s="1">
        <v>5</v>
      </c>
    </row>
    <row r="125" spans="2:23">
      <c r="B125" s="26"/>
    </row>
    <row r="126" spans="2:23">
      <c r="B126" s="94" t="s">
        <v>570</v>
      </c>
      <c r="C126" s="591" t="s">
        <v>1981</v>
      </c>
      <c r="D126" s="94" t="s">
        <v>1984</v>
      </c>
      <c r="E126" s="94" t="s">
        <v>1992</v>
      </c>
      <c r="F126" s="94" t="s">
        <v>1999</v>
      </c>
      <c r="G126" s="94" t="s">
        <v>10</v>
      </c>
      <c r="H126" s="497" t="s">
        <v>244</v>
      </c>
      <c r="I126" s="496" t="s">
        <v>9</v>
      </c>
      <c r="J126" s="94" t="s">
        <v>8</v>
      </c>
      <c r="K126" s="94" t="s">
        <v>7</v>
      </c>
    </row>
    <row r="127" spans="2:23">
      <c r="B127" s="177" t="s">
        <v>1978</v>
      </c>
      <c r="C127" s="177">
        <v>528</v>
      </c>
      <c r="D127" s="601">
        <f>C127*$C$115</f>
        <v>52800</v>
      </c>
      <c r="E127" s="580">
        <f>(($C$109-$C$110)*D127*$C$112*1*(1-(1/$C$114))*$C$117*0.25*$C$118)*$C$120/($C$119*3412)</f>
        <v>253.87087703177971</v>
      </c>
      <c r="F127" s="580">
        <f>((($C$109-$C$110)*D127*$C$112*((1/$C$113)-(1/$C$114)))/3412)+E127-$C$116</f>
        <v>1723.1370359681316</v>
      </c>
      <c r="G127" s="580">
        <f>F127*$C$122/$C$121</f>
        <v>0.24669583009913665</v>
      </c>
      <c r="H127" s="93"/>
      <c r="I127" s="312">
        <f>$C$123</f>
        <v>1950</v>
      </c>
      <c r="J127" s="93">
        <f>I127/F127</f>
        <v>1.131656948516812</v>
      </c>
      <c r="K127" s="93">
        <f>1/COUNT($C$127:$C$141)</f>
        <v>6.6666666666666666E-2</v>
      </c>
    </row>
    <row r="128" spans="2:23">
      <c r="B128" s="177" t="s">
        <v>1160</v>
      </c>
      <c r="C128" s="93">
        <v>568</v>
      </c>
      <c r="D128" s="601">
        <f t="shared" ref="D128:D141" si="25">C128*$C$115</f>
        <v>56800</v>
      </c>
      <c r="E128" s="580">
        <f t="shared" ref="E128:E141" si="26">(($C$109-$C$110)*D128*$C$112*1*(1-(1/$C$114))*$C$117*0.25*$C$118)*$C$120/($C$119*3412)</f>
        <v>273.10351923115701</v>
      </c>
      <c r="F128" s="580">
        <f t="shared" ref="F128:F141" si="27">((($C$109-$C$110)*D128*$C$112*((1/$C$113)-(1/$C$114)))/3412)+E128-$C$116</f>
        <v>1853.6777205111716</v>
      </c>
      <c r="G128" s="580">
        <f t="shared" ref="G128:G141" si="28">F128*$C$122/$C$121</f>
        <v>0.26538490813694998</v>
      </c>
      <c r="H128" s="93"/>
      <c r="I128" s="312">
        <f t="shared" ref="I128:I141" si="29">$C$123</f>
        <v>1950</v>
      </c>
      <c r="J128" s="93">
        <f t="shared" ref="J128:J141" si="30">I128/F128</f>
        <v>1.0519627972128114</v>
      </c>
      <c r="K128" s="93">
        <f t="shared" ref="K128:K141" si="31">1/COUNT($C$127:$C$141)</f>
        <v>6.6666666666666666E-2</v>
      </c>
    </row>
    <row r="129" spans="2:12">
      <c r="B129" s="177" t="s">
        <v>1893</v>
      </c>
      <c r="C129" s="93">
        <v>528</v>
      </c>
      <c r="D129" s="601">
        <f t="shared" si="25"/>
        <v>52800</v>
      </c>
      <c r="E129" s="580">
        <f t="shared" si="26"/>
        <v>253.87087703177971</v>
      </c>
      <c r="F129" s="580">
        <f t="shared" si="27"/>
        <v>1723.1370359681316</v>
      </c>
      <c r="G129" s="580">
        <f t="shared" si="28"/>
        <v>0.24669583009913665</v>
      </c>
      <c r="H129" s="93"/>
      <c r="I129" s="312">
        <f t="shared" si="29"/>
        <v>1950</v>
      </c>
      <c r="J129" s="93">
        <f t="shared" si="30"/>
        <v>1.131656948516812</v>
      </c>
      <c r="K129" s="93">
        <f t="shared" si="31"/>
        <v>6.6666666666666666E-2</v>
      </c>
    </row>
    <row r="130" spans="2:12">
      <c r="B130" s="93" t="s">
        <v>1890</v>
      </c>
      <c r="C130" s="93">
        <v>788</v>
      </c>
      <c r="D130" s="601">
        <f t="shared" si="25"/>
        <v>78800</v>
      </c>
      <c r="E130" s="580">
        <f t="shared" si="26"/>
        <v>378.88305132773183</v>
      </c>
      <c r="F130" s="580">
        <f t="shared" si="27"/>
        <v>2571.6514854978932</v>
      </c>
      <c r="G130" s="580">
        <f t="shared" si="28"/>
        <v>0.36817483734492362</v>
      </c>
      <c r="H130" s="93"/>
      <c r="I130" s="312">
        <f t="shared" si="29"/>
        <v>1950</v>
      </c>
      <c r="J130" s="93">
        <f t="shared" si="30"/>
        <v>0.75826760002141724</v>
      </c>
      <c r="K130" s="93">
        <f t="shared" si="31"/>
        <v>6.6666666666666666E-2</v>
      </c>
    </row>
    <row r="131" spans="2:12">
      <c r="B131" s="93" t="s">
        <v>175</v>
      </c>
      <c r="C131" s="93">
        <v>511</v>
      </c>
      <c r="D131" s="601">
        <f t="shared" si="25"/>
        <v>51100</v>
      </c>
      <c r="E131" s="580">
        <f t="shared" si="26"/>
        <v>245.69700409704438</v>
      </c>
      <c r="F131" s="580">
        <f t="shared" si="27"/>
        <v>1667.6572450373394</v>
      </c>
      <c r="G131" s="580">
        <f t="shared" si="28"/>
        <v>0.23875297193306594</v>
      </c>
      <c r="H131" s="93"/>
      <c r="I131" s="312">
        <f t="shared" si="29"/>
        <v>1950</v>
      </c>
      <c r="J131" s="93">
        <f t="shared" si="30"/>
        <v>1.1693050270388978</v>
      </c>
      <c r="K131" s="93">
        <f t="shared" si="31"/>
        <v>6.6666666666666666E-2</v>
      </c>
    </row>
    <row r="132" spans="2:12">
      <c r="B132" s="93" t="s">
        <v>173</v>
      </c>
      <c r="C132" s="93">
        <v>528</v>
      </c>
      <c r="D132" s="601">
        <f t="shared" si="25"/>
        <v>52800</v>
      </c>
      <c r="E132" s="580">
        <f t="shared" si="26"/>
        <v>253.87087703177971</v>
      </c>
      <c r="F132" s="580">
        <f t="shared" si="27"/>
        <v>1723.1370359681316</v>
      </c>
      <c r="G132" s="580">
        <f t="shared" si="28"/>
        <v>0.24669583009913665</v>
      </c>
      <c r="H132" s="93"/>
      <c r="I132" s="312">
        <f t="shared" si="29"/>
        <v>1950</v>
      </c>
      <c r="J132" s="93">
        <f t="shared" si="30"/>
        <v>1.131656948516812</v>
      </c>
      <c r="K132" s="93">
        <f t="shared" si="31"/>
        <v>6.6666666666666666E-2</v>
      </c>
    </row>
    <row r="133" spans="2:12">
      <c r="B133" s="93" t="s">
        <v>1333</v>
      </c>
      <c r="C133" s="93">
        <v>715</v>
      </c>
      <c r="D133" s="601">
        <f t="shared" si="25"/>
        <v>71500</v>
      </c>
      <c r="E133" s="580">
        <f t="shared" si="26"/>
        <v>343.78347931386833</v>
      </c>
      <c r="F133" s="580">
        <f t="shared" si="27"/>
        <v>2333.4147362068447</v>
      </c>
      <c r="G133" s="580">
        <f t="shared" si="28"/>
        <v>0.33406726992591418</v>
      </c>
      <c r="H133" s="93"/>
      <c r="I133" s="312">
        <f t="shared" si="29"/>
        <v>1950</v>
      </c>
      <c r="J133" s="93">
        <f t="shared" si="30"/>
        <v>0.83568513121241506</v>
      </c>
      <c r="K133" s="93">
        <f t="shared" si="31"/>
        <v>6.6666666666666666E-2</v>
      </c>
    </row>
    <row r="134" spans="2:12">
      <c r="B134" s="93" t="s">
        <v>1979</v>
      </c>
      <c r="C134" s="93">
        <v>341</v>
      </c>
      <c r="D134" s="601">
        <f t="shared" si="25"/>
        <v>34100</v>
      </c>
      <c r="E134" s="580">
        <f t="shared" si="26"/>
        <v>163.95827474969107</v>
      </c>
      <c r="F134" s="580">
        <f t="shared" si="27"/>
        <v>1112.8593357294183</v>
      </c>
      <c r="G134" s="580">
        <f t="shared" si="28"/>
        <v>0.15932439027235906</v>
      </c>
      <c r="H134" s="93"/>
      <c r="I134" s="312">
        <f t="shared" si="29"/>
        <v>1950</v>
      </c>
      <c r="J134" s="93">
        <f t="shared" si="30"/>
        <v>1.7522430170582897</v>
      </c>
      <c r="K134" s="93">
        <f t="shared" si="31"/>
        <v>6.6666666666666666E-2</v>
      </c>
    </row>
    <row r="135" spans="2:12">
      <c r="B135" s="93" t="s">
        <v>1321</v>
      </c>
      <c r="C135" s="93">
        <v>622</v>
      </c>
      <c r="D135" s="601">
        <f t="shared" si="25"/>
        <v>62200</v>
      </c>
      <c r="E135" s="580">
        <f t="shared" si="26"/>
        <v>299.06758620031621</v>
      </c>
      <c r="F135" s="580">
        <f t="shared" si="27"/>
        <v>2029.9076446442764</v>
      </c>
      <c r="G135" s="580">
        <f t="shared" si="28"/>
        <v>0.2906151634879981</v>
      </c>
      <c r="H135" s="93"/>
      <c r="I135" s="312">
        <f t="shared" si="29"/>
        <v>1950</v>
      </c>
      <c r="J135" s="93">
        <f t="shared" si="30"/>
        <v>0.96063483732616839</v>
      </c>
      <c r="K135" s="93">
        <f t="shared" si="31"/>
        <v>6.6666666666666666E-2</v>
      </c>
    </row>
    <row r="136" spans="2:12">
      <c r="B136" s="93" t="s">
        <v>188</v>
      </c>
      <c r="C136" s="93">
        <v>511</v>
      </c>
      <c r="D136" s="601">
        <f t="shared" si="25"/>
        <v>51100</v>
      </c>
      <c r="E136" s="580">
        <f t="shared" si="26"/>
        <v>245.69700409704438</v>
      </c>
      <c r="F136" s="580">
        <f t="shared" si="27"/>
        <v>1667.6572450373394</v>
      </c>
      <c r="G136" s="580">
        <f t="shared" si="28"/>
        <v>0.23875297193306594</v>
      </c>
      <c r="H136" s="93"/>
      <c r="I136" s="312">
        <f t="shared" si="29"/>
        <v>1950</v>
      </c>
      <c r="J136" s="93">
        <f t="shared" si="30"/>
        <v>1.1693050270388978</v>
      </c>
      <c r="K136" s="93">
        <f t="shared" si="31"/>
        <v>6.6666666666666666E-2</v>
      </c>
    </row>
    <row r="137" spans="2:12">
      <c r="B137" s="93" t="s">
        <v>186</v>
      </c>
      <c r="C137" s="93">
        <v>528</v>
      </c>
      <c r="D137" s="601">
        <f t="shared" si="25"/>
        <v>52800</v>
      </c>
      <c r="E137" s="580">
        <f t="shared" si="26"/>
        <v>253.87087703177971</v>
      </c>
      <c r="F137" s="580">
        <f t="shared" si="27"/>
        <v>1723.1370359681316</v>
      </c>
      <c r="G137" s="580">
        <f t="shared" si="28"/>
        <v>0.24669583009913665</v>
      </c>
      <c r="H137" s="93"/>
      <c r="I137" s="312">
        <f t="shared" si="29"/>
        <v>1950</v>
      </c>
      <c r="J137" s="93">
        <f t="shared" si="30"/>
        <v>1.131656948516812</v>
      </c>
      <c r="K137" s="93">
        <f t="shared" si="31"/>
        <v>6.6666666666666666E-2</v>
      </c>
    </row>
    <row r="138" spans="2:12">
      <c r="B138" s="93" t="s">
        <v>1152</v>
      </c>
      <c r="C138" s="93">
        <v>341</v>
      </c>
      <c r="D138" s="601">
        <f t="shared" si="25"/>
        <v>34100</v>
      </c>
      <c r="E138" s="580">
        <f t="shared" si="26"/>
        <v>163.95827474969107</v>
      </c>
      <c r="F138" s="580">
        <f t="shared" si="27"/>
        <v>1112.8593357294183</v>
      </c>
      <c r="G138" s="580">
        <f t="shared" si="28"/>
        <v>0.15932439027235906</v>
      </c>
      <c r="H138" s="93"/>
      <c r="I138" s="312">
        <f t="shared" si="29"/>
        <v>1950</v>
      </c>
      <c r="J138" s="93">
        <f t="shared" si="30"/>
        <v>1.7522430170582897</v>
      </c>
      <c r="K138" s="93">
        <f t="shared" si="31"/>
        <v>6.6666666666666666E-2</v>
      </c>
    </row>
    <row r="139" spans="2:12">
      <c r="B139" s="93" t="s">
        <v>1980</v>
      </c>
      <c r="C139" s="93">
        <v>672</v>
      </c>
      <c r="D139" s="601">
        <f t="shared" si="25"/>
        <v>67200</v>
      </c>
      <c r="E139" s="580">
        <f t="shared" si="26"/>
        <v>323.10838894953781</v>
      </c>
      <c r="F139" s="580">
        <f t="shared" si="27"/>
        <v>2193.0835003230768</v>
      </c>
      <c r="G139" s="580">
        <f t="shared" si="28"/>
        <v>0.31397651103526486</v>
      </c>
      <c r="H139" s="93"/>
      <c r="I139" s="312">
        <f t="shared" si="29"/>
        <v>1950</v>
      </c>
      <c r="J139" s="93">
        <f t="shared" si="30"/>
        <v>0.88915903097749505</v>
      </c>
      <c r="K139" s="93">
        <f t="shared" si="31"/>
        <v>6.6666666666666666E-2</v>
      </c>
    </row>
    <row r="140" spans="2:12">
      <c r="B140" s="93" t="s">
        <v>1964</v>
      </c>
      <c r="C140" s="93">
        <v>894</v>
      </c>
      <c r="D140" s="601">
        <f t="shared" si="25"/>
        <v>89400</v>
      </c>
      <c r="E140" s="580">
        <f t="shared" si="26"/>
        <v>429.84955315608153</v>
      </c>
      <c r="F140" s="580">
        <f t="shared" si="27"/>
        <v>2917.5842995369503</v>
      </c>
      <c r="G140" s="580">
        <f t="shared" si="28"/>
        <v>0.41770089414512906</v>
      </c>
      <c r="H140" s="93"/>
      <c r="I140" s="312">
        <f t="shared" si="29"/>
        <v>1950</v>
      </c>
      <c r="J140" s="93">
        <f t="shared" si="30"/>
        <v>0.66836115080187553</v>
      </c>
      <c r="K140" s="93">
        <f t="shared" si="31"/>
        <v>6.6666666666666666E-2</v>
      </c>
    </row>
    <row r="141" spans="2:12">
      <c r="B141" s="93" t="s">
        <v>841</v>
      </c>
      <c r="C141" s="93">
        <v>555</v>
      </c>
      <c r="D141" s="601">
        <f t="shared" si="25"/>
        <v>55500</v>
      </c>
      <c r="E141" s="580">
        <f t="shared" si="26"/>
        <v>266.85291051635937</v>
      </c>
      <c r="F141" s="580">
        <f t="shared" si="27"/>
        <v>1811.2519980346838</v>
      </c>
      <c r="G141" s="580">
        <f t="shared" si="28"/>
        <v>0.25931095777466068</v>
      </c>
      <c r="H141" s="93"/>
      <c r="I141" s="312">
        <f t="shared" si="29"/>
        <v>1950</v>
      </c>
      <c r="J141" s="93">
        <f t="shared" si="30"/>
        <v>1.0766033672376158</v>
      </c>
      <c r="K141" s="93">
        <f t="shared" si="31"/>
        <v>6.6666666666666666E-2</v>
      </c>
    </row>
    <row r="142" spans="2:12">
      <c r="B142" s="7" t="s">
        <v>0</v>
      </c>
      <c r="C142" s="7"/>
      <c r="D142" s="7"/>
      <c r="E142" s="7"/>
      <c r="F142" s="7">
        <f>SUMPRODUCT(F127:F141,$K$127:$K$141)</f>
        <v>1877.6101793440628</v>
      </c>
      <c r="G142" s="7">
        <f>SUMPRODUCT(G127:G141,$K$127:$K$141)</f>
        <v>0.26881123911054916</v>
      </c>
      <c r="H142" s="7">
        <f>SUMPRODUCT(H127:H141,$K$127:$K$141)</f>
        <v>0</v>
      </c>
      <c r="I142" s="7">
        <f>SUMPRODUCT(I127:I141,$K$127:$K$141)</f>
        <v>1950</v>
      </c>
      <c r="J142" s="7">
        <f>SUMPRODUCT(J127:J141,$K$127:$K$141)</f>
        <v>1.1073598531367614</v>
      </c>
      <c r="K142" s="93"/>
    </row>
    <row r="144" spans="2:12">
      <c r="B144" s="94" t="s">
        <v>570</v>
      </c>
      <c r="C144" s="591" t="s">
        <v>1977</v>
      </c>
      <c r="D144" s="94" t="s">
        <v>1982</v>
      </c>
      <c r="E144" s="94" t="s">
        <v>1983</v>
      </c>
      <c r="F144" s="94" t="s">
        <v>1992</v>
      </c>
      <c r="G144" s="94" t="s">
        <v>1999</v>
      </c>
      <c r="H144" s="94" t="s">
        <v>10</v>
      </c>
      <c r="I144" s="497" t="s">
        <v>244</v>
      </c>
      <c r="J144" s="496" t="s">
        <v>9</v>
      </c>
      <c r="K144" s="94" t="s">
        <v>8</v>
      </c>
      <c r="L144" s="94" t="s">
        <v>7</v>
      </c>
    </row>
    <row r="145" spans="2:12">
      <c r="B145" s="177" t="s">
        <v>1978</v>
      </c>
      <c r="C145" s="177">
        <v>10000</v>
      </c>
      <c r="D145" s="601">
        <v>4594</v>
      </c>
      <c r="E145" s="602">
        <f>D145*C145/(1000)</f>
        <v>45940</v>
      </c>
      <c r="F145" s="580">
        <f>(($C$109-$C$110)*E145*$C$112*1*(1-(1/$C$114))*$C$117*0.25*$C$118)*$C$120/($C$119*3412)</f>
        <v>220.88689565984777</v>
      </c>
      <c r="G145" s="580">
        <f>((($C$109-$C$110)*E145*$C$112*((1/$C$113)-(1/$C$114)))/3412)+F145-$C$116</f>
        <v>1499.2597619768176</v>
      </c>
      <c r="H145" s="580">
        <f>G145*$C$122/$C$121</f>
        <v>0.2146440612642867</v>
      </c>
      <c r="I145" s="93"/>
      <c r="J145" s="312">
        <f>$C$123</f>
        <v>1950</v>
      </c>
      <c r="K145" s="93">
        <f>J145/G145</f>
        <v>1.3006418563710855</v>
      </c>
      <c r="L145" s="93">
        <f>1/COUNT($C$127:$C$141)</f>
        <v>6.6666666666666666E-2</v>
      </c>
    </row>
    <row r="146" spans="2:12">
      <c r="B146" s="177" t="s">
        <v>1160</v>
      </c>
      <c r="C146" s="177">
        <v>10000</v>
      </c>
      <c r="D146" s="601">
        <v>7285</v>
      </c>
      <c r="E146" s="602">
        <f t="shared" ref="E146:E159" si="32">D146*C146/(1000)</f>
        <v>72850</v>
      </c>
      <c r="F146" s="580">
        <f t="shared" ref="F146:F159" si="33">(($C$109-$C$110)*E146*$C$112*1*(1-(1/$C$114))*$C$117*0.25*$C$118)*$C$120/($C$119*3412)</f>
        <v>350.27449605615817</v>
      </c>
      <c r="G146" s="580">
        <f t="shared" ref="G146:G159" si="34">((($C$109-$C$110)*E146*$C$112*((1/$C$113)-(1/$C$114)))/3412)+F146-$C$116</f>
        <v>2377.4722172401212</v>
      </c>
      <c r="H146" s="580">
        <f t="shared" ref="H146:H159" si="35">G146*$C$122/$C$121</f>
        <v>0.34037483376367622</v>
      </c>
      <c r="I146" s="93"/>
      <c r="J146" s="312">
        <f t="shared" ref="J146:J159" si="36">$C$123</f>
        <v>1950</v>
      </c>
      <c r="K146" s="93">
        <f t="shared" ref="K146:K159" si="37">J146/G146</f>
        <v>0.82019885904856105</v>
      </c>
      <c r="L146" s="93">
        <f t="shared" ref="L146:L159" si="38">1/COUNT($C$127:$C$141)</f>
        <v>6.6666666666666666E-2</v>
      </c>
    </row>
    <row r="147" spans="2:12">
      <c r="B147" s="177" t="s">
        <v>1893</v>
      </c>
      <c r="C147" s="177">
        <v>10000</v>
      </c>
      <c r="D147" s="601">
        <v>697</v>
      </c>
      <c r="E147" s="602">
        <f t="shared" si="32"/>
        <v>6970</v>
      </c>
      <c r="F147" s="580">
        <f t="shared" si="33"/>
        <v>33.512879032414858</v>
      </c>
      <c r="G147" s="580">
        <f t="shared" si="34"/>
        <v>227.4671428162477</v>
      </c>
      <c r="H147" s="580">
        <f t="shared" si="35"/>
        <v>3.2565718480889821E-2</v>
      </c>
      <c r="I147" s="93"/>
      <c r="J147" s="312">
        <f t="shared" si="36"/>
        <v>1950</v>
      </c>
      <c r="K147" s="93">
        <f t="shared" si="37"/>
        <v>8.5726666975161656</v>
      </c>
      <c r="L147" s="93">
        <f t="shared" si="38"/>
        <v>6.6666666666666666E-2</v>
      </c>
    </row>
    <row r="148" spans="2:12">
      <c r="B148" s="93" t="s">
        <v>1890</v>
      </c>
      <c r="C148" s="177">
        <v>10000</v>
      </c>
      <c r="D148" s="601">
        <v>24540</v>
      </c>
      <c r="E148" s="602">
        <f t="shared" si="32"/>
        <v>245400</v>
      </c>
      <c r="F148" s="580">
        <f t="shared" si="33"/>
        <v>1179.9225989317945</v>
      </c>
      <c r="G148" s="580">
        <f t="shared" si="34"/>
        <v>8008.6709967155211</v>
      </c>
      <c r="H148" s="580">
        <f t="shared" si="35"/>
        <v>1.1465749376198511</v>
      </c>
      <c r="I148" s="93"/>
      <c r="J148" s="312">
        <f t="shared" si="36"/>
        <v>1950</v>
      </c>
      <c r="K148" s="93">
        <f t="shared" si="37"/>
        <v>0.24348609161241921</v>
      </c>
      <c r="L148" s="93">
        <f t="shared" si="38"/>
        <v>6.6666666666666666E-2</v>
      </c>
    </row>
    <row r="149" spans="2:12">
      <c r="B149" s="93" t="s">
        <v>175</v>
      </c>
      <c r="C149" s="177">
        <v>10000</v>
      </c>
      <c r="D149" s="601">
        <v>1818</v>
      </c>
      <c r="E149" s="602">
        <f t="shared" si="32"/>
        <v>18180</v>
      </c>
      <c r="F149" s="580">
        <f t="shared" si="33"/>
        <v>87.412358796169613</v>
      </c>
      <c r="G149" s="580">
        <f t="shared" si="34"/>
        <v>593.30741124811811</v>
      </c>
      <c r="H149" s="580">
        <f t="shared" si="35"/>
        <v>8.4941859681861825E-2</v>
      </c>
      <c r="I149" s="93"/>
      <c r="J149" s="312">
        <f t="shared" si="36"/>
        <v>1950</v>
      </c>
      <c r="K149" s="93">
        <f t="shared" si="37"/>
        <v>3.2866604445372753</v>
      </c>
      <c r="L149" s="93">
        <f t="shared" si="38"/>
        <v>6.6666666666666666E-2</v>
      </c>
    </row>
    <row r="150" spans="2:12">
      <c r="B150" s="93" t="s">
        <v>173</v>
      </c>
      <c r="C150" s="177">
        <v>10000</v>
      </c>
      <c r="D150" s="601">
        <v>1354</v>
      </c>
      <c r="E150" s="602">
        <f t="shared" si="32"/>
        <v>13540</v>
      </c>
      <c r="F150" s="580">
        <f t="shared" si="33"/>
        <v>65.102493844891995</v>
      </c>
      <c r="G150" s="580">
        <f t="shared" si="34"/>
        <v>441.88021717819129</v>
      </c>
      <c r="H150" s="580">
        <f t="shared" si="35"/>
        <v>6.3262529157998293E-2</v>
      </c>
      <c r="I150" s="93"/>
      <c r="J150" s="312">
        <f t="shared" si="36"/>
        <v>1950</v>
      </c>
      <c r="K150" s="93">
        <f t="shared" si="37"/>
        <v>4.4129606264171111</v>
      </c>
      <c r="L150" s="93">
        <f t="shared" si="38"/>
        <v>6.6666666666666666E-2</v>
      </c>
    </row>
    <row r="151" spans="2:12">
      <c r="B151" s="93" t="s">
        <v>1333</v>
      </c>
      <c r="C151" s="177">
        <v>10000</v>
      </c>
      <c r="D151" s="601">
        <v>29548</v>
      </c>
      <c r="E151" s="602">
        <f t="shared" si="32"/>
        <v>295480</v>
      </c>
      <c r="F151" s="580">
        <f t="shared" si="33"/>
        <v>1420.7152792679974</v>
      </c>
      <c r="G151" s="580">
        <f t="shared" si="34"/>
        <v>9643.0403671943841</v>
      </c>
      <c r="H151" s="580">
        <f t="shared" si="35"/>
        <v>1.3805621946532742</v>
      </c>
      <c r="I151" s="93"/>
      <c r="J151" s="312">
        <f t="shared" si="36"/>
        <v>1950</v>
      </c>
      <c r="K151" s="93">
        <f t="shared" si="37"/>
        <v>0.20221837986221633</v>
      </c>
      <c r="L151" s="93">
        <f t="shared" si="38"/>
        <v>6.6666666666666666E-2</v>
      </c>
    </row>
    <row r="152" spans="2:12">
      <c r="B152" s="93" t="s">
        <v>1979</v>
      </c>
      <c r="C152" s="177">
        <v>10000</v>
      </c>
      <c r="D152" s="601">
        <v>3941</v>
      </c>
      <c r="E152" s="602">
        <f t="shared" si="32"/>
        <v>39410</v>
      </c>
      <c r="F152" s="580">
        <f t="shared" si="33"/>
        <v>189.48960726936437</v>
      </c>
      <c r="G152" s="580">
        <f t="shared" si="34"/>
        <v>1286.1520944603044</v>
      </c>
      <c r="H152" s="580">
        <f t="shared" si="35"/>
        <v>0.18413414136755635</v>
      </c>
      <c r="I152" s="93"/>
      <c r="J152" s="312">
        <f t="shared" si="36"/>
        <v>1950</v>
      </c>
      <c r="K152" s="93">
        <f t="shared" si="37"/>
        <v>1.5161503902991036</v>
      </c>
      <c r="L152" s="93">
        <f t="shared" si="38"/>
        <v>6.6666666666666666E-2</v>
      </c>
    </row>
    <row r="153" spans="2:12">
      <c r="B153" s="93" t="s">
        <v>1321</v>
      </c>
      <c r="C153" s="177">
        <v>10000</v>
      </c>
      <c r="D153" s="601">
        <v>44439</v>
      </c>
      <c r="E153" s="602">
        <f t="shared" si="32"/>
        <v>444390</v>
      </c>
      <c r="F153" s="580">
        <f t="shared" si="33"/>
        <v>2136.6984667453144</v>
      </c>
      <c r="G153" s="580">
        <f t="shared" si="34"/>
        <v>14502.743701020416</v>
      </c>
      <c r="H153" s="580">
        <f t="shared" si="35"/>
        <v>2.0763098473059722</v>
      </c>
      <c r="I153" s="93"/>
      <c r="J153" s="312">
        <f t="shared" si="36"/>
        <v>1950</v>
      </c>
      <c r="K153" s="93">
        <f t="shared" si="37"/>
        <v>0.13445731650506915</v>
      </c>
      <c r="L153" s="93">
        <f t="shared" si="38"/>
        <v>6.6666666666666666E-2</v>
      </c>
    </row>
    <row r="154" spans="2:12">
      <c r="B154" s="93" t="s">
        <v>188</v>
      </c>
      <c r="C154" s="177">
        <v>10000</v>
      </c>
      <c r="D154" s="601">
        <v>1540</v>
      </c>
      <c r="E154" s="602">
        <f t="shared" si="32"/>
        <v>15400</v>
      </c>
      <c r="F154" s="580">
        <f t="shared" si="33"/>
        <v>74.045672467602415</v>
      </c>
      <c r="G154" s="580">
        <f t="shared" si="34"/>
        <v>502.58163549070503</v>
      </c>
      <c r="H154" s="580">
        <f t="shared" si="35"/>
        <v>7.1952950445581518E-2</v>
      </c>
      <c r="I154" s="93"/>
      <c r="J154" s="312">
        <f t="shared" si="36"/>
        <v>1950</v>
      </c>
      <c r="K154" s="93">
        <f t="shared" si="37"/>
        <v>3.87996668062907</v>
      </c>
      <c r="L154" s="93">
        <f t="shared" si="38"/>
        <v>6.6666666666666666E-2</v>
      </c>
    </row>
    <row r="155" spans="2:12">
      <c r="B155" s="93" t="s">
        <v>186</v>
      </c>
      <c r="C155" s="177">
        <v>10000</v>
      </c>
      <c r="D155" s="601">
        <v>6111</v>
      </c>
      <c r="E155" s="602">
        <f t="shared" si="32"/>
        <v>61110</v>
      </c>
      <c r="F155" s="580">
        <f t="shared" si="33"/>
        <v>293.82669120098592</v>
      </c>
      <c r="G155" s="580">
        <f t="shared" si="34"/>
        <v>1994.3353081062978</v>
      </c>
      <c r="H155" s="580">
        <f t="shared" si="35"/>
        <v>0.28552238972269395</v>
      </c>
      <c r="I155" s="93"/>
      <c r="J155" s="312">
        <f t="shared" si="36"/>
        <v>1950</v>
      </c>
      <c r="K155" s="93">
        <f t="shared" si="37"/>
        <v>0.97776938114363732</v>
      </c>
      <c r="L155" s="93">
        <f t="shared" si="38"/>
        <v>6.6666666666666666E-2</v>
      </c>
    </row>
    <row r="156" spans="2:12">
      <c r="B156" s="93" t="s">
        <v>1152</v>
      </c>
      <c r="C156" s="177">
        <v>10000</v>
      </c>
      <c r="D156" s="601">
        <v>1239</v>
      </c>
      <c r="E156" s="602">
        <f t="shared" si="32"/>
        <v>12390</v>
      </c>
      <c r="F156" s="580">
        <f t="shared" si="33"/>
        <v>59.573109212571033</v>
      </c>
      <c r="G156" s="580">
        <f t="shared" si="34"/>
        <v>404.34977037206721</v>
      </c>
      <c r="H156" s="580">
        <f t="shared" si="35"/>
        <v>5.7889419222126946E-2</v>
      </c>
      <c r="I156" s="93"/>
      <c r="J156" s="312">
        <f t="shared" si="36"/>
        <v>1950</v>
      </c>
      <c r="K156" s="93">
        <f t="shared" si="37"/>
        <v>4.8225574561491271</v>
      </c>
      <c r="L156" s="93">
        <f t="shared" si="38"/>
        <v>6.6666666666666666E-2</v>
      </c>
    </row>
    <row r="157" spans="2:12">
      <c r="B157" s="93" t="s">
        <v>1980</v>
      </c>
      <c r="C157" s="177">
        <v>10000</v>
      </c>
      <c r="D157" s="601">
        <v>30503</v>
      </c>
      <c r="E157" s="602">
        <f t="shared" si="32"/>
        <v>305030</v>
      </c>
      <c r="F157" s="580">
        <f t="shared" si="33"/>
        <v>1466.6332125190106</v>
      </c>
      <c r="G157" s="580">
        <f t="shared" si="34"/>
        <v>9954.7062515408943</v>
      </c>
      <c r="H157" s="580">
        <f t="shared" si="35"/>
        <v>1.4251823684685541</v>
      </c>
      <c r="I157" s="93"/>
      <c r="J157" s="312">
        <f t="shared" si="36"/>
        <v>1950</v>
      </c>
      <c r="K157" s="93">
        <f t="shared" si="37"/>
        <v>0.19588724676814631</v>
      </c>
      <c r="L157" s="93">
        <f t="shared" si="38"/>
        <v>6.6666666666666666E-2</v>
      </c>
    </row>
    <row r="158" spans="2:12">
      <c r="B158" s="93" t="s">
        <v>1964</v>
      </c>
      <c r="C158" s="177">
        <v>10000</v>
      </c>
      <c r="D158" s="601">
        <v>15434</v>
      </c>
      <c r="E158" s="602">
        <f t="shared" si="32"/>
        <v>154340</v>
      </c>
      <c r="F158" s="580">
        <f t="shared" si="33"/>
        <v>742.0914992629713</v>
      </c>
      <c r="G158" s="580">
        <f t="shared" si="34"/>
        <v>5036.9123130932094</v>
      </c>
      <c r="H158" s="580">
        <f t="shared" si="35"/>
        <v>0.72111807608902934</v>
      </c>
      <c r="I158" s="93"/>
      <c r="J158" s="312">
        <f t="shared" si="36"/>
        <v>1950</v>
      </c>
      <c r="K158" s="93">
        <f t="shared" si="37"/>
        <v>0.38714193910643818</v>
      </c>
      <c r="L158" s="93">
        <f t="shared" si="38"/>
        <v>6.6666666666666666E-2</v>
      </c>
    </row>
    <row r="159" spans="2:12">
      <c r="B159" s="93" t="s">
        <v>841</v>
      </c>
      <c r="C159" s="177">
        <v>10000</v>
      </c>
      <c r="D159" s="602">
        <f>AVERAGE(D145:D158)</f>
        <v>12360.214285714286</v>
      </c>
      <c r="E159" s="602">
        <f t="shared" si="32"/>
        <v>123602.14285714287</v>
      </c>
      <c r="F159" s="580">
        <f t="shared" si="33"/>
        <v>594.29894716193542</v>
      </c>
      <c r="G159" s="580">
        <f t="shared" si="34"/>
        <v>4033.7770848895216</v>
      </c>
      <c r="H159" s="580">
        <f t="shared" si="35"/>
        <v>0.57750252337452523</v>
      </c>
      <c r="I159" s="93"/>
      <c r="J159" s="312">
        <f t="shared" si="36"/>
        <v>1950</v>
      </c>
      <c r="K159" s="93">
        <f t="shared" si="37"/>
        <v>0.48341788823796822</v>
      </c>
      <c r="L159" s="93">
        <f t="shared" si="38"/>
        <v>6.6666666666666666E-2</v>
      </c>
    </row>
    <row r="160" spans="2:12">
      <c r="B160" s="7" t="s">
        <v>0</v>
      </c>
      <c r="C160" s="7"/>
      <c r="D160" s="7"/>
      <c r="E160" s="7"/>
      <c r="F160" s="7"/>
      <c r="G160" s="7">
        <f>SUMPRODUCT(G145:G159,$L$145:$L$159)</f>
        <v>4033.7770848895216</v>
      </c>
      <c r="H160" s="7">
        <f>SUMPRODUCT(H145:H159,$L$145:$L$159)</f>
        <v>0.57750252337452523</v>
      </c>
      <c r="I160" s="7">
        <f>SUMPRODUCT(I145:I159,$L$145:$L$159)</f>
        <v>0</v>
      </c>
      <c r="J160" s="7">
        <f>SUMPRODUCT(J145:J159,$L$145:$L$159)</f>
        <v>1950</v>
      </c>
      <c r="K160" s="7">
        <f>SUMPRODUCT(K145:K159,$L$145:$L$159)</f>
        <v>2.0824120836135598</v>
      </c>
      <c r="L160" s="93"/>
    </row>
  </sheetData>
  <phoneticPr fontId="35" type="noConversion"/>
  <dataValidations count="5">
    <dataValidation type="list" allowBlank="1" showInputMessage="1" showErrorMessage="1" sqref="D7" xr:uid="{CF3B5788-6D25-43FE-98F3-B0A79BBEC090}">
      <formula1>$N$11:$O$11</formula1>
    </dataValidation>
    <dataValidation type="list" allowBlank="1" showInputMessage="1" showErrorMessage="1" sqref="B11:C20" xr:uid="{AF57FB25-53BE-480E-A94E-60E8FD0A41E8}">
      <formula1>$N$7:$Q$7</formula1>
    </dataValidation>
    <dataValidation type="list" allowBlank="1" showInputMessage="1" showErrorMessage="1" sqref="D11:D20" xr:uid="{3346572C-9F74-4AC5-860F-03C5F063C0C3}">
      <formula1>$N$22:$AE$22</formula1>
    </dataValidation>
    <dataValidation type="list" allowBlank="1" showInputMessage="1" showErrorMessage="1" sqref="E11:E20" xr:uid="{5CEE1361-F46C-4A36-B390-9CB1BB700E55}">
      <formula1>$N$16:$O$16</formula1>
    </dataValidation>
    <dataValidation type="list" allowBlank="1" showInputMessage="1" showErrorMessage="1" sqref="C59:L59" xr:uid="{260BF3FF-DC15-4A7F-AFA7-1C76B366AE21}">
      <formula1>$N$19:$AQ$19</formula1>
    </dataValidation>
  </dataValidations>
  <pageMargins left="0.7" right="0.7" top="0.75" bottom="0.75" header="0.3" footer="0.3"/>
  <pageSetup orientation="portrait" r:id="rId1"/>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E306F-9BE0-424A-97A3-8F48D5249372}">
  <sheetPr codeName="Sheet299">
    <tabColor indexed="9"/>
  </sheetPr>
  <dimension ref="A1:AQ166"/>
  <sheetViews>
    <sheetView zoomScale="85" zoomScaleNormal="85" workbookViewId="0">
      <selection activeCell="G207" sqref="G207"/>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Overhead Doors</v>
      </c>
      <c r="C7" s="97" t="s">
        <v>1630</v>
      </c>
      <c r="D7" s="97" t="s">
        <v>211</v>
      </c>
      <c r="E7" s="97">
        <f>C116</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Overhead Doors_CI,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Speed Overhead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Overhead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B165</f>
        <v>833.69379436912413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D165</f>
        <v>0.70833333333333337</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E165</f>
        <v>5880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F165</f>
        <v>7.0529492239408302</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1629</v>
      </c>
      <c r="F105" t="s">
        <v>1628</v>
      </c>
    </row>
    <row r="106" spans="1:22">
      <c r="B106" s="1" t="s">
        <v>1627</v>
      </c>
      <c r="F106" t="s">
        <v>1626</v>
      </c>
    </row>
    <row r="107" spans="1:22">
      <c r="B107" s="1" t="s">
        <v>1625</v>
      </c>
      <c r="F107" t="s">
        <v>1624</v>
      </c>
    </row>
    <row r="108" spans="1:22">
      <c r="B108" s="1" t="s">
        <v>1623</v>
      </c>
    </row>
    <row r="113" spans="2:8" s="63" customFormat="1" ht="15.75" thickBot="1">
      <c r="B113" s="63" t="s">
        <v>50</v>
      </c>
    </row>
    <row r="114" spans="2:8">
      <c r="B114" s="28"/>
      <c r="C114" s="28"/>
      <c r="D114" s="28"/>
      <c r="E114" s="28"/>
      <c r="F114" s="28"/>
      <c r="G114" s="28"/>
      <c r="H114" s="28"/>
    </row>
    <row r="115" spans="2:8">
      <c r="B115" s="505" t="s">
        <v>46</v>
      </c>
      <c r="C115" s="505" t="s">
        <v>45</v>
      </c>
      <c r="D115" s="505" t="s">
        <v>44</v>
      </c>
      <c r="E115" s="505" t="s">
        <v>43</v>
      </c>
    </row>
    <row r="116" spans="2:8">
      <c r="B116" s="286" t="s">
        <v>518</v>
      </c>
      <c r="C116" s="286">
        <v>16</v>
      </c>
      <c r="D116" s="286" t="s">
        <v>1587</v>
      </c>
      <c r="E116" s="286"/>
    </row>
    <row r="117" spans="2:8">
      <c r="B117" s="93" t="s">
        <v>438</v>
      </c>
      <c r="C117" s="93">
        <v>105</v>
      </c>
      <c r="D117" s="286" t="s">
        <v>1587</v>
      </c>
      <c r="E117" s="93"/>
    </row>
    <row r="118" spans="2:8" ht="15.75" thickBot="1">
      <c r="B118" s="93" t="s">
        <v>34</v>
      </c>
      <c r="C118" s="97">
        <v>0.91300000000000003</v>
      </c>
      <c r="D118" s="286" t="s">
        <v>1587</v>
      </c>
      <c r="E118" s="286"/>
    </row>
    <row r="119" spans="2:8" ht="15.75" thickBot="1">
      <c r="B119" s="93" t="s">
        <v>1622</v>
      </c>
      <c r="C119" s="526">
        <f>4.5*C130*(C131-C132)/1000</f>
        <v>107.60955194546005</v>
      </c>
      <c r="D119" s="286" t="s">
        <v>1587</v>
      </c>
      <c r="E119" s="286" t="s">
        <v>1621</v>
      </c>
    </row>
    <row r="120" spans="2:8">
      <c r="B120" s="93" t="s">
        <v>1484</v>
      </c>
      <c r="C120" s="93">
        <v>12</v>
      </c>
      <c r="D120" s="286" t="s">
        <v>1587</v>
      </c>
      <c r="E120" s="286"/>
    </row>
    <row r="121" spans="2:8">
      <c r="B121" s="93" t="s">
        <v>1620</v>
      </c>
      <c r="C121" s="93">
        <f>C124*(C125*12*((1/C126)+(1/C127)))/3600</f>
        <v>0.4375</v>
      </c>
      <c r="D121" s="286" t="s">
        <v>1587</v>
      </c>
      <c r="E121" s="286" t="s">
        <v>1619</v>
      </c>
    </row>
    <row r="122" spans="2:8">
      <c r="B122" s="93" t="s">
        <v>1618</v>
      </c>
      <c r="C122" s="93">
        <f>C124*(C125*12*((1/C128)+(1/C129)))/3600</f>
        <v>0.12760416666666666</v>
      </c>
      <c r="D122" s="286" t="s">
        <v>1587</v>
      </c>
      <c r="E122" s="286" t="s">
        <v>1617</v>
      </c>
    </row>
    <row r="123" spans="2:8">
      <c r="B123" s="93" t="s">
        <v>1616</v>
      </c>
      <c r="C123" s="97">
        <f>300</f>
        <v>300</v>
      </c>
      <c r="D123" s="286" t="s">
        <v>1587</v>
      </c>
      <c r="E123" s="93" t="s">
        <v>1615</v>
      </c>
    </row>
    <row r="124" spans="2:8">
      <c r="B124" s="93" t="s">
        <v>1614</v>
      </c>
      <c r="C124" s="93">
        <v>75</v>
      </c>
      <c r="D124" s="286" t="s">
        <v>1587</v>
      </c>
      <c r="E124" s="93" t="s">
        <v>1613</v>
      </c>
    </row>
    <row r="125" spans="2:8">
      <c r="B125" s="93" t="s">
        <v>1612</v>
      </c>
      <c r="C125" s="93">
        <v>7</v>
      </c>
      <c r="D125" s="286" t="s">
        <v>1587</v>
      </c>
      <c r="E125" s="93" t="s">
        <v>1611</v>
      </c>
    </row>
    <row r="126" spans="2:8">
      <c r="B126" s="93" t="s">
        <v>1610</v>
      </c>
      <c r="C126" s="93">
        <v>8</v>
      </c>
      <c r="D126" s="286" t="s">
        <v>1587</v>
      </c>
      <c r="E126" s="93"/>
    </row>
    <row r="127" spans="2:8">
      <c r="B127" s="93" t="s">
        <v>1609</v>
      </c>
      <c r="C127" s="93">
        <v>8</v>
      </c>
      <c r="D127" s="286" t="s">
        <v>1587</v>
      </c>
      <c r="E127" s="93"/>
    </row>
    <row r="128" spans="2:8">
      <c r="B128" s="93" t="s">
        <v>1608</v>
      </c>
      <c r="C128" s="93">
        <v>32</v>
      </c>
      <c r="D128" s="286" t="s">
        <v>1587</v>
      </c>
      <c r="E128" s="93"/>
    </row>
    <row r="129" spans="2:5" ht="15.75" thickBot="1">
      <c r="B129" s="93" t="s">
        <v>1607</v>
      </c>
      <c r="C129" s="93">
        <v>24</v>
      </c>
      <c r="D129" s="286" t="s">
        <v>1587</v>
      </c>
      <c r="E129" s="93"/>
    </row>
    <row r="130" spans="2:5" ht="15.75" thickBot="1">
      <c r="B130" s="93" t="s">
        <v>1606</v>
      </c>
      <c r="C130" s="526">
        <f>SQRT((C134*C134)+(C138*C138))</f>
        <v>3105.6147747607511</v>
      </c>
      <c r="D130" s="286" t="s">
        <v>1587</v>
      </c>
      <c r="E130" s="93" t="s">
        <v>1605</v>
      </c>
    </row>
    <row r="131" spans="2:5">
      <c r="B131" s="93" t="s">
        <v>1584</v>
      </c>
      <c r="C131" s="97">
        <f>I154</f>
        <v>36.200000000000003</v>
      </c>
      <c r="D131" s="286" t="s">
        <v>1587</v>
      </c>
      <c r="E131" s="93" t="s">
        <v>1604</v>
      </c>
    </row>
    <row r="132" spans="2:5">
      <c r="B132" s="93" t="s">
        <v>1578</v>
      </c>
      <c r="C132" s="97">
        <f>D159</f>
        <v>28.5</v>
      </c>
      <c r="D132" s="286" t="s">
        <v>1587</v>
      </c>
      <c r="E132" s="93" t="s">
        <v>1603</v>
      </c>
    </row>
    <row r="133" spans="2:5" ht="15.75" thickBot="1">
      <c r="B133" s="286"/>
      <c r="C133" s="286"/>
      <c r="D133" s="286" t="s">
        <v>1587</v>
      </c>
      <c r="E133" s="93"/>
    </row>
    <row r="134" spans="2:5" ht="15.75" thickBot="1">
      <c r="B134" s="93" t="s">
        <v>1602</v>
      </c>
      <c r="C134" s="526">
        <f>C135*C136*C137*C139*88</f>
        <v>1403.0533439999997</v>
      </c>
      <c r="D134" s="286" t="s">
        <v>1587</v>
      </c>
      <c r="E134" s="93"/>
    </row>
    <row r="135" spans="2:5">
      <c r="B135" s="93" t="s">
        <v>1583</v>
      </c>
      <c r="C135" s="528">
        <f>AVERAGE(O150:O154)</f>
        <v>4.1899999999999995</v>
      </c>
      <c r="D135" s="93" t="s">
        <v>35</v>
      </c>
      <c r="E135" s="93" t="s">
        <v>1601</v>
      </c>
    </row>
    <row r="136" spans="2:5">
      <c r="B136" s="93" t="s">
        <v>1582</v>
      </c>
      <c r="C136" s="527">
        <f>AVERAGE(T150:T154)</f>
        <v>0.22649999999999998</v>
      </c>
      <c r="D136" s="93" t="s">
        <v>35</v>
      </c>
      <c r="E136" s="93" t="s">
        <v>1600</v>
      </c>
    </row>
    <row r="137" spans="2:5" ht="15.75" thickBot="1">
      <c r="B137" s="93" t="s">
        <v>1599</v>
      </c>
      <c r="C137" s="93">
        <v>0.3</v>
      </c>
      <c r="D137" s="286" t="s">
        <v>1587</v>
      </c>
      <c r="E137" s="93" t="s">
        <v>1598</v>
      </c>
    </row>
    <row r="138" spans="2:5" ht="15.75" thickBot="1">
      <c r="B138" s="93" t="s">
        <v>1597</v>
      </c>
      <c r="C138" s="526">
        <f>C139*C143*60*SQRT(2*C140*C125*(C142-C141)/(2*(459.7+C142)))</f>
        <v>2770.6108429555184</v>
      </c>
      <c r="D138" s="286" t="s">
        <v>1587</v>
      </c>
      <c r="E138" s="93"/>
    </row>
    <row r="139" spans="2:5">
      <c r="B139" s="93" t="s">
        <v>1596</v>
      </c>
      <c r="C139" s="97">
        <f>2*(4*C125)</f>
        <v>56</v>
      </c>
      <c r="D139" s="286" t="s">
        <v>1587</v>
      </c>
      <c r="E139" s="286" t="s">
        <v>1595</v>
      </c>
    </row>
    <row r="140" spans="2:5">
      <c r="B140" s="93" t="s">
        <v>1594</v>
      </c>
      <c r="C140" s="93">
        <v>32.299999999999997</v>
      </c>
      <c r="D140" s="286" t="s">
        <v>1587</v>
      </c>
      <c r="E140" s="93" t="s">
        <v>1593</v>
      </c>
    </row>
    <row r="141" spans="2:5">
      <c r="B141" s="93" t="s">
        <v>1592</v>
      </c>
      <c r="C141" s="93">
        <v>72</v>
      </c>
      <c r="D141" s="286" t="s">
        <v>1587</v>
      </c>
      <c r="E141" s="93" t="s">
        <v>1591</v>
      </c>
    </row>
    <row r="142" spans="2:5" ht="15.75" thickBot="1">
      <c r="B142" s="93" t="s">
        <v>1590</v>
      </c>
      <c r="C142" s="93">
        <v>81.099999999999994</v>
      </c>
      <c r="D142" s="286" t="s">
        <v>1587</v>
      </c>
      <c r="E142" s="93" t="s">
        <v>1589</v>
      </c>
    </row>
    <row r="143" spans="2:5" ht="15.75" thickBot="1">
      <c r="B143" s="93" t="s">
        <v>1588</v>
      </c>
      <c r="C143" s="526">
        <f>0.4+0.0025*(C142-C141)</f>
        <v>0.42275000000000001</v>
      </c>
      <c r="D143" s="286" t="s">
        <v>1587</v>
      </c>
      <c r="E143" s="93" t="s">
        <v>1586</v>
      </c>
    </row>
    <row r="144" spans="2:5">
      <c r="B144" s="93"/>
      <c r="C144" s="93"/>
      <c r="D144" s="286"/>
      <c r="E144" s="93"/>
    </row>
    <row r="145" spans="2:20">
      <c r="B145" s="93"/>
      <c r="C145" s="93"/>
      <c r="D145" s="286"/>
      <c r="E145" s="93"/>
    </row>
    <row r="147" spans="2:20" ht="15.75" thickBot="1"/>
    <row r="148" spans="2:20" ht="15.75" thickBot="1">
      <c r="B148" s="525" t="s">
        <v>1466</v>
      </c>
      <c r="C148" s="719" t="s">
        <v>1585</v>
      </c>
      <c r="D148" s="720"/>
      <c r="E148" s="720"/>
      <c r="F148" s="720"/>
      <c r="G148" s="721"/>
      <c r="H148" s="719" t="s">
        <v>1584</v>
      </c>
      <c r="I148" s="720"/>
      <c r="J148" s="721"/>
      <c r="K148" s="719" t="s">
        <v>1583</v>
      </c>
      <c r="L148" s="720"/>
      <c r="M148" s="720"/>
      <c r="N148" s="720"/>
      <c r="O148" s="721"/>
      <c r="P148" s="719" t="s">
        <v>1582</v>
      </c>
      <c r="Q148" s="720"/>
      <c r="R148" s="720"/>
      <c r="S148" s="720"/>
      <c r="T148" s="721"/>
    </row>
    <row r="149" spans="2:20">
      <c r="B149" s="511"/>
      <c r="C149" s="524">
        <v>45</v>
      </c>
      <c r="D149" s="94">
        <v>50</v>
      </c>
      <c r="E149" s="94">
        <v>55</v>
      </c>
      <c r="F149" s="94">
        <v>60</v>
      </c>
      <c r="G149" s="512">
        <v>65</v>
      </c>
      <c r="H149" s="524">
        <v>67</v>
      </c>
      <c r="I149" s="94">
        <v>72</v>
      </c>
      <c r="J149" s="512">
        <v>77</v>
      </c>
      <c r="K149" s="523" t="s">
        <v>1581</v>
      </c>
      <c r="L149" s="522" t="s">
        <v>226</v>
      </c>
      <c r="M149" s="522" t="s">
        <v>1580</v>
      </c>
      <c r="N149" s="522" t="s">
        <v>1579</v>
      </c>
      <c r="O149" s="521" t="s">
        <v>590</v>
      </c>
      <c r="P149" s="523" t="s">
        <v>1581</v>
      </c>
      <c r="Q149" s="522" t="s">
        <v>226</v>
      </c>
      <c r="R149" s="522" t="s">
        <v>1580</v>
      </c>
      <c r="S149" s="522" t="s">
        <v>1579</v>
      </c>
      <c r="T149" s="521" t="s">
        <v>590</v>
      </c>
    </row>
    <row r="150" spans="2:20">
      <c r="B150" s="412" t="s">
        <v>1462</v>
      </c>
      <c r="C150" s="314">
        <v>194</v>
      </c>
      <c r="D150" s="93">
        <v>168</v>
      </c>
      <c r="E150" s="93">
        <v>148</v>
      </c>
      <c r="F150" s="93">
        <v>124</v>
      </c>
      <c r="G150" s="311">
        <v>97</v>
      </c>
      <c r="H150" s="314">
        <v>31.6</v>
      </c>
      <c r="I150" s="93">
        <v>33</v>
      </c>
      <c r="J150" s="311">
        <v>35.299999999999997</v>
      </c>
      <c r="K150" s="314">
        <v>4.2</v>
      </c>
      <c r="L150" s="93">
        <v>4.0999999999999996</v>
      </c>
      <c r="M150" s="93">
        <v>4.7</v>
      </c>
      <c r="N150" s="93">
        <v>4.8</v>
      </c>
      <c r="O150" s="520">
        <f>AVERAGE(K150:N150)</f>
        <v>4.45</v>
      </c>
      <c r="P150" s="314">
        <v>0.18</v>
      </c>
      <c r="Q150" s="93">
        <v>0.13</v>
      </c>
      <c r="R150" s="93">
        <v>0.3</v>
      </c>
      <c r="S150" s="93">
        <v>0.31</v>
      </c>
      <c r="T150" s="519">
        <f>AVERAGE(P150:S150)</f>
        <v>0.22999999999999998</v>
      </c>
    </row>
    <row r="151" spans="2:20">
      <c r="B151" s="412" t="s">
        <v>1461</v>
      </c>
      <c r="C151" s="314">
        <v>194</v>
      </c>
      <c r="D151" s="93">
        <v>173</v>
      </c>
      <c r="E151" s="93">
        <v>153</v>
      </c>
      <c r="F151" s="93">
        <v>127</v>
      </c>
      <c r="G151" s="311">
        <v>95</v>
      </c>
      <c r="H151" s="314">
        <v>32</v>
      </c>
      <c r="I151" s="93">
        <v>33.6</v>
      </c>
      <c r="J151" s="311">
        <v>35.4</v>
      </c>
      <c r="K151" s="314">
        <v>4.7</v>
      </c>
      <c r="L151" s="93">
        <v>4.5</v>
      </c>
      <c r="M151" s="93">
        <v>5.4</v>
      </c>
      <c r="N151" s="93">
        <v>4.5999999999999996</v>
      </c>
      <c r="O151" s="520">
        <f>AVERAGE(K151:N151)</f>
        <v>4.8</v>
      </c>
      <c r="P151" s="314">
        <v>0.18</v>
      </c>
      <c r="Q151" s="93">
        <v>0.17</v>
      </c>
      <c r="R151" s="93">
        <v>0.36</v>
      </c>
      <c r="S151" s="93">
        <v>0.26</v>
      </c>
      <c r="T151" s="519">
        <f>AVERAGE(P151:S151)</f>
        <v>0.24249999999999999</v>
      </c>
    </row>
    <row r="152" spans="2:20">
      <c r="B152" s="412" t="s">
        <v>1460</v>
      </c>
      <c r="C152" s="314">
        <v>214</v>
      </c>
      <c r="D152" s="93">
        <v>194</v>
      </c>
      <c r="E152" s="93">
        <v>174</v>
      </c>
      <c r="F152" s="93">
        <v>148</v>
      </c>
      <c r="G152" s="311">
        <v>114</v>
      </c>
      <c r="H152" s="314">
        <v>31.9</v>
      </c>
      <c r="I152" s="93">
        <v>34.6</v>
      </c>
      <c r="J152" s="311">
        <v>36.6</v>
      </c>
      <c r="K152" s="314">
        <v>4.0999999999999996</v>
      </c>
      <c r="L152" s="93">
        <v>3.7</v>
      </c>
      <c r="M152" s="93">
        <v>6</v>
      </c>
      <c r="N152" s="93">
        <v>5</v>
      </c>
      <c r="O152" s="520">
        <f>AVERAGE(K152:N152)</f>
        <v>4.7</v>
      </c>
      <c r="P152" s="314">
        <v>0.17</v>
      </c>
      <c r="Q152" s="93">
        <v>0.12</v>
      </c>
      <c r="R152" s="93">
        <v>0.46</v>
      </c>
      <c r="S152" s="93">
        <v>0.21</v>
      </c>
      <c r="T152" s="519">
        <f>AVERAGE(P152:S152)</f>
        <v>0.24</v>
      </c>
    </row>
    <row r="153" spans="2:20">
      <c r="B153" s="412" t="s">
        <v>1459</v>
      </c>
      <c r="C153" s="314">
        <v>258</v>
      </c>
      <c r="D153" s="93">
        <v>229</v>
      </c>
      <c r="E153" s="93">
        <v>208</v>
      </c>
      <c r="F153" s="93">
        <v>174</v>
      </c>
      <c r="G153" s="311">
        <v>138</v>
      </c>
      <c r="H153" s="314">
        <v>33.5</v>
      </c>
      <c r="I153" s="93">
        <v>35</v>
      </c>
      <c r="J153" s="311">
        <v>36.4</v>
      </c>
      <c r="K153" s="314">
        <v>3.3</v>
      </c>
      <c r="L153" s="93">
        <v>2.7</v>
      </c>
      <c r="M153" s="93">
        <v>3.8</v>
      </c>
      <c r="N153" s="93">
        <v>4.2</v>
      </c>
      <c r="O153" s="520">
        <f>AVERAGE(K153:N153)</f>
        <v>3.5</v>
      </c>
      <c r="P153" s="314">
        <v>0.21</v>
      </c>
      <c r="Q153" s="93">
        <v>0.15</v>
      </c>
      <c r="R153" s="93">
        <v>0.35</v>
      </c>
      <c r="S153" s="93">
        <v>0.16</v>
      </c>
      <c r="T153" s="519">
        <f>AVERAGE(P153:S153)</f>
        <v>0.2175</v>
      </c>
    </row>
    <row r="154" spans="2:20" ht="15.75" thickBot="1">
      <c r="B154" s="411" t="s">
        <v>1458</v>
      </c>
      <c r="C154" s="310">
        <v>222</v>
      </c>
      <c r="D154" s="308">
        <v>201</v>
      </c>
      <c r="E154" s="308">
        <v>181</v>
      </c>
      <c r="F154" s="308">
        <v>158</v>
      </c>
      <c r="G154" s="306">
        <v>130</v>
      </c>
      <c r="H154" s="310">
        <v>34.6</v>
      </c>
      <c r="I154" s="308">
        <v>36.200000000000003</v>
      </c>
      <c r="J154" s="306">
        <v>37.700000000000003</v>
      </c>
      <c r="K154" s="310">
        <v>3.1</v>
      </c>
      <c r="L154" s="308">
        <v>2.9</v>
      </c>
      <c r="M154" s="308">
        <v>4.4000000000000004</v>
      </c>
      <c r="N154" s="308">
        <v>3.6</v>
      </c>
      <c r="O154" s="518">
        <f>AVERAGE(K154:N154)</f>
        <v>3.5</v>
      </c>
      <c r="P154" s="310">
        <v>0.18</v>
      </c>
      <c r="Q154" s="308">
        <v>0.15</v>
      </c>
      <c r="R154" s="308">
        <v>0.37</v>
      </c>
      <c r="S154" s="308">
        <v>0.11</v>
      </c>
      <c r="T154" s="517">
        <f>AVERAGE(P154:S154)</f>
        <v>0.20249999999999999</v>
      </c>
    </row>
    <row r="155" spans="2:20" ht="15.75" thickBot="1">
      <c r="B155" s="516" t="s">
        <v>590</v>
      </c>
      <c r="C155" s="515"/>
      <c r="D155" s="515"/>
      <c r="E155" s="515"/>
      <c r="F155" s="515"/>
      <c r="G155" s="514"/>
      <c r="H155" s="514"/>
      <c r="I155" s="514"/>
      <c r="J155" s="514"/>
      <c r="K155" s="514"/>
      <c r="L155" s="514"/>
      <c r="M155" s="514"/>
      <c r="N155" s="514"/>
      <c r="O155" s="514"/>
      <c r="P155" s="514"/>
      <c r="Q155" s="514"/>
      <c r="R155" s="514"/>
      <c r="S155" s="514"/>
      <c r="T155" s="513"/>
    </row>
    <row r="156" spans="2:20" ht="15.75" thickBot="1"/>
    <row r="157" spans="2:20" ht="15.75" thickBot="1">
      <c r="B157" s="413"/>
      <c r="C157" s="719" t="s">
        <v>1578</v>
      </c>
      <c r="D157" s="720"/>
      <c r="E157" s="721"/>
    </row>
    <row r="158" spans="2:20">
      <c r="B158" s="511" t="s">
        <v>1577</v>
      </c>
      <c r="C158" s="94">
        <v>67</v>
      </c>
      <c r="D158" s="94">
        <v>72</v>
      </c>
      <c r="E158" s="512">
        <v>77</v>
      </c>
    </row>
    <row r="159" spans="2:20">
      <c r="B159" s="511">
        <v>60</v>
      </c>
      <c r="C159" s="93">
        <v>25.5</v>
      </c>
      <c r="D159" s="93">
        <v>28.5</v>
      </c>
      <c r="E159" s="311">
        <v>31.8</v>
      </c>
    </row>
    <row r="160" spans="2:20">
      <c r="B160" s="511">
        <v>50</v>
      </c>
      <c r="C160" s="93">
        <v>23.9</v>
      </c>
      <c r="D160" s="93">
        <v>26.6</v>
      </c>
      <c r="E160" s="311">
        <v>29.5</v>
      </c>
    </row>
    <row r="161" spans="2:7" ht="15.75" thickBot="1">
      <c r="B161" s="510">
        <v>40</v>
      </c>
      <c r="C161" s="308">
        <v>22.3</v>
      </c>
      <c r="D161" s="308">
        <v>24.7</v>
      </c>
      <c r="E161" s="306">
        <v>27.3</v>
      </c>
    </row>
    <row r="164" spans="2:7">
      <c r="B164" s="94" t="s">
        <v>1561</v>
      </c>
      <c r="C164" s="94" t="s">
        <v>499</v>
      </c>
      <c r="D164" s="497" t="s">
        <v>244</v>
      </c>
      <c r="E164" s="496" t="s">
        <v>9</v>
      </c>
      <c r="F164" s="94" t="s">
        <v>8</v>
      </c>
      <c r="G164" s="94" t="s">
        <v>7</v>
      </c>
    </row>
    <row r="165" spans="2:7">
      <c r="B165" s="93">
        <f>(C119/C120)*(C121-C122)*C123</f>
        <v>833.69379436912413</v>
      </c>
      <c r="C165" s="93">
        <f>B165*C118/(C123*24)</f>
        <v>0.10571700475819588</v>
      </c>
      <c r="D165" s="93">
        <f>B165/((C119/C120)*C121*C123)</f>
        <v>0.70833333333333337</v>
      </c>
      <c r="E165" s="93">
        <f>C117*C139</f>
        <v>5880</v>
      </c>
      <c r="F165" s="93">
        <f>E165/B165</f>
        <v>7.0529492239408302</v>
      </c>
      <c r="G165" s="93"/>
    </row>
    <row r="166" spans="2:7">
      <c r="B166" s="93"/>
      <c r="C166" s="93"/>
      <c r="D166" s="93"/>
      <c r="E166" s="93"/>
      <c r="F166" s="93"/>
      <c r="G166" s="93"/>
    </row>
  </sheetData>
  <mergeCells count="5">
    <mergeCell ref="C148:G148"/>
    <mergeCell ref="H148:J148"/>
    <mergeCell ref="C157:E157"/>
    <mergeCell ref="K148:O148"/>
    <mergeCell ref="P148:T148"/>
  </mergeCells>
  <dataValidations count="5">
    <dataValidation type="list" allowBlank="1" showInputMessage="1" showErrorMessage="1" sqref="D7" xr:uid="{9CBD9552-31B9-4B01-B1BC-BBE62BB03E55}">
      <formula1>$N$11:$O$11</formula1>
    </dataValidation>
    <dataValidation type="list" allowBlank="1" showInputMessage="1" showErrorMessage="1" sqref="B11:C20" xr:uid="{D7A5ABD2-A086-419F-BF1A-D2DA158FBFCA}">
      <formula1>$N$7:$Q$7</formula1>
    </dataValidation>
    <dataValidation type="list" allowBlank="1" showInputMessage="1" showErrorMessage="1" sqref="D11:D20" xr:uid="{66E609B9-47CC-4E10-9367-8D7D918D85AD}">
      <formula1>$N$22:$AE$22</formula1>
    </dataValidation>
    <dataValidation type="list" allowBlank="1" showInputMessage="1" showErrorMessage="1" sqref="E11:E20" xr:uid="{9619687E-0F8B-454B-83ED-E45F621E7E7B}">
      <formula1>$N$16:$O$16</formula1>
    </dataValidation>
    <dataValidation type="list" allowBlank="1" showInputMessage="1" showErrorMessage="1" sqref="C59:L59" xr:uid="{159A561E-BAFF-485F-8C5D-F5830F56F449}">
      <formula1>$N$19:$AQ$19</formula1>
    </dataValidation>
  </dataValidations>
  <pageMargins left="0.7" right="0.7" top="0.75" bottom="0.75" header="0.3" footer="0.3"/>
  <pageSetup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8E5F-F208-4818-A416-C6D82DAD7EB8}">
  <sheetPr codeName="Sheet300">
    <tabColor indexed="9"/>
  </sheetPr>
  <dimension ref="A1:AQ190"/>
  <sheetViews>
    <sheetView topLeftCell="A119" zoomScale="85" zoomScaleNormal="85" workbookViewId="0">
      <selection activeCell="K143" sqref="K143"/>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Rollup Doors</v>
      </c>
      <c r="C7" s="97" t="s">
        <v>1630</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Rollup Doors_CI,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Speed Rollup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Rollup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t="e">
        <f>#REF!</f>
        <v>#REF!</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t="e">
        <f>#REF!</f>
        <v>#REF!</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t="e">
        <f>#REF!</f>
        <v>#REF!</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t="str">
        <f t="shared" ref="C69:L69" si="21">IFERROR(C68/C64,"")</f>
        <v/>
      </c>
      <c r="D69" s="70" t="str">
        <f t="shared" si="21"/>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F105"/>
    </row>
    <row r="106" spans="1:22">
      <c r="F106"/>
    </row>
    <row r="107" spans="1:22">
      <c r="F107"/>
    </row>
    <row r="113" spans="2:8" s="63" customFormat="1" ht="15.75" thickBot="1">
      <c r="B113" s="63" t="s">
        <v>50</v>
      </c>
    </row>
    <row r="114" spans="2:8">
      <c r="B114" s="28"/>
      <c r="C114" s="28"/>
      <c r="D114" s="28"/>
      <c r="E114" s="28"/>
      <c r="F114" s="28"/>
      <c r="G114" s="28"/>
      <c r="H114" s="28"/>
    </row>
    <row r="115" spans="2:8">
      <c r="B115" s="505" t="s">
        <v>46</v>
      </c>
      <c r="C115" s="505" t="s">
        <v>45</v>
      </c>
      <c r="D115" s="505" t="s">
        <v>44</v>
      </c>
      <c r="E115" s="505" t="s">
        <v>43</v>
      </c>
    </row>
    <row r="116" spans="2:8">
      <c r="B116" s="286" t="s">
        <v>518</v>
      </c>
      <c r="C116" s="286">
        <v>16</v>
      </c>
      <c r="D116" s="286" t="s">
        <v>1587</v>
      </c>
      <c r="E116" s="286"/>
    </row>
    <row r="117" spans="2:8">
      <c r="B117" s="93" t="s">
        <v>438</v>
      </c>
      <c r="C117" s="93">
        <v>150</v>
      </c>
      <c r="D117" s="286" t="s">
        <v>1587</v>
      </c>
      <c r="E117" s="93"/>
    </row>
    <row r="118" spans="2:8">
      <c r="B118" s="93" t="s">
        <v>34</v>
      </c>
      <c r="C118" s="97">
        <v>1</v>
      </c>
      <c r="D118" s="286" t="s">
        <v>1587</v>
      </c>
      <c r="E118" s="286"/>
    </row>
    <row r="119" spans="2:8">
      <c r="B119" s="93" t="s">
        <v>1632</v>
      </c>
      <c r="C119" s="93"/>
      <c r="D119" s="286"/>
      <c r="E119" s="93" t="s">
        <v>1662</v>
      </c>
    </row>
    <row r="120" spans="2:8">
      <c r="B120" s="93" t="s">
        <v>1579</v>
      </c>
      <c r="C120" s="93">
        <v>10</v>
      </c>
      <c r="D120" s="286"/>
      <c r="E120" s="93" t="s">
        <v>1661</v>
      </c>
    </row>
    <row r="121" spans="2:8">
      <c r="B121" s="93" t="s">
        <v>575</v>
      </c>
      <c r="C121" s="93">
        <v>10</v>
      </c>
      <c r="D121" s="286"/>
      <c r="E121" s="93" t="s">
        <v>1660</v>
      </c>
    </row>
    <row r="122" spans="2:8" ht="15.75" thickBot="1">
      <c r="B122" s="93" t="s">
        <v>1636</v>
      </c>
      <c r="C122" s="93" t="s">
        <v>35</v>
      </c>
      <c r="D122" s="286"/>
      <c r="E122" s="93" t="s">
        <v>1659</v>
      </c>
    </row>
    <row r="123" spans="2:8" ht="15.75" thickBot="1">
      <c r="B123" s="93" t="s">
        <v>578</v>
      </c>
      <c r="C123" s="526">
        <f>C120*C121</f>
        <v>100</v>
      </c>
      <c r="D123" s="286"/>
      <c r="E123" s="93"/>
    </row>
    <row r="124" spans="2:8">
      <c r="B124" s="93" t="s">
        <v>1635</v>
      </c>
      <c r="C124" s="93" t="s">
        <v>35</v>
      </c>
      <c r="D124" s="286"/>
      <c r="E124" s="93" t="s">
        <v>1658</v>
      </c>
    </row>
    <row r="125" spans="2:8">
      <c r="B125" s="93" t="s">
        <v>1634</v>
      </c>
      <c r="C125" s="93" t="s">
        <v>35</v>
      </c>
      <c r="D125" s="286"/>
      <c r="E125" s="93"/>
    </row>
    <row r="126" spans="2:8" ht="15.75" thickBot="1">
      <c r="B126" s="93" t="s">
        <v>1633</v>
      </c>
      <c r="C126" s="93" t="s">
        <v>35</v>
      </c>
      <c r="D126" s="286"/>
      <c r="E126" s="93"/>
    </row>
    <row r="127" spans="2:8" ht="15.75" thickBot="1">
      <c r="B127" s="93" t="s">
        <v>1657</v>
      </c>
      <c r="C127" s="526">
        <v>1</v>
      </c>
      <c r="D127" s="286"/>
      <c r="E127" s="93" t="s">
        <v>1656</v>
      </c>
    </row>
    <row r="128" spans="2:8" ht="15.75" thickBot="1">
      <c r="B128" s="93" t="s">
        <v>1655</v>
      </c>
      <c r="C128" s="526">
        <f>((C129*C130)+(60*C131))/(3600*C132)</f>
        <v>6.2291666666666669E-2</v>
      </c>
      <c r="D128" s="286"/>
      <c r="E128" s="93"/>
    </row>
    <row r="129" spans="2:5">
      <c r="B129" s="93" t="s">
        <v>223</v>
      </c>
      <c r="C129" s="93">
        <v>5.9</v>
      </c>
      <c r="D129" s="286"/>
      <c r="E129" s="93" t="s">
        <v>1654</v>
      </c>
    </row>
    <row r="130" spans="2:5">
      <c r="B130" s="93" t="s">
        <v>1653</v>
      </c>
      <c r="C130" s="93">
        <v>7.5</v>
      </c>
      <c r="D130" s="286"/>
      <c r="E130" s="93" t="s">
        <v>1652</v>
      </c>
    </row>
    <row r="131" spans="2:5">
      <c r="B131" s="93" t="s">
        <v>1651</v>
      </c>
      <c r="C131" s="93">
        <v>3</v>
      </c>
      <c r="D131" s="286"/>
      <c r="E131" s="93" t="s">
        <v>1650</v>
      </c>
    </row>
    <row r="132" spans="2:5" ht="15.75" thickBot="1">
      <c r="B132" s="93" t="s">
        <v>1649</v>
      </c>
      <c r="C132" s="93">
        <v>1</v>
      </c>
      <c r="D132" s="286"/>
      <c r="E132" s="93" t="s">
        <v>1648</v>
      </c>
    </row>
    <row r="133" spans="2:5" ht="15.75" thickBot="1">
      <c r="B133" s="93" t="s">
        <v>1647</v>
      </c>
      <c r="C133" s="526">
        <f>(C129*C130)/(3600*C132)</f>
        <v>1.2291666666666666E-2</v>
      </c>
      <c r="D133" s="286"/>
      <c r="E133" s="93" t="s">
        <v>1646</v>
      </c>
    </row>
    <row r="134" spans="2:5">
      <c r="B134" s="93" t="s">
        <v>1645</v>
      </c>
      <c r="C134" s="93">
        <v>0.85</v>
      </c>
      <c r="D134" s="286"/>
      <c r="E134" s="93" t="s">
        <v>1644</v>
      </c>
    </row>
    <row r="135" spans="2:5">
      <c r="B135" s="93" t="s">
        <v>1643</v>
      </c>
      <c r="C135" s="93">
        <v>0</v>
      </c>
      <c r="D135" s="286"/>
      <c r="E135" s="93" t="s">
        <v>1642</v>
      </c>
    </row>
    <row r="136" spans="2:5">
      <c r="B136" s="93" t="s">
        <v>1641</v>
      </c>
      <c r="C136" s="93">
        <v>1.49</v>
      </c>
      <c r="D136" s="286"/>
      <c r="E136" s="93" t="s">
        <v>1640</v>
      </c>
    </row>
    <row r="137" spans="2:5">
      <c r="B137" s="93" t="s">
        <v>1639</v>
      </c>
      <c r="C137" s="93">
        <v>2959</v>
      </c>
      <c r="D137" s="286"/>
      <c r="E137" s="93" t="s">
        <v>1638</v>
      </c>
    </row>
    <row r="138" spans="2:5">
      <c r="B138" s="93"/>
      <c r="C138" s="93"/>
      <c r="D138" s="286"/>
      <c r="E138" s="93"/>
    </row>
    <row r="139" spans="2:5">
      <c r="B139" s="93"/>
      <c r="C139" s="93"/>
      <c r="D139" s="286"/>
      <c r="E139" s="93"/>
    </row>
    <row r="140" spans="2:5">
      <c r="B140" s="93"/>
      <c r="C140" s="93"/>
      <c r="D140" s="286"/>
      <c r="E140" s="93"/>
    </row>
    <row r="141" spans="2:5">
      <c r="B141" s="93"/>
      <c r="C141" s="93"/>
      <c r="D141" s="286"/>
      <c r="E141" s="93"/>
    </row>
    <row r="142" spans="2:5">
      <c r="B142" s="93"/>
      <c r="C142" s="93"/>
      <c r="D142" s="286"/>
      <c r="E142" s="93"/>
    </row>
    <row r="143" spans="2:5">
      <c r="B143" s="93"/>
      <c r="C143" s="93"/>
      <c r="D143" s="286"/>
      <c r="E143" s="93"/>
    </row>
    <row r="144" spans="2:5">
      <c r="B144" s="93"/>
      <c r="C144" s="93"/>
      <c r="D144" s="286"/>
      <c r="E144" s="93"/>
    </row>
    <row r="145" spans="2:20">
      <c r="D145"/>
      <c r="E145"/>
    </row>
    <row r="146" spans="2:20">
      <c r="D146"/>
      <c r="E146"/>
    </row>
    <row r="147" spans="2:20">
      <c r="D147"/>
    </row>
    <row r="148" spans="2:20">
      <c r="B148" s="94" t="s">
        <v>1637</v>
      </c>
      <c r="C148" s="94" t="s">
        <v>1636</v>
      </c>
      <c r="D148" s="94" t="s">
        <v>1635</v>
      </c>
      <c r="E148" s="94" t="s">
        <v>1634</v>
      </c>
      <c r="F148" s="94" t="s">
        <v>1633</v>
      </c>
      <c r="G148" s="94" t="s">
        <v>1632</v>
      </c>
      <c r="H148" s="94" t="s">
        <v>500</v>
      </c>
      <c r="I148" s="94" t="s">
        <v>499</v>
      </c>
      <c r="J148" s="497" t="s">
        <v>244</v>
      </c>
      <c r="K148" s="496" t="s">
        <v>9</v>
      </c>
      <c r="L148" s="94" t="s">
        <v>8</v>
      </c>
      <c r="M148" s="94" t="s">
        <v>7</v>
      </c>
      <c r="N148" s="94"/>
      <c r="O148" s="94"/>
      <c r="P148" s="94"/>
      <c r="Q148" s="94"/>
      <c r="R148" s="94"/>
      <c r="S148" s="94"/>
      <c r="T148" s="94"/>
    </row>
    <row r="149" spans="2:20">
      <c r="B149" s="93" t="s">
        <v>615</v>
      </c>
      <c r="C149" s="93">
        <v>0.9</v>
      </c>
      <c r="D149" s="93">
        <v>0.59</v>
      </c>
      <c r="E149" s="93">
        <v>0.8</v>
      </c>
      <c r="F149" s="93">
        <v>2.4</v>
      </c>
      <c r="G149" s="93">
        <f>3790*SQRT($C$121)*(C149/D149)</f>
        <v>18282.252709888719</v>
      </c>
      <c r="H149" s="93">
        <f>(0.000008333*G149*E149*F149*(($C$127*(1-$C$134))-($C$128*(1-$C$135)))-($C$133*$C$136))*$C$137</f>
        <v>21.720495289852416</v>
      </c>
      <c r="I149" s="93">
        <f>H149*$C$118/$C$137</f>
        <v>7.3404850590917253E-3</v>
      </c>
      <c r="J149" s="93"/>
      <c r="K149" s="532">
        <f>$C$117*$C$123</f>
        <v>15000</v>
      </c>
      <c r="L149" s="532">
        <f>K149/H149</f>
        <v>690.59198696117392</v>
      </c>
      <c r="M149" s="532"/>
      <c r="N149" s="532"/>
      <c r="O149" s="532"/>
      <c r="P149" s="532"/>
      <c r="Q149" s="532"/>
      <c r="R149" s="532"/>
      <c r="S149" s="532"/>
      <c r="T149" s="532"/>
    </row>
    <row r="150" spans="2:20">
      <c r="B150" s="93" t="s">
        <v>1631</v>
      </c>
      <c r="C150" s="93">
        <v>0.3</v>
      </c>
      <c r="D150" s="93">
        <v>0.47</v>
      </c>
      <c r="E150" s="93">
        <v>1.1000000000000001</v>
      </c>
      <c r="F150" s="93">
        <v>1.6</v>
      </c>
      <c r="G150" s="93">
        <f>3790*SQRT($C$121)*(C150/D150)</f>
        <v>7650.0206374711652</v>
      </c>
      <c r="H150" s="93">
        <f>(0.000008333*G150*E150*F150*(($C$127*(1-$C$134))-($C$128*(1-$C$135)))-($C$133*$C$136))*$C$137</f>
        <v>-25.074789172460068</v>
      </c>
      <c r="I150" s="93">
        <f>H150*$C$118/$C$137</f>
        <v>-8.4740754215816387E-3</v>
      </c>
      <c r="J150" s="93"/>
      <c r="K150" s="532">
        <f>$C$117*$C$123</f>
        <v>15000</v>
      </c>
      <c r="L150" s="532">
        <f>K150/H150</f>
        <v>-598.210413528608</v>
      </c>
      <c r="M150" s="93"/>
      <c r="N150" s="93"/>
      <c r="O150" s="531"/>
      <c r="P150" s="93"/>
      <c r="Q150" s="93"/>
      <c r="R150" s="93"/>
      <c r="S150" s="93"/>
      <c r="T150" s="530"/>
    </row>
    <row r="151" spans="2:20">
      <c r="B151" s="93"/>
      <c r="C151" s="93"/>
      <c r="D151" s="93"/>
      <c r="E151" s="93"/>
      <c r="F151" s="93"/>
      <c r="G151" s="93"/>
      <c r="H151" s="93"/>
      <c r="I151" s="93"/>
      <c r="J151" s="93"/>
      <c r="K151" s="93"/>
      <c r="L151" s="93"/>
      <c r="M151" s="93"/>
      <c r="N151" s="93"/>
      <c r="O151" s="531"/>
      <c r="P151" s="93"/>
      <c r="Q151" s="93"/>
      <c r="R151" s="93"/>
      <c r="S151" s="93"/>
      <c r="T151" s="530"/>
    </row>
    <row r="152" spans="2:20">
      <c r="B152" s="93"/>
      <c r="C152" s="93"/>
      <c r="D152" s="93"/>
      <c r="E152" s="93"/>
      <c r="F152" s="93"/>
      <c r="G152" s="93"/>
      <c r="H152" s="93"/>
      <c r="I152" s="93"/>
      <c r="J152" s="93"/>
      <c r="K152" s="93"/>
      <c r="L152" s="93"/>
      <c r="M152" s="93"/>
      <c r="N152" s="93"/>
      <c r="O152" s="531"/>
      <c r="P152" s="93"/>
      <c r="Q152" s="93"/>
      <c r="R152" s="93"/>
      <c r="S152" s="93"/>
      <c r="T152" s="530"/>
    </row>
    <row r="153" spans="2:20">
      <c r="B153" s="93"/>
      <c r="C153" s="93"/>
      <c r="D153" s="93"/>
      <c r="E153" s="93"/>
      <c r="F153" s="93"/>
      <c r="G153" s="93"/>
      <c r="H153" s="93"/>
      <c r="I153" s="93"/>
      <c r="J153" s="93"/>
      <c r="K153" s="93"/>
      <c r="L153" s="93"/>
      <c r="M153" s="93"/>
      <c r="N153" s="93"/>
      <c r="O153" s="531"/>
      <c r="P153" s="93"/>
      <c r="Q153" s="93"/>
      <c r="R153" s="93"/>
      <c r="S153" s="93"/>
      <c r="T153" s="530"/>
    </row>
    <row r="154" spans="2:20">
      <c r="B154" s="93"/>
      <c r="C154" s="93"/>
      <c r="D154" s="93"/>
      <c r="E154" s="93"/>
      <c r="F154" s="93"/>
      <c r="G154" s="93"/>
      <c r="H154" s="93"/>
      <c r="I154" s="93"/>
      <c r="J154" s="93"/>
      <c r="K154" s="93"/>
      <c r="L154" s="93"/>
      <c r="M154" s="93"/>
      <c r="N154" s="93"/>
      <c r="O154" s="531"/>
      <c r="P154" s="93"/>
      <c r="Q154" s="93"/>
      <c r="R154" s="93"/>
      <c r="S154" s="93"/>
      <c r="T154" s="530"/>
    </row>
    <row r="155" spans="2:20">
      <c r="B155" s="93"/>
      <c r="C155" s="93"/>
      <c r="D155" s="93"/>
      <c r="E155" s="93"/>
      <c r="F155" s="93"/>
      <c r="G155" s="93"/>
      <c r="H155" s="93"/>
      <c r="I155" s="93"/>
      <c r="J155" s="93"/>
      <c r="K155" s="93"/>
      <c r="L155" s="93"/>
      <c r="M155" s="93"/>
      <c r="N155" s="93"/>
      <c r="O155" s="93"/>
      <c r="P155" s="93"/>
      <c r="Q155" s="93"/>
      <c r="R155" s="93"/>
      <c r="S155" s="93"/>
      <c r="T155" s="93"/>
    </row>
    <row r="156" spans="2:20">
      <c r="D156"/>
    </row>
    <row r="157" spans="2:20">
      <c r="B157"/>
      <c r="C157"/>
      <c r="D157"/>
    </row>
    <row r="158" spans="2:20">
      <c r="D158"/>
    </row>
    <row r="159" spans="2:20">
      <c r="C159" s="529"/>
    </row>
    <row r="160" spans="2:20">
      <c r="C160" s="324"/>
    </row>
    <row r="161" spans="4:5">
      <c r="D161"/>
    </row>
    <row r="162" spans="4:5">
      <c r="D162"/>
    </row>
    <row r="163" spans="4:5">
      <c r="D163"/>
      <c r="E163"/>
    </row>
    <row r="164" spans="4:5">
      <c r="D164"/>
    </row>
    <row r="165" spans="4:5">
      <c r="D165"/>
    </row>
    <row r="166" spans="4:5">
      <c r="D166"/>
    </row>
    <row r="167" spans="4:5">
      <c r="D167"/>
    </row>
    <row r="180" spans="2:7" ht="15.75" thickBot="1"/>
    <row r="181" spans="2:7" ht="15.75" thickBot="1">
      <c r="B181" s="413"/>
      <c r="C181" s="719" t="s">
        <v>1578</v>
      </c>
      <c r="D181" s="720"/>
      <c r="E181" s="721"/>
    </row>
    <row r="182" spans="2:7">
      <c r="B182" s="511" t="s">
        <v>1577</v>
      </c>
      <c r="C182" s="94">
        <v>67</v>
      </c>
      <c r="D182" s="94">
        <v>72</v>
      </c>
      <c r="E182" s="512">
        <v>77</v>
      </c>
    </row>
    <row r="183" spans="2:7">
      <c r="B183" s="511">
        <v>60</v>
      </c>
      <c r="C183" s="93">
        <v>25.5</v>
      </c>
      <c r="D183" s="93">
        <v>28.5</v>
      </c>
      <c r="E183" s="311">
        <v>31.8</v>
      </c>
    </row>
    <row r="184" spans="2:7">
      <c r="B184" s="511">
        <v>50</v>
      </c>
      <c r="C184" s="93">
        <v>23.9</v>
      </c>
      <c r="D184" s="93">
        <v>26.6</v>
      </c>
      <c r="E184" s="311">
        <v>29.5</v>
      </c>
    </row>
    <row r="185" spans="2:7" ht="15.75" thickBot="1">
      <c r="B185" s="510">
        <v>40</v>
      </c>
      <c r="C185" s="308">
        <v>22.3</v>
      </c>
      <c r="D185" s="308">
        <v>24.7</v>
      </c>
      <c r="E185" s="306">
        <v>27.3</v>
      </c>
    </row>
    <row r="188" spans="2:7">
      <c r="B188" s="94" t="s">
        <v>1561</v>
      </c>
      <c r="C188" s="94" t="s">
        <v>499</v>
      </c>
      <c r="D188" s="497" t="s">
        <v>244</v>
      </c>
      <c r="E188" s="496" t="s">
        <v>9</v>
      </c>
      <c r="F188" s="94" t="s">
        <v>8</v>
      </c>
      <c r="G188" s="94" t="s">
        <v>7</v>
      </c>
    </row>
    <row r="189" spans="2:7">
      <c r="B189" s="93" t="e">
        <f>(#REF!/#REF!)*(C145-C146)*C147</f>
        <v>#REF!</v>
      </c>
      <c r="C189" s="93" t="e">
        <f>B189*C118/(C147*24)</f>
        <v>#REF!</v>
      </c>
      <c r="D189" s="93"/>
      <c r="E189" s="93">
        <f>C117</f>
        <v>150</v>
      </c>
      <c r="F189" s="93" t="e">
        <f>E189/B189</f>
        <v>#REF!</v>
      </c>
      <c r="G189" s="93"/>
    </row>
    <row r="190" spans="2:7">
      <c r="B190" s="93"/>
      <c r="C190" s="93"/>
      <c r="D190" s="93"/>
      <c r="E190" s="93"/>
      <c r="F190" s="93"/>
      <c r="G190" s="93"/>
    </row>
  </sheetData>
  <mergeCells count="1">
    <mergeCell ref="C181:E181"/>
  </mergeCells>
  <dataValidations count="5">
    <dataValidation type="list" allowBlank="1" showInputMessage="1" showErrorMessage="1" sqref="C59:L59" xr:uid="{E704EFB0-9B53-4359-B25F-09CC4D854587}">
      <formula1>$N$19:$AQ$19</formula1>
    </dataValidation>
    <dataValidation type="list" allowBlank="1" showInputMessage="1" showErrorMessage="1" sqref="E11:E20" xr:uid="{84550B27-F236-4193-B261-E72F9F295FE2}">
      <formula1>$N$16:$O$16</formula1>
    </dataValidation>
    <dataValidation type="list" allowBlank="1" showInputMessage="1" showErrorMessage="1" sqref="D11:D20" xr:uid="{2560D86F-C3D8-40EB-90C9-D3350B1D2E57}">
      <formula1>$N$22:$AE$22</formula1>
    </dataValidation>
    <dataValidation type="list" allowBlank="1" showInputMessage="1" showErrorMessage="1" sqref="B11:C20" xr:uid="{516BF781-069A-4D90-ABCE-E0B62E016181}">
      <formula1>$N$7:$Q$7</formula1>
    </dataValidation>
    <dataValidation type="list" allowBlank="1" showInputMessage="1" showErrorMessage="1" sqref="D7" xr:uid="{5F4EA1D2-071E-43DB-A7D0-A357A50901C3}">
      <formula1>$N$11:$O$11</formula1>
    </dataValidation>
  </dataValidations>
  <pageMargins left="0.7" right="0.7" top="0.75" bottom="0.75" header="0.3" footer="0.3"/>
  <pageSetup orientation="portrait" r:id="rId1"/>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F269-008C-4C28-A606-DFDD05FD54E9}">
  <sheetPr codeName="Sheet301">
    <tabColor indexed="9"/>
  </sheetPr>
  <dimension ref="A1:AQ161"/>
  <sheetViews>
    <sheetView topLeftCell="A90" zoomScale="85" zoomScaleNormal="85" workbookViewId="0">
      <selection activeCell="B126" sqref="B126:F126"/>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Door Heater Controls</v>
      </c>
      <c r="C7" s="97" t="s">
        <v>1630</v>
      </c>
      <c r="D7" s="97" t="s">
        <v>211</v>
      </c>
      <c r="E7" s="97">
        <f>C111</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Door Heater Controls_CI,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Door Heater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Door Heater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G126</f>
        <v>679.27734000000009</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I126</f>
        <v>0.44999999999999996</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J126</f>
        <v>83.256666666666661</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K126</f>
        <v>0.17882629878251957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F105"/>
    </row>
    <row r="106" spans="1:22">
      <c r="B106" s="1" t="s">
        <v>1683</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518</v>
      </c>
      <c r="C111" s="286">
        <v>16</v>
      </c>
      <c r="D111" s="286" t="s">
        <v>1678</v>
      </c>
      <c r="E111" s="286"/>
    </row>
    <row r="112" spans="1:22">
      <c r="B112" s="93" t="s">
        <v>438</v>
      </c>
      <c r="C112" s="93">
        <v>150</v>
      </c>
      <c r="D112" s="286" t="s">
        <v>1678</v>
      </c>
      <c r="E112" s="93"/>
    </row>
    <row r="113" spans="2:20">
      <c r="B113" s="93" t="s">
        <v>34</v>
      </c>
      <c r="C113" s="97">
        <v>0.44</v>
      </c>
      <c r="D113" s="286" t="s">
        <v>1678</v>
      </c>
      <c r="E113" s="286"/>
    </row>
    <row r="114" spans="2:20">
      <c r="B114" s="93" t="s">
        <v>1672</v>
      </c>
      <c r="C114" s="93" t="s">
        <v>35</v>
      </c>
      <c r="D114" s="286" t="s">
        <v>1678</v>
      </c>
      <c r="E114" s="93" t="s">
        <v>1682</v>
      </c>
    </row>
    <row r="115" spans="2:20">
      <c r="B115" s="93" t="s">
        <v>1681</v>
      </c>
      <c r="C115" s="93">
        <v>1</v>
      </c>
      <c r="D115" s="286" t="s">
        <v>1678</v>
      </c>
      <c r="E115" s="93" t="s">
        <v>1680</v>
      </c>
    </row>
    <row r="116" spans="2:20">
      <c r="B116" s="93" t="s">
        <v>1147</v>
      </c>
      <c r="C116" s="93">
        <v>0.45</v>
      </c>
      <c r="D116" s="286" t="s">
        <v>1678</v>
      </c>
      <c r="E116" s="93" t="s">
        <v>1679</v>
      </c>
    </row>
    <row r="117" spans="2:20">
      <c r="B117" s="93" t="s">
        <v>1673</v>
      </c>
      <c r="C117" s="93" t="s">
        <v>35</v>
      </c>
      <c r="D117" s="286" t="s">
        <v>1678</v>
      </c>
      <c r="E117" s="93" t="s">
        <v>1677</v>
      </c>
    </row>
    <row r="118" spans="2:20">
      <c r="B118" s="93"/>
      <c r="C118" s="93"/>
      <c r="D118" s="286"/>
      <c r="E118" s="93"/>
    </row>
    <row r="119" spans="2:20">
      <c r="D119"/>
      <c r="E119"/>
    </row>
    <row r="120" spans="2:20">
      <c r="D120"/>
      <c r="E120"/>
    </row>
    <row r="121" spans="2:20">
      <c r="D121"/>
    </row>
    <row r="122" spans="2:20" ht="45">
      <c r="B122" s="94" t="s">
        <v>1676</v>
      </c>
      <c r="C122" s="536" t="s">
        <v>1675</v>
      </c>
      <c r="D122" s="94" t="s">
        <v>1674</v>
      </c>
      <c r="E122" s="94" t="s">
        <v>1673</v>
      </c>
      <c r="F122" s="94" t="s">
        <v>1672</v>
      </c>
      <c r="G122" s="94" t="s">
        <v>500</v>
      </c>
      <c r="H122" s="94" t="s">
        <v>499</v>
      </c>
      <c r="I122" s="497" t="s">
        <v>244</v>
      </c>
      <c r="J122" s="496" t="s">
        <v>9</v>
      </c>
      <c r="K122" s="94" t="s">
        <v>8</v>
      </c>
      <c r="L122" s="94" t="s">
        <v>7</v>
      </c>
      <c r="M122" s="95"/>
      <c r="N122" s="95"/>
      <c r="O122" s="95"/>
      <c r="P122" s="95"/>
      <c r="Q122" s="95"/>
      <c r="R122" s="95"/>
      <c r="S122" s="95"/>
      <c r="T122" s="95"/>
    </row>
    <row r="123" spans="2:20">
      <c r="B123" s="93" t="s">
        <v>1671</v>
      </c>
      <c r="C123" s="93" t="s">
        <v>1670</v>
      </c>
      <c r="D123" s="93" t="s">
        <v>1669</v>
      </c>
      <c r="E123" s="93">
        <v>1.5</v>
      </c>
      <c r="F123" s="93">
        <v>0.23</v>
      </c>
      <c r="G123" s="93">
        <f>F123*$C$115*$C$116*E123*8766</f>
        <v>1360.9214999999999</v>
      </c>
      <c r="H123" s="93">
        <f>G123*$C$113/8766</f>
        <v>6.8309999999999996E-2</v>
      </c>
      <c r="I123" s="93">
        <f>$C$116</f>
        <v>0.45</v>
      </c>
      <c r="J123" s="535">
        <v>90.77</v>
      </c>
      <c r="K123" s="533">
        <f>J123/G123</f>
        <v>6.6697454629087716E-2</v>
      </c>
      <c r="L123" s="532">
        <f>1/COUNT($K$123:$K$125)</f>
        <v>0.33333333333333331</v>
      </c>
      <c r="M123" s="375"/>
      <c r="N123" s="375"/>
      <c r="O123" s="375"/>
      <c r="P123" s="375"/>
      <c r="Q123" s="375"/>
      <c r="R123" s="375"/>
      <c r="S123" s="375"/>
      <c r="T123" s="375"/>
    </row>
    <row r="124" spans="2:20">
      <c r="B124" s="93" t="s">
        <v>1668</v>
      </c>
      <c r="C124" s="93" t="s">
        <v>1667</v>
      </c>
      <c r="D124" s="93" t="s">
        <v>1666</v>
      </c>
      <c r="E124" s="93">
        <v>1.3</v>
      </c>
      <c r="F124" s="93">
        <v>6.6000000000000003E-2</v>
      </c>
      <c r="G124" s="93">
        <f>F124*$C$115*$C$116*E124*8766</f>
        <v>338.45526000000007</v>
      </c>
      <c r="H124" s="93">
        <f>G124*$C$113/8766</f>
        <v>1.6988400000000004E-2</v>
      </c>
      <c r="I124" s="93">
        <f>$C$116</f>
        <v>0.45</v>
      </c>
      <c r="J124" s="535">
        <v>79.5</v>
      </c>
      <c r="K124" s="533">
        <f>J124/G124</f>
        <v>0.23489072085923554</v>
      </c>
      <c r="L124" s="532">
        <f>1/COUNT($K$123:$K$125)</f>
        <v>0.33333333333333331</v>
      </c>
      <c r="O124" s="529"/>
      <c r="T124" s="324"/>
    </row>
    <row r="125" spans="2:20">
      <c r="B125" s="93" t="s">
        <v>1665</v>
      </c>
      <c r="C125" s="93" t="s">
        <v>1664</v>
      </c>
      <c r="D125" s="93" t="s">
        <v>1663</v>
      </c>
      <c r="E125" s="93">
        <v>1.3</v>
      </c>
      <c r="F125" s="93">
        <v>6.6000000000000003E-2</v>
      </c>
      <c r="G125" s="93">
        <f>F125*$C$115*$C$116*E125*8766</f>
        <v>338.45526000000007</v>
      </c>
      <c r="H125" s="93">
        <f>G125*$C$113/8766</f>
        <v>1.6988400000000004E-2</v>
      </c>
      <c r="I125" s="93">
        <f>$C$116</f>
        <v>0.45</v>
      </c>
      <c r="J125" s="534">
        <v>79.5</v>
      </c>
      <c r="K125" s="533">
        <f>J125/G125</f>
        <v>0.23489072085923554</v>
      </c>
      <c r="L125" s="532">
        <f>1/COUNT($K$123:$K$125)</f>
        <v>0.33333333333333331</v>
      </c>
      <c r="O125" s="529"/>
      <c r="T125" s="324"/>
    </row>
    <row r="126" spans="2:20">
      <c r="B126" s="7" t="s">
        <v>0</v>
      </c>
      <c r="C126" s="7"/>
      <c r="D126" s="7"/>
      <c r="E126" s="7"/>
      <c r="F126" s="7"/>
      <c r="G126" s="7">
        <f>SUMPRODUCT(G123:G125,$L$123:$L$125)</f>
        <v>679.27734000000009</v>
      </c>
      <c r="H126" s="7">
        <f>SUMPRODUCT(H123:H125,$L$123:$L$125)</f>
        <v>3.4095600000000004E-2</v>
      </c>
      <c r="I126" s="7">
        <f>SUMPRODUCT(I123:I125,$L$123:$L$125)</f>
        <v>0.44999999999999996</v>
      </c>
      <c r="J126" s="7">
        <f>SUMPRODUCT(J123:J125,$L$123:$L$125)</f>
        <v>83.256666666666661</v>
      </c>
      <c r="K126" s="7">
        <f>SUMPRODUCT(K123:K125,$L$123:$L$125)</f>
        <v>0.17882629878251957</v>
      </c>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719" t="s">
        <v>1578</v>
      </c>
      <c r="D152" s="720"/>
      <c r="E152" s="721"/>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87CAEBA6-32C2-4DDB-8A4F-338107715759}">
      <formula1>$N$11:$O$11</formula1>
    </dataValidation>
    <dataValidation type="list" allowBlank="1" showInputMessage="1" showErrorMessage="1" sqref="B11:C20" xr:uid="{2013AEF4-EF78-43E4-83E0-C71534625448}">
      <formula1>$N$7:$Q$7</formula1>
    </dataValidation>
    <dataValidation type="list" allowBlank="1" showInputMessage="1" showErrorMessage="1" sqref="D11:D20" xr:uid="{EF96E1DA-57DD-43A5-8F23-A8BC0B26B65F}">
      <formula1>$N$22:$AE$22</formula1>
    </dataValidation>
    <dataValidation type="list" allowBlank="1" showInputMessage="1" showErrorMessage="1" sqref="E11:E20" xr:uid="{0EB4A2FB-B0E7-42CC-BC64-72CF8D63125B}">
      <formula1>$N$16:$O$16</formula1>
    </dataValidation>
    <dataValidation type="list" allowBlank="1" showInputMessage="1" showErrorMessage="1" sqref="C59:L59" xr:uid="{500AE77D-70AA-4AE2-8D94-B97773870CDC}">
      <formula1>$N$19:$AQ$19</formula1>
    </dataValidation>
  </dataValidations>
  <pageMargins left="0.7" right="0.7" top="0.75" bottom="0.75" header="0.3" footer="0.3"/>
  <pageSetup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4FE7-6CA0-43D5-A9EA-744EB275383A}">
  <sheetPr codeName="Sheet302">
    <tabColor indexed="9"/>
  </sheetPr>
  <dimension ref="A1:AQ162"/>
  <sheetViews>
    <sheetView topLeftCell="A99" zoomScale="85" zoomScaleNormal="85" workbookViewId="0">
      <selection activeCell="B128" sqref="B128:D12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Coolers Freezers</v>
      </c>
      <c r="C7" s="97" t="s">
        <v>1630</v>
      </c>
      <c r="D7" s="97" t="s">
        <v>211</v>
      </c>
      <c r="E7" s="97">
        <f>C110</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Coolers Freezers_CI,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Coolers Freezers_CI,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Coolers Freezers_CI,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E128</f>
        <v>2951.9999999999995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G128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C111</f>
        <v>304.58999999999997</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I128</f>
        <v>0.16768923609229264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1551</v>
      </c>
      <c r="F105"/>
    </row>
    <row r="106" spans="1:22">
      <c r="F106"/>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1678</v>
      </c>
      <c r="E110" s="286"/>
    </row>
    <row r="111" spans="1:22">
      <c r="B111" s="93" t="s">
        <v>438</v>
      </c>
      <c r="C111" s="534">
        <v>304.58999999999997</v>
      </c>
      <c r="D111" s="286" t="s">
        <v>1678</v>
      </c>
      <c r="E111" s="93"/>
    </row>
    <row r="112" spans="1:22">
      <c r="B112" s="93" t="s">
        <v>34</v>
      </c>
      <c r="C112" s="97">
        <v>1</v>
      </c>
      <c r="D112" s="286" t="s">
        <v>1678</v>
      </c>
      <c r="E112" s="286"/>
    </row>
    <row r="113" spans="2:20">
      <c r="B113" s="93" t="s">
        <v>1692</v>
      </c>
      <c r="C113" s="93" t="s">
        <v>35</v>
      </c>
      <c r="D113" s="286" t="s">
        <v>1678</v>
      </c>
      <c r="E113" s="93" t="s">
        <v>1682</v>
      </c>
    </row>
    <row r="114" spans="2:20">
      <c r="B114" s="93" t="s">
        <v>1691</v>
      </c>
      <c r="C114" s="93">
        <v>1</v>
      </c>
      <c r="D114" s="286" t="s">
        <v>1678</v>
      </c>
      <c r="E114" s="93" t="s">
        <v>1680</v>
      </c>
    </row>
    <row r="115" spans="2:20">
      <c r="B115" s="93" t="s">
        <v>1147</v>
      </c>
      <c r="C115" s="93">
        <v>0.45</v>
      </c>
      <c r="D115" s="286" t="s">
        <v>1678</v>
      </c>
      <c r="E115" s="93" t="s">
        <v>1679</v>
      </c>
    </row>
    <row r="116" spans="2:20">
      <c r="B116" s="93" t="s">
        <v>1673</v>
      </c>
      <c r="C116" s="93" t="s">
        <v>35</v>
      </c>
      <c r="D116" s="286" t="s">
        <v>1678</v>
      </c>
      <c r="E116" s="93" t="s">
        <v>1677</v>
      </c>
    </row>
    <row r="117" spans="2:20">
      <c r="B117" s="93"/>
      <c r="C117" s="93"/>
      <c r="D117" s="286"/>
      <c r="E117" s="93"/>
    </row>
    <row r="118" spans="2:20">
      <c r="D118"/>
      <c r="E118"/>
    </row>
    <row r="119" spans="2:20">
      <c r="D119"/>
      <c r="E119"/>
    </row>
    <row r="120" spans="2:20">
      <c r="D120"/>
    </row>
    <row r="121" spans="2:20">
      <c r="B121" s="94" t="s">
        <v>1545</v>
      </c>
      <c r="C121" s="536" t="s">
        <v>1690</v>
      </c>
      <c r="D121" s="94" t="s">
        <v>1689</v>
      </c>
      <c r="E121" s="94" t="s">
        <v>500</v>
      </c>
      <c r="F121" s="94" t="s">
        <v>499</v>
      </c>
      <c r="G121" s="497" t="s">
        <v>244</v>
      </c>
      <c r="H121" s="496" t="s">
        <v>9</v>
      </c>
      <c r="I121" s="94" t="s">
        <v>8</v>
      </c>
      <c r="J121" s="94" t="s">
        <v>7</v>
      </c>
      <c r="M121" s="95"/>
      <c r="N121" s="95"/>
      <c r="O121" s="95"/>
      <c r="P121" s="95"/>
      <c r="Q121" s="95"/>
      <c r="R121" s="95"/>
      <c r="S121" s="95"/>
      <c r="T121" s="95"/>
    </row>
    <row r="122" spans="2:20">
      <c r="B122" s="93" t="s">
        <v>1541</v>
      </c>
      <c r="C122" s="93">
        <v>652</v>
      </c>
      <c r="D122" s="93">
        <v>7.3999999999999996E-2</v>
      </c>
      <c r="E122" s="93">
        <f t="shared" ref="E122:F127" si="29">C122*$C$114</f>
        <v>652</v>
      </c>
      <c r="F122" s="93">
        <f t="shared" si="29"/>
        <v>7.3999999999999996E-2</v>
      </c>
      <c r="G122" s="93"/>
      <c r="H122" s="535"/>
      <c r="I122" s="533">
        <f t="shared" ref="I122:I127" si="30">$C$111/E122</f>
        <v>0.46716257668711653</v>
      </c>
      <c r="J122" s="532">
        <f t="shared" ref="J122:J127" si="31">1/COUNT($I$122:$I$127)</f>
        <v>0.16666666666666666</v>
      </c>
      <c r="M122" s="375"/>
      <c r="N122" s="375"/>
      <c r="O122" s="375"/>
      <c r="P122" s="375"/>
      <c r="Q122" s="375"/>
      <c r="R122" s="375"/>
      <c r="S122" s="375"/>
      <c r="T122" s="375"/>
    </row>
    <row r="123" spans="2:20">
      <c r="B123" s="93" t="s">
        <v>1688</v>
      </c>
      <c r="C123" s="93">
        <v>1586</v>
      </c>
      <c r="D123" s="93">
        <v>0.18099999999999999</v>
      </c>
      <c r="E123" s="93">
        <f t="shared" si="29"/>
        <v>1586</v>
      </c>
      <c r="F123" s="93">
        <f t="shared" si="29"/>
        <v>0.18099999999999999</v>
      </c>
      <c r="G123" s="93"/>
      <c r="H123" s="535"/>
      <c r="I123" s="533">
        <f t="shared" si="30"/>
        <v>0.19204918032786883</v>
      </c>
      <c r="J123" s="532">
        <f t="shared" si="31"/>
        <v>0.16666666666666666</v>
      </c>
      <c r="O123" s="529"/>
      <c r="T123" s="324"/>
    </row>
    <row r="124" spans="2:20">
      <c r="B124" s="93" t="s">
        <v>1687</v>
      </c>
      <c r="C124" s="93">
        <v>2320</v>
      </c>
      <c r="D124" s="93">
        <v>0.26500000000000001</v>
      </c>
      <c r="E124" s="93">
        <f t="shared" si="29"/>
        <v>2320</v>
      </c>
      <c r="F124" s="93">
        <f t="shared" si="29"/>
        <v>0.26500000000000001</v>
      </c>
      <c r="G124" s="93"/>
      <c r="H124" s="534"/>
      <c r="I124" s="533">
        <f t="shared" si="30"/>
        <v>0.13128879310344826</v>
      </c>
      <c r="J124" s="532">
        <f t="shared" si="31"/>
        <v>0.16666666666666666</v>
      </c>
      <c r="O124" s="529"/>
      <c r="T124" s="324"/>
    </row>
    <row r="125" spans="2:20">
      <c r="B125" s="93" t="s">
        <v>1686</v>
      </c>
      <c r="C125" s="93">
        <v>3380</v>
      </c>
      <c r="D125" s="93">
        <v>0.38600000000000001</v>
      </c>
      <c r="E125" s="93">
        <f t="shared" si="29"/>
        <v>3380</v>
      </c>
      <c r="F125" s="93">
        <f t="shared" si="29"/>
        <v>0.38600000000000001</v>
      </c>
      <c r="G125" s="93"/>
      <c r="H125" s="534"/>
      <c r="I125" s="533">
        <f t="shared" si="30"/>
        <v>9.0115384615384611E-2</v>
      </c>
      <c r="J125" s="532">
        <f t="shared" si="31"/>
        <v>0.16666666666666666</v>
      </c>
      <c r="O125" s="529"/>
      <c r="T125" s="324"/>
    </row>
    <row r="126" spans="2:20">
      <c r="B126" s="93" t="s">
        <v>1685</v>
      </c>
      <c r="C126" s="93">
        <v>4481</v>
      </c>
      <c r="D126" s="93">
        <v>0.51200000000000001</v>
      </c>
      <c r="E126" s="93">
        <f t="shared" si="29"/>
        <v>4481</v>
      </c>
      <c r="F126" s="93">
        <f t="shared" si="29"/>
        <v>0.51200000000000001</v>
      </c>
      <c r="G126" s="93"/>
      <c r="H126" s="534"/>
      <c r="I126" s="533">
        <f t="shared" si="30"/>
        <v>6.7973666592278506E-2</v>
      </c>
      <c r="J126" s="532">
        <f t="shared" si="31"/>
        <v>0.16666666666666666</v>
      </c>
      <c r="O126" s="529"/>
      <c r="T126" s="324"/>
    </row>
    <row r="127" spans="2:20">
      <c r="B127" s="93" t="s">
        <v>1684</v>
      </c>
      <c r="C127" s="93">
        <v>5293</v>
      </c>
      <c r="D127" s="93">
        <v>0.60399999999999998</v>
      </c>
      <c r="E127" s="93">
        <f t="shared" si="29"/>
        <v>5293</v>
      </c>
      <c r="F127" s="93">
        <f t="shared" si="29"/>
        <v>0.60399999999999998</v>
      </c>
      <c r="G127" s="93"/>
      <c r="H127" s="93"/>
      <c r="I127" s="533">
        <f t="shared" si="30"/>
        <v>5.7545815227659169E-2</v>
      </c>
      <c r="J127" s="532">
        <f t="shared" si="31"/>
        <v>0.16666666666666666</v>
      </c>
      <c r="O127" s="529"/>
      <c r="T127" s="324"/>
    </row>
    <row r="128" spans="2:20">
      <c r="B128" s="7" t="s">
        <v>0</v>
      </c>
      <c r="C128" s="7"/>
      <c r="D128" s="7"/>
      <c r="E128" s="7">
        <f>SUMPRODUCT(E122:E127,$J$122:$J$127)</f>
        <v>2951.9999999999995</v>
      </c>
      <c r="F128" s="7">
        <f>SUMPRODUCT(F122:F127,$J$122:$J$127)</f>
        <v>0.33699999999999997</v>
      </c>
      <c r="G128" s="7">
        <f>SUMPRODUCT(G122:G127,$J$122:$J$127)</f>
        <v>0</v>
      </c>
      <c r="H128" s="7">
        <f>SUMPRODUCT(H122:H127,$J$122:$J$127)</f>
        <v>0</v>
      </c>
      <c r="I128" s="7">
        <f>SUMPRODUCT(I122:I127,$J$122:$J$127)</f>
        <v>0.16768923609229264</v>
      </c>
      <c r="J128" s="93"/>
    </row>
    <row r="129" spans="2:5">
      <c r="B129"/>
      <c r="C129"/>
      <c r="D129"/>
    </row>
    <row r="130" spans="2:5">
      <c r="D130"/>
    </row>
    <row r="131" spans="2:5">
      <c r="C131" s="529"/>
    </row>
    <row r="132" spans="2:5">
      <c r="C132" s="324"/>
    </row>
    <row r="133" spans="2:5">
      <c r="D133"/>
    </row>
    <row r="134" spans="2:5">
      <c r="D134"/>
    </row>
    <row r="135" spans="2:5">
      <c r="D135"/>
      <c r="E135"/>
    </row>
    <row r="136" spans="2:5">
      <c r="D136"/>
    </row>
    <row r="137" spans="2:5">
      <c r="D137"/>
    </row>
    <row r="138" spans="2:5">
      <c r="D138"/>
    </row>
    <row r="139" spans="2:5">
      <c r="D139"/>
    </row>
    <row r="152" spans="2:7" ht="15.75" thickBot="1"/>
    <row r="153" spans="2:7" ht="15.75" thickBot="1">
      <c r="B153" s="413"/>
      <c r="C153" s="719" t="s">
        <v>1578</v>
      </c>
      <c r="D153" s="720"/>
      <c r="E153" s="721"/>
    </row>
    <row r="154" spans="2:7">
      <c r="B154" s="511" t="s">
        <v>1577</v>
      </c>
      <c r="C154" s="94">
        <v>67</v>
      </c>
      <c r="D154" s="94">
        <v>72</v>
      </c>
      <c r="E154" s="512">
        <v>77</v>
      </c>
    </row>
    <row r="155" spans="2:7">
      <c r="B155" s="511">
        <v>60</v>
      </c>
      <c r="C155" s="93">
        <v>25.5</v>
      </c>
      <c r="D155" s="93">
        <v>28.5</v>
      </c>
      <c r="E155" s="311">
        <v>31.8</v>
      </c>
    </row>
    <row r="156" spans="2:7">
      <c r="B156" s="511">
        <v>50</v>
      </c>
      <c r="C156" s="93">
        <v>23.9</v>
      </c>
      <c r="D156" s="93">
        <v>26.6</v>
      </c>
      <c r="E156" s="311">
        <v>29.5</v>
      </c>
    </row>
    <row r="157" spans="2:7" ht="15.75" thickBot="1">
      <c r="B157" s="510">
        <v>40</v>
      </c>
      <c r="C157" s="308">
        <v>22.3</v>
      </c>
      <c r="D157" s="308">
        <v>24.7</v>
      </c>
      <c r="E157" s="306">
        <v>27.3</v>
      </c>
    </row>
    <row r="160" spans="2:7">
      <c r="B160" s="94" t="s">
        <v>1561</v>
      </c>
      <c r="C160" s="94" t="s">
        <v>499</v>
      </c>
      <c r="D160" s="497" t="s">
        <v>244</v>
      </c>
      <c r="E160" s="496" t="s">
        <v>9</v>
      </c>
      <c r="F160" s="94" t="s">
        <v>8</v>
      </c>
      <c r="G160" s="94" t="s">
        <v>7</v>
      </c>
    </row>
    <row r="161" spans="2:7">
      <c r="B161" s="93" t="e">
        <f>(#REF!/#REF!)*(C118-C119)*C120</f>
        <v>#REF!</v>
      </c>
      <c r="C161" s="93" t="e">
        <f>B161*C112/(C120*24)</f>
        <v>#REF!</v>
      </c>
      <c r="D161" s="93"/>
      <c r="E161" s="93">
        <f>C111</f>
        <v>304.58999999999997</v>
      </c>
      <c r="F161" s="93" t="e">
        <f>E161/B161</f>
        <v>#REF!</v>
      </c>
      <c r="G161" s="93"/>
    </row>
    <row r="162" spans="2:7">
      <c r="B162" s="93"/>
      <c r="C162" s="93"/>
      <c r="D162" s="93"/>
      <c r="E162" s="93"/>
      <c r="F162" s="93"/>
      <c r="G162" s="93"/>
    </row>
  </sheetData>
  <mergeCells count="1">
    <mergeCell ref="C153:E153"/>
  </mergeCells>
  <dataValidations count="5">
    <dataValidation type="list" allowBlank="1" showInputMessage="1" showErrorMessage="1" sqref="C59:L59" xr:uid="{4B9FC4CC-EB0A-48CF-86C9-80C894F7EFF5}">
      <formula1>$N$19:$AQ$19</formula1>
    </dataValidation>
    <dataValidation type="list" allowBlank="1" showInputMessage="1" showErrorMessage="1" sqref="E11:E20" xr:uid="{29963420-7A5E-4809-8955-3DD5BF4BF6A7}">
      <formula1>$N$16:$O$16</formula1>
    </dataValidation>
    <dataValidation type="list" allowBlank="1" showInputMessage="1" showErrorMessage="1" sqref="D11:D20" xr:uid="{E3D9847A-0DE3-4AAC-B960-5856E4E555C6}">
      <formula1>$N$22:$AE$22</formula1>
    </dataValidation>
    <dataValidation type="list" allowBlank="1" showInputMessage="1" showErrorMessage="1" sqref="B11:C20" xr:uid="{EA8BCF12-20E3-4A2F-A77A-5077080003D7}">
      <formula1>$N$7:$Q$7</formula1>
    </dataValidation>
    <dataValidation type="list" allowBlank="1" showInputMessage="1" showErrorMessage="1" sqref="D7" xr:uid="{91E04482-2C19-47F5-A3C8-F01795AA0438}">
      <formula1>$N$11:$O$11</formula1>
    </dataValidation>
  </dataValidations>
  <pageMargins left="0.7" right="0.7" top="0.75" bottom="0.75" header="0.3" footer="0.3"/>
  <pageSetup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57987-B396-4237-91B9-60F97C440BDA}">
  <sheetPr codeName="Sheet146">
    <tabColor indexed="9"/>
  </sheetPr>
  <dimension ref="A1:AQ136"/>
  <sheetViews>
    <sheetView topLeftCell="A100"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4.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Glass Door Ref and Freezers</v>
      </c>
      <c r="C7" s="98" t="s">
        <v>1791</v>
      </c>
      <c r="D7" s="97" t="s">
        <v>211</v>
      </c>
      <c r="E7" s="97">
        <f>C110</f>
        <v>12</v>
      </c>
      <c r="F7" s="97">
        <v>9</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Glass Door Ref and Freezers_CI, E - Refr (MD)</v>
      </c>
      <c r="J11" s="83" t="str">
        <f t="shared" ref="J11:J20" si="3">IF(B11="","",CONCATENATE($C$7,IF(C11="","",CONCATENATE(" with ",C11," Secondary Fuel"))))</f>
        <v>Commercial Solid and Glass Refrigerators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Glass Door Ref and Freezers_CI,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Glass Door Ref and Freezers_CI,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Solid and Glass Refrigerators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Glass Door Ref and Freezers_CI,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Commercial Solid and Glass Refrigerators and Freezers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1790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Solid and Glass Refrigerators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1789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1788</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J136</f>
        <v>549.98203593749986</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L136</f>
        <v>0.24399981475334401</v>
      </c>
      <c r="D65" s="67"/>
      <c r="E65" s="67"/>
      <c r="F65" s="65"/>
      <c r="G65" s="65"/>
      <c r="H65" s="65"/>
      <c r="I65" s="65"/>
      <c r="J65" s="65"/>
      <c r="K65" s="65"/>
      <c r="L65" s="65"/>
      <c r="M65" s="279" t="s">
        <v>1787</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M136</f>
        <v>153.6875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N136</f>
        <v>0.32146629872189503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Commercial Solid and Glass Refrigerators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1786</v>
      </c>
    </row>
    <row r="107" spans="1:22" s="63" customFormat="1" ht="15.75" thickBot="1">
      <c r="B107" s="63" t="s">
        <v>50</v>
      </c>
    </row>
    <row r="109" spans="1:22">
      <c r="B109" s="505" t="s">
        <v>46</v>
      </c>
      <c r="C109" s="505" t="s">
        <v>45</v>
      </c>
      <c r="D109" s="505" t="s">
        <v>44</v>
      </c>
      <c r="E109" s="505" t="s">
        <v>43</v>
      </c>
    </row>
    <row r="110" spans="1:22">
      <c r="B110" s="286" t="s">
        <v>518</v>
      </c>
      <c r="C110" s="286">
        <v>12</v>
      </c>
      <c r="D110" s="286" t="s">
        <v>1784</v>
      </c>
      <c r="E110" s="286"/>
    </row>
    <row r="111" spans="1:22">
      <c r="B111" s="93" t="s">
        <v>438</v>
      </c>
      <c r="C111" s="534" t="s">
        <v>35</v>
      </c>
      <c r="D111" s="286" t="s">
        <v>1784</v>
      </c>
      <c r="E111" s="93"/>
    </row>
    <row r="112" spans="1:22">
      <c r="B112" s="93" t="s">
        <v>34</v>
      </c>
      <c r="C112" s="97">
        <v>0.93700000000000006</v>
      </c>
      <c r="D112" s="286" t="s">
        <v>1784</v>
      </c>
      <c r="E112" s="286"/>
    </row>
    <row r="113" spans="2:15">
      <c r="B113" s="93" t="s">
        <v>1743</v>
      </c>
      <c r="C113" s="93" t="s">
        <v>35</v>
      </c>
      <c r="D113" s="286" t="s">
        <v>1784</v>
      </c>
      <c r="E113" s="93" t="s">
        <v>1753</v>
      </c>
    </row>
    <row r="114" spans="2:15">
      <c r="B114" s="93" t="s">
        <v>1752</v>
      </c>
      <c r="C114" s="93" t="s">
        <v>35</v>
      </c>
      <c r="D114" s="286" t="s">
        <v>1784</v>
      </c>
      <c r="E114" s="93" t="s">
        <v>1751</v>
      </c>
    </row>
    <row r="115" spans="2:15">
      <c r="B115" s="93" t="s">
        <v>1019</v>
      </c>
      <c r="C115" s="93" t="s">
        <v>555</v>
      </c>
      <c r="D115" s="286" t="s">
        <v>1784</v>
      </c>
      <c r="E115" s="93" t="s">
        <v>1785</v>
      </c>
    </row>
    <row r="116" spans="2:15">
      <c r="B116" s="93" t="s">
        <v>309</v>
      </c>
      <c r="C116" s="93">
        <v>8766</v>
      </c>
      <c r="D116" s="286" t="s">
        <v>1784</v>
      </c>
      <c r="E116" s="93" t="s">
        <v>369</v>
      </c>
    </row>
    <row r="117" spans="2:15">
      <c r="B117" s="93"/>
      <c r="C117" s="93"/>
      <c r="D117" s="286"/>
      <c r="E117" s="93"/>
    </row>
    <row r="119" spans="2:15">
      <c r="B119" s="537" t="s">
        <v>1783</v>
      </c>
      <c r="C119" s="94" t="s">
        <v>1782</v>
      </c>
      <c r="D119" s="536" t="s">
        <v>1781</v>
      </c>
      <c r="E119" s="536" t="s">
        <v>1743</v>
      </c>
      <c r="F119" s="94" t="s">
        <v>1752</v>
      </c>
      <c r="G119" s="94" t="s">
        <v>1019</v>
      </c>
      <c r="H119" s="94" t="s">
        <v>1743</v>
      </c>
      <c r="I119" s="94" t="s">
        <v>1752</v>
      </c>
      <c r="J119" s="94" t="s">
        <v>500</v>
      </c>
      <c r="K119" s="94" t="s">
        <v>499</v>
      </c>
      <c r="L119" s="497" t="s">
        <v>244</v>
      </c>
      <c r="M119" s="496" t="s">
        <v>9</v>
      </c>
      <c r="N119" s="94" t="s">
        <v>8</v>
      </c>
      <c r="O119" s="94" t="s">
        <v>7</v>
      </c>
    </row>
    <row r="120" spans="2:15">
      <c r="B120" s="537" t="s">
        <v>629</v>
      </c>
      <c r="C120" s="94" t="s">
        <v>1768</v>
      </c>
      <c r="D120" s="93" t="s">
        <v>1765</v>
      </c>
      <c r="E120" s="286" t="s">
        <v>1778</v>
      </c>
      <c r="F120" s="286" t="s">
        <v>1780</v>
      </c>
      <c r="G120" s="284">
        <v>10</v>
      </c>
      <c r="H120" s="286">
        <f>0.05*G120+1.36</f>
        <v>1.86</v>
      </c>
      <c r="I120" s="286">
        <f>0.0267*G120+0.8</f>
        <v>1.0670000000000002</v>
      </c>
      <c r="J120" s="93">
        <f t="shared" ref="J120:J135" si="28">(H120-I120)*365.25</f>
        <v>289.64324999999997</v>
      </c>
      <c r="K120" s="93">
        <f t="shared" ref="K120:K135" si="29">J120*$C$112/$C$116</f>
        <v>3.0960041666666667E-2</v>
      </c>
      <c r="L120" s="260">
        <f t="shared" ref="L120:L135" si="30">J120/(H120*365.25)</f>
        <v>0.42634408602150531</v>
      </c>
      <c r="M120" s="312">
        <v>53</v>
      </c>
      <c r="N120" s="312">
        <f t="shared" ref="N120:N135" si="31">M120/J120</f>
        <v>0.1829837222168996</v>
      </c>
      <c r="O120" s="93">
        <f>1/COUNT($N$120:$N$135)</f>
        <v>6.25E-2</v>
      </c>
    </row>
    <row r="121" spans="2:15">
      <c r="B121" s="537" t="s">
        <v>629</v>
      </c>
      <c r="C121" s="94" t="s">
        <v>1768</v>
      </c>
      <c r="D121" s="93" t="s">
        <v>1764</v>
      </c>
      <c r="E121" s="286" t="s">
        <v>1778</v>
      </c>
      <c r="F121" s="286" t="s">
        <v>1779</v>
      </c>
      <c r="G121" s="284">
        <v>22</v>
      </c>
      <c r="H121" s="286">
        <f>0.05*G121+1.36</f>
        <v>2.46</v>
      </c>
      <c r="I121" s="286">
        <f>0.05*G121+0.45</f>
        <v>1.55</v>
      </c>
      <c r="J121" s="93">
        <f t="shared" si="28"/>
        <v>332.3775</v>
      </c>
      <c r="K121" s="93">
        <f t="shared" si="29"/>
        <v>3.5527916666666666E-2</v>
      </c>
      <c r="L121" s="260">
        <f t="shared" si="30"/>
        <v>0.36991869918699188</v>
      </c>
      <c r="M121" s="312">
        <v>121</v>
      </c>
      <c r="N121" s="312">
        <f t="shared" si="31"/>
        <v>0.36404389587141128</v>
      </c>
      <c r="O121" s="93">
        <f t="shared" ref="O121:O135" si="32">1/COUNT($N$120:$N$135)</f>
        <v>6.25E-2</v>
      </c>
    </row>
    <row r="122" spans="2:15">
      <c r="B122" s="537" t="s">
        <v>629</v>
      </c>
      <c r="C122" s="94" t="s">
        <v>1768</v>
      </c>
      <c r="D122" s="93" t="s">
        <v>1763</v>
      </c>
      <c r="E122" s="286" t="s">
        <v>1778</v>
      </c>
      <c r="F122" s="286" t="s">
        <v>1779</v>
      </c>
      <c r="G122" s="284">
        <v>40</v>
      </c>
      <c r="H122" s="286">
        <f>0.05*G122+1.36</f>
        <v>3.3600000000000003</v>
      </c>
      <c r="I122" s="286">
        <f>0.05*G122+0.45</f>
        <v>2.4500000000000002</v>
      </c>
      <c r="J122" s="93">
        <f t="shared" si="28"/>
        <v>332.37750000000005</v>
      </c>
      <c r="K122" s="93">
        <f t="shared" si="29"/>
        <v>3.5527916666666673E-2</v>
      </c>
      <c r="L122" s="260">
        <f t="shared" si="30"/>
        <v>0.27083333333333337</v>
      </c>
      <c r="M122" s="312">
        <v>247</v>
      </c>
      <c r="N122" s="312">
        <f t="shared" si="31"/>
        <v>0.743130927935856</v>
      </c>
      <c r="O122" s="93">
        <f t="shared" si="32"/>
        <v>6.25E-2</v>
      </c>
    </row>
    <row r="123" spans="2:15">
      <c r="B123" s="537" t="s">
        <v>629</v>
      </c>
      <c r="C123" s="94" t="s">
        <v>1768</v>
      </c>
      <c r="D123" s="93" t="s">
        <v>1761</v>
      </c>
      <c r="E123" s="286" t="s">
        <v>1778</v>
      </c>
      <c r="F123" s="93" t="s">
        <v>1777</v>
      </c>
      <c r="G123" s="284">
        <v>60</v>
      </c>
      <c r="H123" s="286">
        <f>0.05*G123+1.36</f>
        <v>4.3600000000000003</v>
      </c>
      <c r="I123" s="93">
        <f>0.025*G123+1.6991</f>
        <v>3.1991000000000001</v>
      </c>
      <c r="J123" s="93">
        <f t="shared" si="28"/>
        <v>424.01872500000007</v>
      </c>
      <c r="K123" s="93">
        <f t="shared" si="29"/>
        <v>4.5323470833333344E-2</v>
      </c>
      <c r="L123" s="260">
        <f t="shared" si="30"/>
        <v>0.26626146788990829</v>
      </c>
      <c r="M123" s="312">
        <v>401</v>
      </c>
      <c r="N123" s="312">
        <f t="shared" si="31"/>
        <v>0.94571295170985648</v>
      </c>
      <c r="O123" s="93">
        <f t="shared" si="32"/>
        <v>6.25E-2</v>
      </c>
    </row>
    <row r="124" spans="2:15">
      <c r="B124" s="537" t="s">
        <v>629</v>
      </c>
      <c r="C124" s="94" t="s">
        <v>1762</v>
      </c>
      <c r="D124" s="93" t="s">
        <v>1765</v>
      </c>
      <c r="E124" s="286" t="s">
        <v>1773</v>
      </c>
      <c r="F124" s="286" t="s">
        <v>1776</v>
      </c>
      <c r="G124" s="284">
        <v>10</v>
      </c>
      <c r="H124" s="286">
        <f>0.1*G124+0.86</f>
        <v>1.8599999999999999</v>
      </c>
      <c r="I124" s="286">
        <f>0.095*G124+0.445</f>
        <v>1.395</v>
      </c>
      <c r="J124" s="93">
        <f t="shared" si="28"/>
        <v>169.84124999999995</v>
      </c>
      <c r="K124" s="93">
        <f t="shared" si="29"/>
        <v>1.8154374999999993E-2</v>
      </c>
      <c r="L124" s="260">
        <f t="shared" si="30"/>
        <v>0.24999999999999992</v>
      </c>
      <c r="M124" s="312">
        <v>51</v>
      </c>
      <c r="N124" s="312">
        <f t="shared" si="31"/>
        <v>0.30028040891126284</v>
      </c>
      <c r="O124" s="93">
        <f t="shared" si="32"/>
        <v>6.25E-2</v>
      </c>
    </row>
    <row r="125" spans="2:15">
      <c r="B125" s="537" t="s">
        <v>629</v>
      </c>
      <c r="C125" s="94" t="s">
        <v>1762</v>
      </c>
      <c r="D125" s="93" t="s">
        <v>1764</v>
      </c>
      <c r="E125" s="286" t="s">
        <v>1773</v>
      </c>
      <c r="F125" s="93" t="s">
        <v>1775</v>
      </c>
      <c r="G125" s="284">
        <v>22</v>
      </c>
      <c r="H125" s="286">
        <f>0.1*G125+0.86</f>
        <v>3.06</v>
      </c>
      <c r="I125" s="93">
        <f>0.05*G125+1.12</f>
        <v>2.2200000000000002</v>
      </c>
      <c r="J125" s="93">
        <f t="shared" si="28"/>
        <v>306.80999999999995</v>
      </c>
      <c r="K125" s="93">
        <f t="shared" si="29"/>
        <v>3.2794999999999998E-2</v>
      </c>
      <c r="L125" s="260">
        <f t="shared" si="30"/>
        <v>0.2745098039215686</v>
      </c>
      <c r="M125" s="312">
        <v>125</v>
      </c>
      <c r="N125" s="312">
        <f t="shared" si="31"/>
        <v>0.40741827189465801</v>
      </c>
      <c r="O125" s="93">
        <f t="shared" si="32"/>
        <v>6.25E-2</v>
      </c>
    </row>
    <row r="126" spans="2:15">
      <c r="B126" s="537" t="s">
        <v>629</v>
      </c>
      <c r="C126" s="94" t="s">
        <v>1762</v>
      </c>
      <c r="D126" s="93" t="s">
        <v>1763</v>
      </c>
      <c r="E126" s="286" t="s">
        <v>1773</v>
      </c>
      <c r="F126" s="286" t="s">
        <v>1774</v>
      </c>
      <c r="G126" s="284">
        <v>40</v>
      </c>
      <c r="H126" s="286">
        <f>0.1*G126+0.86</f>
        <v>4.8600000000000003</v>
      </c>
      <c r="I126" s="286">
        <f>0.076*G126+0.34</f>
        <v>3.38</v>
      </c>
      <c r="J126" s="93">
        <f t="shared" si="28"/>
        <v>540.57000000000016</v>
      </c>
      <c r="K126" s="93">
        <f t="shared" si="29"/>
        <v>5.7781666666666689E-2</v>
      </c>
      <c r="L126" s="260">
        <f t="shared" si="30"/>
        <v>0.30452674897119353</v>
      </c>
      <c r="M126" s="312">
        <v>252</v>
      </c>
      <c r="N126" s="312">
        <f t="shared" si="31"/>
        <v>0.46617459348465495</v>
      </c>
      <c r="O126" s="93">
        <f t="shared" si="32"/>
        <v>6.25E-2</v>
      </c>
    </row>
    <row r="127" spans="2:15">
      <c r="B127" s="537" t="s">
        <v>629</v>
      </c>
      <c r="C127" s="94" t="s">
        <v>1762</v>
      </c>
      <c r="D127" s="93" t="s">
        <v>1761</v>
      </c>
      <c r="E127" s="286" t="s">
        <v>1773</v>
      </c>
      <c r="F127" s="286" t="s">
        <v>1772</v>
      </c>
      <c r="G127" s="284">
        <v>60</v>
      </c>
      <c r="H127" s="286">
        <f>0.1*G127+0.86</f>
        <v>6.86</v>
      </c>
      <c r="I127" s="286">
        <f>0.105*G127-1.111</f>
        <v>5.1890000000000001</v>
      </c>
      <c r="J127" s="93">
        <f t="shared" si="28"/>
        <v>610.33275000000015</v>
      </c>
      <c r="K127" s="93">
        <f t="shared" si="29"/>
        <v>6.5238625000000022E-2</v>
      </c>
      <c r="L127" s="260">
        <f t="shared" si="30"/>
        <v>0.24358600583090381</v>
      </c>
      <c r="M127" s="312">
        <v>420</v>
      </c>
      <c r="N127" s="312">
        <f t="shared" si="31"/>
        <v>0.68814921041022281</v>
      </c>
      <c r="O127" s="93">
        <f t="shared" si="32"/>
        <v>6.25E-2</v>
      </c>
    </row>
    <row r="128" spans="2:15">
      <c r="B128" s="442" t="s">
        <v>615</v>
      </c>
      <c r="C128" s="94" t="s">
        <v>1768</v>
      </c>
      <c r="D128" s="93" t="s">
        <v>1765</v>
      </c>
      <c r="E128" s="286" t="s">
        <v>1767</v>
      </c>
      <c r="F128" s="286" t="s">
        <v>1771</v>
      </c>
      <c r="G128" s="284">
        <v>10</v>
      </c>
      <c r="H128" s="286">
        <f>0.22*G128+1.38</f>
        <v>3.58</v>
      </c>
      <c r="I128" s="286">
        <f>0.21*G128+0.9</f>
        <v>3</v>
      </c>
      <c r="J128" s="93">
        <f t="shared" si="28"/>
        <v>211.84500000000003</v>
      </c>
      <c r="K128" s="93">
        <f t="shared" si="29"/>
        <v>2.2644166666666674E-2</v>
      </c>
      <c r="L128" s="260">
        <f t="shared" si="30"/>
        <v>0.16201117318435757</v>
      </c>
      <c r="M128" s="312">
        <v>27</v>
      </c>
      <c r="N128" s="312">
        <f t="shared" si="31"/>
        <v>0.12745167457339091</v>
      </c>
      <c r="O128" s="93">
        <f t="shared" si="32"/>
        <v>6.25E-2</v>
      </c>
    </row>
    <row r="129" spans="2:15">
      <c r="B129" s="442" t="s">
        <v>615</v>
      </c>
      <c r="C129" s="94" t="s">
        <v>1768</v>
      </c>
      <c r="D129" s="93" t="s">
        <v>1764</v>
      </c>
      <c r="E129" s="286" t="s">
        <v>1767</v>
      </c>
      <c r="F129" s="286" t="s">
        <v>1770</v>
      </c>
      <c r="G129" s="284">
        <v>22</v>
      </c>
      <c r="H129" s="286">
        <f>0.22*G129+1.38</f>
        <v>6.22</v>
      </c>
      <c r="I129" s="286">
        <f>0.12*G129+2.248</f>
        <v>4.8879999999999999</v>
      </c>
      <c r="J129" s="93">
        <f t="shared" si="28"/>
        <v>486.51299999999992</v>
      </c>
      <c r="K129" s="93">
        <f t="shared" si="29"/>
        <v>5.2003499999999994E-2</v>
      </c>
      <c r="L129" s="260">
        <f t="shared" si="30"/>
        <v>0.21414790996784563</v>
      </c>
      <c r="M129" s="312">
        <v>57</v>
      </c>
      <c r="N129" s="312">
        <f t="shared" si="31"/>
        <v>0.11716028143132867</v>
      </c>
      <c r="O129" s="93">
        <f t="shared" si="32"/>
        <v>6.25E-2</v>
      </c>
    </row>
    <row r="130" spans="2:15">
      <c r="B130" s="442" t="s">
        <v>615</v>
      </c>
      <c r="C130" s="94" t="s">
        <v>1768</v>
      </c>
      <c r="D130" s="93" t="s">
        <v>1763</v>
      </c>
      <c r="E130" s="286" t="s">
        <v>1767</v>
      </c>
      <c r="F130" s="93" t="s">
        <v>1769</v>
      </c>
      <c r="G130" s="284">
        <v>40</v>
      </c>
      <c r="H130" s="286">
        <f>0.22*G130+1.38</f>
        <v>10.18</v>
      </c>
      <c r="I130" s="93">
        <f>0.2578*G130-1.8864</f>
        <v>8.4255999999999993</v>
      </c>
      <c r="J130" s="93">
        <f t="shared" si="28"/>
        <v>640.79460000000017</v>
      </c>
      <c r="K130" s="93">
        <f t="shared" si="29"/>
        <v>6.8494700000000033E-2</v>
      </c>
      <c r="L130" s="260">
        <f t="shared" si="30"/>
        <v>0.17233791748526528</v>
      </c>
      <c r="M130" s="312">
        <v>119</v>
      </c>
      <c r="N130" s="312">
        <f t="shared" si="31"/>
        <v>0.1857069332357045</v>
      </c>
      <c r="O130" s="93">
        <f t="shared" si="32"/>
        <v>6.25E-2</v>
      </c>
    </row>
    <row r="131" spans="2:15">
      <c r="B131" s="442" t="s">
        <v>615</v>
      </c>
      <c r="C131" s="94" t="s">
        <v>1768</v>
      </c>
      <c r="D131" s="93" t="s">
        <v>1761</v>
      </c>
      <c r="E131" s="286" t="s">
        <v>1767</v>
      </c>
      <c r="F131" s="286" t="s">
        <v>1766</v>
      </c>
      <c r="G131" s="284">
        <v>60</v>
      </c>
      <c r="H131" s="286">
        <f>0.22*G131+1.38</f>
        <v>14.579999999999998</v>
      </c>
      <c r="I131" s="286">
        <f>0.14*G131+4</f>
        <v>12.4</v>
      </c>
      <c r="J131" s="93">
        <f t="shared" si="28"/>
        <v>796.24499999999921</v>
      </c>
      <c r="K131" s="93">
        <f t="shared" si="29"/>
        <v>8.5110833333333247E-2</v>
      </c>
      <c r="L131" s="260">
        <f t="shared" si="30"/>
        <v>0.14951989026063087</v>
      </c>
      <c r="M131" s="312">
        <v>196</v>
      </c>
      <c r="N131" s="312">
        <f t="shared" si="31"/>
        <v>0.24615539187059285</v>
      </c>
      <c r="O131" s="93">
        <f t="shared" si="32"/>
        <v>6.25E-2</v>
      </c>
    </row>
    <row r="132" spans="2:15">
      <c r="B132" s="442" t="s">
        <v>615</v>
      </c>
      <c r="C132" s="94" t="s">
        <v>1762</v>
      </c>
      <c r="D132" s="93" t="s">
        <v>1765</v>
      </c>
      <c r="E132" s="93" t="s">
        <v>1760</v>
      </c>
      <c r="F132" s="93" t="s">
        <v>1759</v>
      </c>
      <c r="G132" s="284">
        <v>10</v>
      </c>
      <c r="H132" s="93">
        <f>0.29*G132+2.95</f>
        <v>5.85</v>
      </c>
      <c r="I132" s="93">
        <f>0.232*G132+2.36</f>
        <v>4.68</v>
      </c>
      <c r="J132" s="93">
        <f t="shared" si="28"/>
        <v>427.34249999999997</v>
      </c>
      <c r="K132" s="93">
        <f t="shared" si="29"/>
        <v>4.5678749999999997E-2</v>
      </c>
      <c r="L132" s="260">
        <f t="shared" si="30"/>
        <v>0.19999999999999998</v>
      </c>
      <c r="M132" s="312">
        <v>19</v>
      </c>
      <c r="N132" s="312">
        <f t="shared" si="31"/>
        <v>4.4460824748299085E-2</v>
      </c>
      <c r="O132" s="93">
        <f t="shared" si="32"/>
        <v>6.25E-2</v>
      </c>
    </row>
    <row r="133" spans="2:15">
      <c r="B133" s="442" t="s">
        <v>615</v>
      </c>
      <c r="C133" s="94" t="s">
        <v>1762</v>
      </c>
      <c r="D133" s="93" t="s">
        <v>1764</v>
      </c>
      <c r="E133" s="93" t="s">
        <v>1760</v>
      </c>
      <c r="F133" s="93" t="s">
        <v>1759</v>
      </c>
      <c r="G133" s="284">
        <v>22</v>
      </c>
      <c r="H133" s="93">
        <f>0.29*G133+2.95</f>
        <v>9.33</v>
      </c>
      <c r="I133" s="93">
        <f>0.232*G133+2.36</f>
        <v>7.4640000000000004</v>
      </c>
      <c r="J133" s="93">
        <f t="shared" si="28"/>
        <v>681.55649999999991</v>
      </c>
      <c r="K133" s="93">
        <f t="shared" si="29"/>
        <v>7.2851749999999993E-2</v>
      </c>
      <c r="L133" s="260">
        <f t="shared" si="30"/>
        <v>0.19999999999999998</v>
      </c>
      <c r="M133" s="312">
        <v>56</v>
      </c>
      <c r="N133" s="312">
        <f t="shared" si="31"/>
        <v>8.2164868209752245E-2</v>
      </c>
      <c r="O133" s="93">
        <f t="shared" si="32"/>
        <v>6.25E-2</v>
      </c>
    </row>
    <row r="134" spans="2:15">
      <c r="B134" s="442" t="s">
        <v>615</v>
      </c>
      <c r="C134" s="94" t="s">
        <v>1762</v>
      </c>
      <c r="D134" s="93" t="s">
        <v>1763</v>
      </c>
      <c r="E134" s="93" t="s">
        <v>1760</v>
      </c>
      <c r="F134" s="93" t="s">
        <v>1759</v>
      </c>
      <c r="G134" s="284">
        <v>40</v>
      </c>
      <c r="H134" s="93">
        <f>0.29*G134+2.95</f>
        <v>14.55</v>
      </c>
      <c r="I134" s="93">
        <f>0.232*G134+2.36</f>
        <v>11.64</v>
      </c>
      <c r="J134" s="93">
        <f t="shared" si="28"/>
        <v>1062.8775000000001</v>
      </c>
      <c r="K134" s="93">
        <f t="shared" si="29"/>
        <v>0.11361125000000001</v>
      </c>
      <c r="L134" s="260">
        <f t="shared" si="30"/>
        <v>0.2</v>
      </c>
      <c r="M134" s="312">
        <v>114</v>
      </c>
      <c r="N134" s="312">
        <f t="shared" si="31"/>
        <v>0.10725601021754623</v>
      </c>
      <c r="O134" s="93">
        <f t="shared" si="32"/>
        <v>6.25E-2</v>
      </c>
    </row>
    <row r="135" spans="2:15">
      <c r="B135" s="442" t="s">
        <v>615</v>
      </c>
      <c r="C135" s="94" t="s">
        <v>1762</v>
      </c>
      <c r="D135" s="93" t="s">
        <v>1761</v>
      </c>
      <c r="E135" s="93" t="s">
        <v>1760</v>
      </c>
      <c r="F135" s="93" t="s">
        <v>1759</v>
      </c>
      <c r="G135" s="284">
        <v>60</v>
      </c>
      <c r="H135" s="93">
        <f>0.29*G135+2.95</f>
        <v>20.349999999999998</v>
      </c>
      <c r="I135" s="93">
        <f>0.232*G135+2.36</f>
        <v>16.28</v>
      </c>
      <c r="J135" s="93">
        <f t="shared" si="28"/>
        <v>1486.5674999999987</v>
      </c>
      <c r="K135" s="93">
        <f t="shared" si="29"/>
        <v>0.15889958333333321</v>
      </c>
      <c r="L135" s="260">
        <f t="shared" si="30"/>
        <v>0.19999999999999984</v>
      </c>
      <c r="M135" s="312">
        <v>201</v>
      </c>
      <c r="N135" s="312">
        <f t="shared" si="31"/>
        <v>0.13521081282888275</v>
      </c>
      <c r="O135" s="93">
        <f t="shared" si="32"/>
        <v>6.25E-2</v>
      </c>
    </row>
    <row r="136" spans="2:15">
      <c r="B136" s="7" t="s">
        <v>0</v>
      </c>
      <c r="C136" s="7"/>
      <c r="D136" s="7"/>
      <c r="E136" s="7"/>
      <c r="F136" s="7"/>
      <c r="G136" s="7"/>
      <c r="H136" s="7"/>
      <c r="I136" s="7"/>
      <c r="J136" s="7">
        <f>SUMPRODUCT(J120:J135,$O$120:$O$135)</f>
        <v>549.98203593749986</v>
      </c>
      <c r="K136" s="7">
        <f>SUMPRODUCT(K120:K135,$O$120:$O$135)</f>
        <v>5.878772161458333E-2</v>
      </c>
      <c r="L136" s="7">
        <f>SUMPRODUCT(L120:L135,$O$120:$O$135)</f>
        <v>0.24399981475334401</v>
      </c>
      <c r="M136" s="7">
        <f>SUMPRODUCT(M120:M135,$O$120:$O$135)</f>
        <v>153.6875</v>
      </c>
      <c r="N136" s="7">
        <f>SUMPRODUCT(N120:N135,$O$120:$O$135)</f>
        <v>0.32146629872189503</v>
      </c>
      <c r="O136" s="93"/>
    </row>
  </sheetData>
  <dataValidations count="5">
    <dataValidation type="list" allowBlank="1" showInputMessage="1" showErrorMessage="1" sqref="C59:L59" xr:uid="{00000000-0002-0000-9C00-000004000000}">
      <formula1>$N$19:$AQ$19</formula1>
    </dataValidation>
    <dataValidation type="list" allowBlank="1" showInputMessage="1" showErrorMessage="1" sqref="E11:E20" xr:uid="{00000000-0002-0000-9C00-000003000000}">
      <formula1>$N$16:$O$16</formula1>
    </dataValidation>
    <dataValidation type="list" allowBlank="1" showInputMessage="1" showErrorMessage="1" sqref="D11:D20" xr:uid="{00000000-0002-0000-9C00-000002000000}">
      <formula1>$N$22:$AE$22</formula1>
    </dataValidation>
    <dataValidation type="list" allowBlank="1" showInputMessage="1" showErrorMessage="1" sqref="B11:C20" xr:uid="{00000000-0002-0000-9C00-000001000000}">
      <formula1>$N$7:$Q$7</formula1>
    </dataValidation>
    <dataValidation type="list" allowBlank="1" showInputMessage="1" showErrorMessage="1" sqref="D7" xr:uid="{00000000-0002-0000-9C00-000000000000}">
      <formula1>$N$11:$O$11</formula1>
    </dataValidation>
  </dataValidations>
  <pageMargins left="0.7" right="0.7" top="0.75" bottom="0.75" header="0.3" footer="0.3"/>
  <pageSetup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D52C-9933-4245-869A-FD078F44220A}">
  <sheetPr codeName="Sheet159">
    <tabColor indexed="9"/>
  </sheetPr>
  <dimension ref="A1:AQ141"/>
  <sheetViews>
    <sheetView topLeftCell="B105"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2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20.5703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20.140625" style="1" bestFit="1" customWidth="1"/>
    <col min="17" max="17" width="20.42578125" style="1" bestFit="1" customWidth="1"/>
    <col min="18" max="18" width="16.5703125" style="1" customWidth="1"/>
    <col min="19" max="19" width="14.1406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Q Sync Motors</v>
      </c>
      <c r="C7" s="98" t="s">
        <v>1822</v>
      </c>
      <c r="D7" s="97" t="s">
        <v>211</v>
      </c>
      <c r="E7" s="97">
        <f>C118</f>
        <v>10</v>
      </c>
      <c r="F7" s="97">
        <v>8</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Q Sync Motors_CI, E - Refr (MD)</v>
      </c>
      <c r="J11" s="83" t="str">
        <f t="shared" ref="J11:J20" si="3">IF(B11="","",CONCATENATE($C$7,IF(C11="","",CONCATENATE(" with ",C11," Secondary Fuel"))))</f>
        <v>Q-Sync Motors for Walk-in and Reach-in Coolers/Freezers</v>
      </c>
      <c r="K11" s="83"/>
      <c r="M11" s="94" t="s">
        <v>123</v>
      </c>
      <c r="N11" s="93" t="s">
        <v>212</v>
      </c>
      <c r="O11" s="93" t="s">
        <v>211</v>
      </c>
    </row>
    <row r="12" spans="1:17">
      <c r="A12" s="1">
        <v>2</v>
      </c>
      <c r="B12" s="98" t="s">
        <v>205</v>
      </c>
      <c r="C12" s="97"/>
      <c r="D12" s="98" t="s">
        <v>164</v>
      </c>
      <c r="E12" s="99" t="s">
        <v>204</v>
      </c>
      <c r="F12" s="99"/>
      <c r="G12" s="83" t="str">
        <f t="shared" si="0"/>
        <v>E</v>
      </c>
      <c r="H12" s="83" t="str">
        <f t="shared" si="1"/>
        <v>Refr</v>
      </c>
      <c r="I12" s="83" t="str">
        <f t="shared" ca="1" si="2"/>
        <v>CI Q Sync Motors_CI, E - Refr (RET)</v>
      </c>
      <c r="J12" s="83" t="str">
        <f t="shared" si="3"/>
        <v>Q-Sync Motors for Walk-in and Reach-in Coolers/Freezers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Q Sync Motors_CI, E - Refr (MD)</v>
      </c>
      <c r="D33" s="83" t="str">
        <f t="shared" ca="1" si="5"/>
        <v>CI Q Sync Motors_CI,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Q Sync Motors_CI, E - Refr (MD)</v>
      </c>
      <c r="N33" s="84" t="str">
        <f t="shared" ca="1" si="6"/>
        <v>CI Q Sync Motors_CI,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Q-Sync Motors for Walk-in and Reach-in Coolers/Freezers</v>
      </c>
      <c r="D34" s="83" t="str">
        <f t="shared" si="8"/>
        <v>Q-Sync Motors for Walk-in and Reach-in Coolers/Freezers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Q Sync Motors_CI, E - Refr (MD)</v>
      </c>
      <c r="D35" s="82" t="str">
        <f ca="1">D33</f>
        <v>CI Q Sync Motors_CI,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82" t="str">
        <f>C34</f>
        <v>Q-Sync Motors for Walk-in and Reach-in Coolers/Freezers</v>
      </c>
      <c r="D36" s="82" t="str">
        <f>D34</f>
        <v>Q-Sync Motors for Walk-in and Reach-in Coolers/Freezers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1821</v>
      </c>
      <c r="D38" s="65" t="s">
        <v>1821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t="s">
        <v>163</v>
      </c>
      <c r="D44" s="82" t="s">
        <v>163</v>
      </c>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Q-Sync Motors for Walk-in and Reach-in Coolers/Freezers</v>
      </c>
      <c r="D52" s="66" t="str">
        <f t="shared" si="16"/>
        <v>Q-Sync Motors for Walk-in and Reach-in Coolers/Freezers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1554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1820</v>
      </c>
      <c r="D55" s="65" t="s">
        <v>1820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1819</v>
      </c>
      <c r="D56" s="65" t="s">
        <v>1819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t="str">
        <f>C59</f>
        <v>Large Grocery</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O141</f>
        <v>492.37662055555563</v>
      </c>
      <c r="D64" s="67"/>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Q141</f>
        <v>0</v>
      </c>
      <c r="D65" s="74">
        <f>C113</f>
        <v>1</v>
      </c>
      <c r="E65" s="67"/>
      <c r="F65" s="65"/>
      <c r="G65" s="65"/>
      <c r="H65" s="65"/>
      <c r="I65" s="65"/>
      <c r="J65" s="65"/>
      <c r="K65" s="65"/>
      <c r="L65" s="65"/>
      <c r="M65" s="69">
        <v>8</v>
      </c>
      <c r="N65" s="69">
        <v>8</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R141</f>
        <v>96.000000000000028</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S141</f>
        <v>0.28965901547362199</v>
      </c>
      <c r="D69" s="70" t="str">
        <f>C115</f>
        <v>Table</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Q-Sync Motors for Walk-in and Reach-in Coolers/Freezers</v>
      </c>
      <c r="D71" s="66" t="str">
        <f t="shared" si="23"/>
        <v>Q-Sync Motors for Walk-in and Reach-in Coolers/Freezers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t="str">
        <f>D128</f>
        <v>shaded-pole motor, low-temp</v>
      </c>
      <c r="D73" s="68" t="str">
        <f>C116</f>
        <v>Actual</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8">
        <f>C117</f>
        <v>8766</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8">
        <f>C118</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8">
        <f>C119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73">
        <f>C120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ht="101.45" customHeight="1">
      <c r="B105" s="722" t="s">
        <v>1818</v>
      </c>
      <c r="C105" s="722"/>
      <c r="D105" s="722"/>
      <c r="E105" s="722"/>
      <c r="F105" s="722"/>
    </row>
    <row r="106" spans="1:22">
      <c r="B106" s="381" t="s">
        <v>1817</v>
      </c>
      <c r="C106" s="546"/>
      <c r="D106" s="546"/>
      <c r="E106" s="546"/>
      <c r="F106" s="546"/>
    </row>
    <row r="108" spans="1:22" s="63" customFormat="1" ht="15.75" thickBot="1">
      <c r="B108" s="63" t="s">
        <v>50</v>
      </c>
    </row>
    <row r="110" spans="1:22" ht="13.9" customHeight="1">
      <c r="B110" s="505" t="s">
        <v>46</v>
      </c>
      <c r="C110" s="505" t="s">
        <v>45</v>
      </c>
      <c r="D110" s="505" t="s">
        <v>44</v>
      </c>
      <c r="E110" s="505" t="s">
        <v>43</v>
      </c>
    </row>
    <row r="111" spans="1:22" hidden="1">
      <c r="B111" s="286" t="s">
        <v>518</v>
      </c>
      <c r="C111" s="286">
        <v>10</v>
      </c>
      <c r="D111" s="286" t="s">
        <v>1816</v>
      </c>
      <c r="E111" s="286"/>
    </row>
    <row r="112" spans="1:22" hidden="1">
      <c r="B112" s="93" t="s">
        <v>438</v>
      </c>
      <c r="C112" s="534" t="s">
        <v>35</v>
      </c>
      <c r="D112" s="286" t="s">
        <v>1816</v>
      </c>
      <c r="E112" s="93"/>
    </row>
    <row r="113" spans="2:20">
      <c r="B113" s="93" t="s">
        <v>34</v>
      </c>
      <c r="C113" s="97">
        <v>1</v>
      </c>
      <c r="D113" s="286" t="s">
        <v>1816</v>
      </c>
      <c r="E113" s="286"/>
    </row>
    <row r="114" spans="2:20">
      <c r="B114" s="93" t="s">
        <v>1743</v>
      </c>
      <c r="C114" s="93" t="s">
        <v>35</v>
      </c>
      <c r="D114" s="286" t="s">
        <v>1816</v>
      </c>
      <c r="E114" s="93" t="s">
        <v>1753</v>
      </c>
    </row>
    <row r="115" spans="2:20">
      <c r="B115" s="93" t="s">
        <v>1752</v>
      </c>
      <c r="C115" s="93" t="s">
        <v>35</v>
      </c>
      <c r="D115" s="286" t="s">
        <v>1816</v>
      </c>
      <c r="E115" s="93" t="s">
        <v>1751</v>
      </c>
    </row>
    <row r="116" spans="2:20">
      <c r="B116" s="93" t="s">
        <v>1019</v>
      </c>
      <c r="C116" s="93" t="s">
        <v>555</v>
      </c>
      <c r="D116" s="286" t="s">
        <v>1816</v>
      </c>
      <c r="E116" s="93" t="s">
        <v>1785</v>
      </c>
    </row>
    <row r="117" spans="2:20">
      <c r="B117" s="93" t="s">
        <v>309</v>
      </c>
      <c r="C117" s="93">
        <v>8766</v>
      </c>
      <c r="D117" s="286" t="s">
        <v>1816</v>
      </c>
      <c r="E117" s="93" t="s">
        <v>369</v>
      </c>
    </row>
    <row r="118" spans="2:20">
      <c r="B118" s="93" t="s">
        <v>518</v>
      </c>
      <c r="C118" s="93">
        <v>10</v>
      </c>
      <c r="D118" s="286" t="s">
        <v>1816</v>
      </c>
      <c r="E118" s="93"/>
    </row>
    <row r="119" spans="2:20">
      <c r="B119" s="544"/>
      <c r="C119" s="545"/>
      <c r="D119" s="544"/>
      <c r="E119" s="543"/>
    </row>
    <row r="120" spans="2:20">
      <c r="B120" s="333"/>
      <c r="C120" s="542"/>
      <c r="D120" s="333"/>
      <c r="E120" s="541"/>
      <c r="F120" s="62"/>
      <c r="H120" s="62"/>
      <c r="I120" s="62"/>
      <c r="J120" s="62"/>
      <c r="K120" s="62"/>
      <c r="L120" s="62"/>
      <c r="M120" s="62"/>
    </row>
    <row r="121" spans="2:20">
      <c r="C121"/>
      <c r="D121"/>
      <c r="E121"/>
      <c r="F121" s="62"/>
      <c r="H121" s="62"/>
      <c r="I121" s="62"/>
      <c r="J121" s="62"/>
      <c r="K121" s="62"/>
      <c r="L121" s="62"/>
      <c r="M121" s="62"/>
    </row>
    <row r="122" spans="2:20">
      <c r="B122" s="540" t="s">
        <v>1815</v>
      </c>
      <c r="C122" s="318" t="s">
        <v>1814</v>
      </c>
      <c r="D122" s="94" t="s">
        <v>2070</v>
      </c>
      <c r="E122" s="496" t="s">
        <v>1690</v>
      </c>
      <c r="F122" s="94" t="s">
        <v>309</v>
      </c>
      <c r="G122" s="94" t="s">
        <v>1806</v>
      </c>
      <c r="H122" s="496" t="s">
        <v>1805</v>
      </c>
      <c r="I122" s="496" t="s">
        <v>1804</v>
      </c>
      <c r="J122" s="94" t="s">
        <v>1803</v>
      </c>
      <c r="K122" s="94" t="s">
        <v>1802</v>
      </c>
      <c r="L122" s="94" t="s">
        <v>1801</v>
      </c>
      <c r="M122" s="94" t="s">
        <v>1800</v>
      </c>
      <c r="N122" s="94" t="s">
        <v>1799</v>
      </c>
      <c r="O122" s="94" t="s">
        <v>500</v>
      </c>
      <c r="P122" s="94" t="s">
        <v>499</v>
      </c>
      <c r="Q122" s="497" t="s">
        <v>244</v>
      </c>
      <c r="R122" s="496" t="s">
        <v>9</v>
      </c>
      <c r="S122" s="94" t="s">
        <v>8</v>
      </c>
      <c r="T122" s="94" t="s">
        <v>7</v>
      </c>
    </row>
    <row r="123" spans="2:20">
      <c r="C123" s="496" t="s">
        <v>1798</v>
      </c>
      <c r="D123" s="286" t="s">
        <v>1811</v>
      </c>
      <c r="E123" s="286">
        <v>412.07</v>
      </c>
      <c r="F123" s="93">
        <v>8766</v>
      </c>
      <c r="G123" s="538"/>
      <c r="H123" s="538"/>
      <c r="I123" s="538"/>
      <c r="J123" s="538"/>
      <c r="K123" s="538"/>
      <c r="L123" s="538"/>
      <c r="M123" s="538"/>
      <c r="N123" s="538"/>
      <c r="O123" s="538">
        <f t="shared" ref="O123:O130" si="28">E123</f>
        <v>412.07</v>
      </c>
      <c r="P123" s="539">
        <f t="shared" ref="P123:P130" si="29">O123*$C$113/F123</f>
        <v>4.7007757243896872E-2</v>
      </c>
      <c r="Q123" s="538"/>
      <c r="R123" s="286">
        <v>82</v>
      </c>
      <c r="S123" s="538">
        <f t="shared" ref="S123:S130" si="30">R123/O123</f>
        <v>0.19899531632974982</v>
      </c>
      <c r="T123" s="538">
        <f>1/COUNT($S$123:$S$140)</f>
        <v>5.5555555555555552E-2</v>
      </c>
    </row>
    <row r="124" spans="2:20">
      <c r="C124" s="496" t="s">
        <v>1798</v>
      </c>
      <c r="D124" s="286" t="s">
        <v>1810</v>
      </c>
      <c r="E124" s="332">
        <v>509.92899999999997</v>
      </c>
      <c r="F124" s="93">
        <v>8578</v>
      </c>
      <c r="G124" s="538"/>
      <c r="H124" s="538"/>
      <c r="I124" s="538"/>
      <c r="J124" s="538"/>
      <c r="K124" s="538"/>
      <c r="L124" s="538"/>
      <c r="M124" s="538"/>
      <c r="N124" s="538"/>
      <c r="O124" s="538">
        <f t="shared" si="28"/>
        <v>509.92899999999997</v>
      </c>
      <c r="P124" s="539">
        <f t="shared" si="29"/>
        <v>5.9446141291676378E-2</v>
      </c>
      <c r="Q124" s="538"/>
      <c r="R124" s="286">
        <v>82</v>
      </c>
      <c r="S124" s="538">
        <f t="shared" si="30"/>
        <v>0.16080670054066351</v>
      </c>
      <c r="T124" s="538">
        <f t="shared" ref="T124:T140" si="31">1/COUNT($S$123:$S$140)</f>
        <v>5.5555555555555552E-2</v>
      </c>
    </row>
    <row r="125" spans="2:20">
      <c r="C125" s="496" t="s">
        <v>1798</v>
      </c>
      <c r="D125" s="286" t="s">
        <v>1813</v>
      </c>
      <c r="E125" s="332">
        <v>76.036000000000001</v>
      </c>
      <c r="F125" s="93">
        <v>8766</v>
      </c>
      <c r="G125" s="538"/>
      <c r="H125" s="538"/>
      <c r="I125" s="538"/>
      <c r="J125" s="538"/>
      <c r="K125" s="538"/>
      <c r="L125" s="538"/>
      <c r="M125" s="538"/>
      <c r="N125" s="538"/>
      <c r="O125" s="538">
        <f t="shared" si="28"/>
        <v>76.036000000000001</v>
      </c>
      <c r="P125" s="539">
        <f t="shared" si="29"/>
        <v>8.6739676020990194E-3</v>
      </c>
      <c r="Q125" s="538"/>
      <c r="R125" s="286">
        <v>82</v>
      </c>
      <c r="S125" s="538">
        <f t="shared" si="30"/>
        <v>1.0784365300647061</v>
      </c>
      <c r="T125" s="538">
        <f t="shared" si="31"/>
        <v>5.5555555555555552E-2</v>
      </c>
    </row>
    <row r="126" spans="2:20">
      <c r="C126" s="496" t="s">
        <v>1798</v>
      </c>
      <c r="D126" s="286" t="s">
        <v>1812</v>
      </c>
      <c r="E126" s="332">
        <v>94.093999999999994</v>
      </c>
      <c r="F126" s="93">
        <v>8578</v>
      </c>
      <c r="G126" s="538"/>
      <c r="H126" s="538"/>
      <c r="I126" s="538"/>
      <c r="J126" s="538"/>
      <c r="K126" s="538"/>
      <c r="L126" s="538"/>
      <c r="M126" s="538"/>
      <c r="N126" s="538"/>
      <c r="O126" s="538">
        <f t="shared" si="28"/>
        <v>94.093999999999994</v>
      </c>
      <c r="P126" s="539">
        <f t="shared" si="29"/>
        <v>1.0969223595243646E-2</v>
      </c>
      <c r="Q126" s="538"/>
      <c r="R126" s="286">
        <v>82</v>
      </c>
      <c r="S126" s="538">
        <f t="shared" si="30"/>
        <v>0.87146895657533963</v>
      </c>
      <c r="T126" s="538">
        <f t="shared" si="31"/>
        <v>5.5555555555555552E-2</v>
      </c>
    </row>
    <row r="127" spans="2:20">
      <c r="C127" s="318" t="s">
        <v>1793</v>
      </c>
      <c r="D127" s="286" t="s">
        <v>1811</v>
      </c>
      <c r="E127" s="332">
        <v>1020.364</v>
      </c>
      <c r="F127" s="93">
        <v>8766</v>
      </c>
      <c r="G127" s="538"/>
      <c r="H127" s="538"/>
      <c r="I127" s="538"/>
      <c r="J127" s="538"/>
      <c r="K127" s="538"/>
      <c r="L127" s="538"/>
      <c r="M127" s="538"/>
      <c r="N127" s="538"/>
      <c r="O127" s="538">
        <f t="shared" si="28"/>
        <v>1020.364</v>
      </c>
      <c r="P127" s="539">
        <f t="shared" si="29"/>
        <v>0.11640018252338581</v>
      </c>
      <c r="Q127" s="538"/>
      <c r="R127" s="332">
        <v>110</v>
      </c>
      <c r="S127" s="538">
        <f t="shared" si="30"/>
        <v>0.10780466578593521</v>
      </c>
      <c r="T127" s="538">
        <f t="shared" si="31"/>
        <v>5.5555555555555552E-2</v>
      </c>
    </row>
    <row r="128" spans="2:20">
      <c r="C128" s="318" t="s">
        <v>1793</v>
      </c>
      <c r="D128" s="286" t="s">
        <v>1810</v>
      </c>
      <c r="E128" s="332">
        <v>1262.682</v>
      </c>
      <c r="F128" s="93">
        <v>8578</v>
      </c>
      <c r="G128" s="538"/>
      <c r="H128" s="538"/>
      <c r="I128" s="538"/>
      <c r="J128" s="538"/>
      <c r="K128" s="538"/>
      <c r="L128" s="538"/>
      <c r="M128" s="538"/>
      <c r="N128" s="538"/>
      <c r="O128" s="538">
        <f t="shared" si="28"/>
        <v>1262.682</v>
      </c>
      <c r="P128" s="539">
        <f t="shared" si="29"/>
        <v>0.14720004663091629</v>
      </c>
      <c r="Q128" s="538"/>
      <c r="R128" s="332">
        <v>110</v>
      </c>
      <c r="S128" s="538">
        <f t="shared" si="30"/>
        <v>8.711615434448261E-2</v>
      </c>
      <c r="T128" s="538">
        <f t="shared" si="31"/>
        <v>5.5555555555555552E-2</v>
      </c>
    </row>
    <row r="129" spans="2:20">
      <c r="C129" s="318" t="s">
        <v>1793</v>
      </c>
      <c r="D129" s="286" t="s">
        <v>1809</v>
      </c>
      <c r="E129" s="332">
        <v>295.56200000000001</v>
      </c>
      <c r="F129" s="93">
        <v>8766</v>
      </c>
      <c r="G129" s="538"/>
      <c r="H129" s="538"/>
      <c r="I129" s="538"/>
      <c r="J129" s="538"/>
      <c r="K129" s="538"/>
      <c r="L129" s="538"/>
      <c r="M129" s="538"/>
      <c r="N129" s="538"/>
      <c r="O129" s="538">
        <f t="shared" si="28"/>
        <v>295.56200000000001</v>
      </c>
      <c r="P129" s="539">
        <f t="shared" si="29"/>
        <v>3.371686059776409E-2</v>
      </c>
      <c r="Q129" s="538"/>
      <c r="R129" s="332">
        <v>110</v>
      </c>
      <c r="S129" s="538">
        <f t="shared" si="30"/>
        <v>0.3721723360919198</v>
      </c>
      <c r="T129" s="538">
        <f t="shared" si="31"/>
        <v>5.5555555555555552E-2</v>
      </c>
    </row>
    <row r="130" spans="2:20">
      <c r="C130" s="318" t="s">
        <v>1793</v>
      </c>
      <c r="D130" s="286" t="s">
        <v>1808</v>
      </c>
      <c r="E130" s="93">
        <v>365.75299999999999</v>
      </c>
      <c r="F130" s="93">
        <v>8578</v>
      </c>
      <c r="G130" s="538"/>
      <c r="H130" s="538"/>
      <c r="I130" s="538"/>
      <c r="J130" s="538"/>
      <c r="K130" s="538"/>
      <c r="L130" s="538"/>
      <c r="M130" s="538"/>
      <c r="N130" s="538"/>
      <c r="O130" s="538">
        <f t="shared" si="28"/>
        <v>365.75299999999999</v>
      </c>
      <c r="P130" s="539">
        <f t="shared" si="29"/>
        <v>4.2638493821403591E-2</v>
      </c>
      <c r="Q130" s="538"/>
      <c r="R130" s="332">
        <v>110</v>
      </c>
      <c r="S130" s="538">
        <f t="shared" si="30"/>
        <v>0.30074941285512358</v>
      </c>
      <c r="T130" s="538">
        <f t="shared" si="31"/>
        <v>5.5555555555555552E-2</v>
      </c>
    </row>
    <row r="131" spans="2:20">
      <c r="B131" s="95" t="s">
        <v>1807</v>
      </c>
      <c r="C131" s="496" t="s">
        <v>1798</v>
      </c>
      <c r="D131" s="496" t="s">
        <v>1797</v>
      </c>
      <c r="E131" s="538"/>
      <c r="F131" s="538"/>
      <c r="G131" s="286">
        <v>0.6</v>
      </c>
      <c r="H131" s="286">
        <v>0.4</v>
      </c>
      <c r="I131" s="286">
        <v>0.68</v>
      </c>
      <c r="J131" s="93">
        <v>0.32</v>
      </c>
      <c r="K131" s="538">
        <f>$E$123</f>
        <v>412.07</v>
      </c>
      <c r="L131" s="538">
        <f>$E$125</f>
        <v>76.036000000000001</v>
      </c>
      <c r="M131" s="538">
        <f>$E$124</f>
        <v>509.92899999999997</v>
      </c>
      <c r="N131" s="538">
        <f>$E$126</f>
        <v>94.093999999999994</v>
      </c>
      <c r="O131" s="538">
        <f t="shared" ref="O131:O140" si="32">(I131*((G131*K131)+(H131*L131)))+(J131*(G131*M131)+(H131*N131))</f>
        <v>324.35031999999995</v>
      </c>
      <c r="P131" s="538">
        <f t="shared" ref="P131:P140" si="33">O131*$C$113/8766</f>
        <v>3.7000949121606203E-2</v>
      </c>
      <c r="Q131" s="286"/>
      <c r="R131" s="286">
        <v>82</v>
      </c>
      <c r="S131" s="93">
        <f t="shared" ref="S131:S140" si="34">R131/O131</f>
        <v>0.25281306952310084</v>
      </c>
      <c r="T131" s="538">
        <f t="shared" si="31"/>
        <v>5.5555555555555552E-2</v>
      </c>
    </row>
    <row r="132" spans="2:20">
      <c r="C132" s="496" t="s">
        <v>1798</v>
      </c>
      <c r="D132" s="496" t="s">
        <v>1796</v>
      </c>
      <c r="E132" s="538"/>
      <c r="F132" s="538"/>
      <c r="G132" s="286">
        <v>0.8</v>
      </c>
      <c r="H132" s="332">
        <v>0.2</v>
      </c>
      <c r="I132" s="286">
        <v>0.68</v>
      </c>
      <c r="J132" s="93">
        <v>0.32</v>
      </c>
      <c r="K132" s="538">
        <f>$E$123</f>
        <v>412.07</v>
      </c>
      <c r="L132" s="538">
        <f>$E$125</f>
        <v>76.036000000000001</v>
      </c>
      <c r="M132" s="538">
        <f>$E$124</f>
        <v>509.92899999999997</v>
      </c>
      <c r="N132" s="538">
        <f>$E$126</f>
        <v>94.093999999999994</v>
      </c>
      <c r="O132" s="538">
        <f t="shared" si="32"/>
        <v>383.86760000000004</v>
      </c>
      <c r="P132" s="538">
        <f t="shared" si="33"/>
        <v>4.3790508783937948E-2</v>
      </c>
      <c r="Q132" s="286"/>
      <c r="R132" s="286">
        <v>82</v>
      </c>
      <c r="S132" s="93">
        <f t="shared" si="34"/>
        <v>0.21361531944868489</v>
      </c>
      <c r="T132" s="538">
        <f t="shared" si="31"/>
        <v>5.5555555555555552E-2</v>
      </c>
    </row>
    <row r="133" spans="2:20">
      <c r="C133" s="496" t="s">
        <v>1798</v>
      </c>
      <c r="D133" s="496" t="s">
        <v>1795</v>
      </c>
      <c r="E133" s="538"/>
      <c r="F133" s="538"/>
      <c r="G133" s="286">
        <v>0.7</v>
      </c>
      <c r="H133" s="332">
        <v>0.3</v>
      </c>
      <c r="I133" s="286">
        <v>0.68</v>
      </c>
      <c r="J133" s="93">
        <v>0.32</v>
      </c>
      <c r="K133" s="538">
        <f>$E$123</f>
        <v>412.07</v>
      </c>
      <c r="L133" s="538">
        <f>$E$125</f>
        <v>76.036000000000001</v>
      </c>
      <c r="M133" s="538">
        <f>$E$124</f>
        <v>509.92899999999997</v>
      </c>
      <c r="N133" s="538">
        <f>$E$126</f>
        <v>94.093999999999994</v>
      </c>
      <c r="O133" s="538">
        <f t="shared" si="32"/>
        <v>354.10895999999997</v>
      </c>
      <c r="P133" s="538">
        <f t="shared" si="33"/>
        <v>4.0395728952772068E-2</v>
      </c>
      <c r="Q133" s="286"/>
      <c r="R133" s="286">
        <v>82</v>
      </c>
      <c r="S133" s="93">
        <f t="shared" si="34"/>
        <v>0.23156714249760868</v>
      </c>
      <c r="T133" s="538">
        <f t="shared" si="31"/>
        <v>5.5555555555555552E-2</v>
      </c>
    </row>
    <row r="134" spans="2:20">
      <c r="C134" s="496" t="s">
        <v>1798</v>
      </c>
      <c r="D134" s="496" t="s">
        <v>1794</v>
      </c>
      <c r="E134" s="538"/>
      <c r="F134" s="538"/>
      <c r="G134" s="286">
        <v>0.85</v>
      </c>
      <c r="H134" s="332">
        <v>0.15</v>
      </c>
      <c r="I134" s="286">
        <v>0.68</v>
      </c>
      <c r="J134" s="93">
        <v>0.32</v>
      </c>
      <c r="K134" s="538">
        <f>$E$123</f>
        <v>412.07</v>
      </c>
      <c r="L134" s="538">
        <f>$E$125</f>
        <v>76.036000000000001</v>
      </c>
      <c r="M134" s="538">
        <f>$E$124</f>
        <v>509.92899999999997</v>
      </c>
      <c r="N134" s="538">
        <f>$E$126</f>
        <v>94.093999999999994</v>
      </c>
      <c r="O134" s="538">
        <f t="shared" si="32"/>
        <v>398.74692000000005</v>
      </c>
      <c r="P134" s="538">
        <f t="shared" si="33"/>
        <v>4.5487898699520884E-2</v>
      </c>
      <c r="Q134" s="286"/>
      <c r="R134" s="286">
        <v>82</v>
      </c>
      <c r="S134" s="93">
        <f t="shared" si="34"/>
        <v>0.20564422165317287</v>
      </c>
      <c r="T134" s="538">
        <f t="shared" si="31"/>
        <v>5.5555555555555552E-2</v>
      </c>
    </row>
    <row r="135" spans="2:20">
      <c r="C135" s="496" t="s">
        <v>1798</v>
      </c>
      <c r="D135" s="318" t="s">
        <v>1792</v>
      </c>
      <c r="E135" s="538"/>
      <c r="F135" s="538"/>
      <c r="G135" s="286">
        <v>0.85</v>
      </c>
      <c r="H135" s="332">
        <v>0.15</v>
      </c>
      <c r="I135" s="286">
        <v>0.68</v>
      </c>
      <c r="J135" s="93">
        <v>0.32</v>
      </c>
      <c r="K135" s="538">
        <f>$E$123</f>
        <v>412.07</v>
      </c>
      <c r="L135" s="538">
        <f>$E$125</f>
        <v>76.036000000000001</v>
      </c>
      <c r="M135" s="538">
        <f>$E$124</f>
        <v>509.92899999999997</v>
      </c>
      <c r="N135" s="538">
        <f>$E$126</f>
        <v>94.093999999999994</v>
      </c>
      <c r="O135" s="538">
        <f t="shared" si="32"/>
        <v>398.74692000000005</v>
      </c>
      <c r="P135" s="538">
        <f t="shared" si="33"/>
        <v>4.5487898699520884E-2</v>
      </c>
      <c r="Q135" s="286"/>
      <c r="R135" s="286">
        <v>82</v>
      </c>
      <c r="S135" s="93">
        <f t="shared" si="34"/>
        <v>0.20564422165317287</v>
      </c>
      <c r="T135" s="538">
        <f t="shared" si="31"/>
        <v>5.5555555555555552E-2</v>
      </c>
    </row>
    <row r="136" spans="2:20">
      <c r="C136" s="318" t="s">
        <v>1793</v>
      </c>
      <c r="D136" s="496" t="s">
        <v>1797</v>
      </c>
      <c r="E136" s="538"/>
      <c r="F136" s="538"/>
      <c r="G136" s="286">
        <v>0.05</v>
      </c>
      <c r="H136" s="332">
        <v>0.95</v>
      </c>
      <c r="I136" s="286">
        <v>0.68</v>
      </c>
      <c r="J136" s="93">
        <v>0.32</v>
      </c>
      <c r="K136" s="538">
        <f>$O$127</f>
        <v>1020.364</v>
      </c>
      <c r="L136" s="93">
        <f>$O$129</f>
        <v>295.56200000000001</v>
      </c>
      <c r="M136" s="93">
        <f>$O$128</f>
        <v>1262.682</v>
      </c>
      <c r="N136" s="93">
        <f>$O$130</f>
        <v>365.75299999999999</v>
      </c>
      <c r="O136" s="538">
        <f t="shared" si="32"/>
        <v>593.29368999999997</v>
      </c>
      <c r="P136" s="538">
        <f t="shared" si="33"/>
        <v>6.7681233173625371E-2</v>
      </c>
      <c r="Q136" s="332"/>
      <c r="R136" s="332">
        <v>110</v>
      </c>
      <c r="S136" s="93">
        <f t="shared" si="34"/>
        <v>0.18540564623230699</v>
      </c>
      <c r="T136" s="538">
        <f t="shared" si="31"/>
        <v>5.5555555555555552E-2</v>
      </c>
    </row>
    <row r="137" spans="2:20">
      <c r="C137" s="318" t="s">
        <v>1793</v>
      </c>
      <c r="D137" s="496" t="s">
        <v>1796</v>
      </c>
      <c r="E137" s="538"/>
      <c r="F137" s="538"/>
      <c r="G137" s="286">
        <v>0.05</v>
      </c>
      <c r="H137" s="332">
        <v>0.95</v>
      </c>
      <c r="I137" s="286">
        <v>0.68</v>
      </c>
      <c r="J137" s="93">
        <v>0.32</v>
      </c>
      <c r="K137" s="538">
        <f>$O$127</f>
        <v>1020.364</v>
      </c>
      <c r="L137" s="93">
        <f>$O$129</f>
        <v>295.56200000000001</v>
      </c>
      <c r="M137" s="93">
        <f>$O$128</f>
        <v>1262.682</v>
      </c>
      <c r="N137" s="93">
        <f>$O$130</f>
        <v>365.75299999999999</v>
      </c>
      <c r="O137" s="538">
        <f t="shared" si="32"/>
        <v>593.29368999999997</v>
      </c>
      <c r="P137" s="538">
        <f t="shared" si="33"/>
        <v>6.7681233173625371E-2</v>
      </c>
      <c r="Q137" s="332"/>
      <c r="R137" s="332">
        <v>110</v>
      </c>
      <c r="S137" s="93">
        <f t="shared" si="34"/>
        <v>0.18540564623230699</v>
      </c>
      <c r="T137" s="538">
        <f t="shared" si="31"/>
        <v>5.5555555555555552E-2</v>
      </c>
    </row>
    <row r="138" spans="2:20">
      <c r="C138" s="318" t="s">
        <v>1793</v>
      </c>
      <c r="D138" s="496" t="s">
        <v>1795</v>
      </c>
      <c r="E138" s="538"/>
      <c r="F138" s="538"/>
      <c r="G138" s="286">
        <v>0.05</v>
      </c>
      <c r="H138" s="332">
        <v>0.95</v>
      </c>
      <c r="I138" s="286">
        <v>0.68</v>
      </c>
      <c r="J138" s="93">
        <v>0.32</v>
      </c>
      <c r="K138" s="538">
        <f>$O$127</f>
        <v>1020.364</v>
      </c>
      <c r="L138" s="93">
        <f>$O$129</f>
        <v>295.56200000000001</v>
      </c>
      <c r="M138" s="93">
        <f>$O$128</f>
        <v>1262.682</v>
      </c>
      <c r="N138" s="93">
        <f>$O$130</f>
        <v>365.75299999999999</v>
      </c>
      <c r="O138" s="538">
        <f t="shared" si="32"/>
        <v>593.29368999999997</v>
      </c>
      <c r="P138" s="538">
        <f t="shared" si="33"/>
        <v>6.7681233173625371E-2</v>
      </c>
      <c r="Q138" s="332"/>
      <c r="R138" s="332">
        <v>110</v>
      </c>
      <c r="S138" s="93">
        <f t="shared" si="34"/>
        <v>0.18540564623230699</v>
      </c>
      <c r="T138" s="538">
        <f t="shared" si="31"/>
        <v>5.5555555555555552E-2</v>
      </c>
    </row>
    <row r="139" spans="2:20">
      <c r="C139" s="318" t="s">
        <v>1793</v>
      </c>
      <c r="D139" s="496" t="s">
        <v>1794</v>
      </c>
      <c r="E139" s="538"/>
      <c r="F139" s="538"/>
      <c r="G139" s="286">
        <v>0.05</v>
      </c>
      <c r="H139" s="332">
        <v>0.95</v>
      </c>
      <c r="I139" s="286">
        <v>0.68</v>
      </c>
      <c r="J139" s="93">
        <v>0.32</v>
      </c>
      <c r="K139" s="538">
        <f>$O$127</f>
        <v>1020.364</v>
      </c>
      <c r="L139" s="93">
        <f>$O$129</f>
        <v>295.56200000000001</v>
      </c>
      <c r="M139" s="93">
        <f>$O$128</f>
        <v>1262.682</v>
      </c>
      <c r="N139" s="93">
        <f>$O$130</f>
        <v>365.75299999999999</v>
      </c>
      <c r="O139" s="538">
        <f t="shared" si="32"/>
        <v>593.29368999999997</v>
      </c>
      <c r="P139" s="538">
        <f t="shared" si="33"/>
        <v>6.7681233173625371E-2</v>
      </c>
      <c r="Q139" s="332"/>
      <c r="R139" s="332">
        <v>110</v>
      </c>
      <c r="S139" s="93">
        <f t="shared" si="34"/>
        <v>0.18540564623230699</v>
      </c>
      <c r="T139" s="538">
        <f t="shared" si="31"/>
        <v>5.5555555555555552E-2</v>
      </c>
    </row>
    <row r="140" spans="2:20">
      <c r="C140" s="318" t="s">
        <v>1793</v>
      </c>
      <c r="D140" s="318" t="s">
        <v>1792</v>
      </c>
      <c r="E140" s="538"/>
      <c r="F140" s="538"/>
      <c r="G140" s="286">
        <v>0.05</v>
      </c>
      <c r="H140" s="332">
        <v>0.95</v>
      </c>
      <c r="I140" s="286">
        <v>0.68</v>
      </c>
      <c r="J140" s="93">
        <v>0.32</v>
      </c>
      <c r="K140" s="538">
        <f>$O$127</f>
        <v>1020.364</v>
      </c>
      <c r="L140" s="93">
        <f>$O$129</f>
        <v>295.56200000000001</v>
      </c>
      <c r="M140" s="93">
        <f>$O$128</f>
        <v>1262.682</v>
      </c>
      <c r="N140" s="93">
        <f>$O$130</f>
        <v>365.75299999999999</v>
      </c>
      <c r="O140" s="538">
        <f t="shared" si="32"/>
        <v>593.29368999999997</v>
      </c>
      <c r="P140" s="538">
        <f t="shared" si="33"/>
        <v>6.7681233173625371E-2</v>
      </c>
      <c r="Q140" s="332"/>
      <c r="R140" s="332">
        <v>110</v>
      </c>
      <c r="S140" s="93">
        <f t="shared" si="34"/>
        <v>0.18540564623230699</v>
      </c>
      <c r="T140" s="538">
        <f t="shared" si="31"/>
        <v>5.5555555555555552E-2</v>
      </c>
    </row>
    <row r="141" spans="2:20">
      <c r="C141" s="7" t="s">
        <v>0</v>
      </c>
      <c r="D141" s="7"/>
      <c r="E141" s="7"/>
      <c r="F141" s="7"/>
      <c r="G141" s="7"/>
      <c r="H141" s="7"/>
      <c r="I141" s="7"/>
      <c r="J141" s="7"/>
      <c r="K141" s="7"/>
      <c r="L141" s="7"/>
      <c r="M141" s="7"/>
      <c r="N141" s="7"/>
      <c r="O141" s="7">
        <f>SUMPRODUCT(O123:O140,$T$123:$T$140)</f>
        <v>492.37662055555563</v>
      </c>
      <c r="P141" s="7">
        <f>SUMPRODUCT(P123:P140,$T$123:$T$140)</f>
        <v>5.6478990190659467E-2</v>
      </c>
      <c r="Q141" s="7">
        <f>SUMPRODUCT(Q123:Q140,$T$123:$T$140)</f>
        <v>0</v>
      </c>
      <c r="R141" s="7">
        <f>SUMPRODUCT(R123:R140,$T$123:$T$140)</f>
        <v>96.000000000000028</v>
      </c>
      <c r="S141" s="7">
        <f>SUMPRODUCT(S123:S140,$T$123:$T$140)</f>
        <v>0.28965901547362199</v>
      </c>
    </row>
  </sheetData>
  <mergeCells count="1">
    <mergeCell ref="B105:F105"/>
  </mergeCells>
  <phoneticPr fontId="35" type="noConversion"/>
  <dataValidations count="5">
    <dataValidation type="list" allowBlank="1" showInputMessage="1" showErrorMessage="1" sqref="C59:L59" xr:uid="{00000000-0002-0000-9E00-000004000000}">
      <formula1>$N$19:$AQ$19</formula1>
    </dataValidation>
    <dataValidation type="list" allowBlank="1" showInputMessage="1" showErrorMessage="1" sqref="E11:E20" xr:uid="{00000000-0002-0000-9E00-000003000000}">
      <formula1>$N$16:$O$16</formula1>
    </dataValidation>
    <dataValidation type="list" allowBlank="1" showInputMessage="1" showErrorMessage="1" sqref="D11:D20" xr:uid="{00000000-0002-0000-9E00-000002000000}">
      <formula1>$N$22:$AE$22</formula1>
    </dataValidation>
    <dataValidation type="list" allowBlank="1" showInputMessage="1" showErrorMessage="1" sqref="B11:C20" xr:uid="{00000000-0002-0000-9E00-000001000000}">
      <formula1>$N$7:$Q$7</formula1>
    </dataValidation>
    <dataValidation type="list" allowBlank="1" showInputMessage="1" showErrorMessage="1" sqref="D7" xr:uid="{00000000-0002-0000-9E00-000000000000}">
      <formula1>$N$11:$O$11</formula1>
    </dataValidation>
  </dataValidations>
  <pageMargins left="0.7" right="0.7" top="0.75" bottom="0.75" header="0.3" footer="0.3"/>
  <pageSetup orientation="portrait"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BBE3-8A22-44ED-86B3-03F9C04BC65E}">
  <sheetPr codeName="Sheet287">
    <tabColor indexed="9"/>
  </sheetPr>
  <dimension ref="A1:AQ121"/>
  <sheetViews>
    <sheetView topLeftCell="A105" zoomScale="85" zoomScaleNormal="85" workbookViewId="0">
      <selection activeCell="C57" sqref="C57:C58"/>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Automatic Door Closers</v>
      </c>
      <c r="C7" s="98" t="s">
        <v>1832</v>
      </c>
      <c r="D7" s="97" t="s">
        <v>211</v>
      </c>
      <c r="E7" s="97">
        <f>C109</f>
        <v>8</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Automatic Door Closers_CI, E - Refr (RET)</v>
      </c>
      <c r="J11" s="83" t="str">
        <f t="shared" ref="J11:J20" si="3">IF(B11="","",CONCATENATE($C$7,IF(C11="","",CONCATENATE(" with ",C11," Secondary Fuel"))))</f>
        <v>Automatic Door Closer for Walk-In Coolers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Automatic Door Closers_CI,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Automatic Door Closers_CI,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Automatic Door Closer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Automatic Door Closers_CI,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1831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8</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Automatic Door Closer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1830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1829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C121</f>
        <v>4674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E121</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C110</f>
        <v>502</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F121</f>
        <v>0.14074723296648703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Automatic Door Closer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6" spans="1:22" s="63" customFormat="1" ht="15.75" thickBot="1">
      <c r="B106" s="63" t="s">
        <v>50</v>
      </c>
    </row>
    <row r="108" spans="1:22">
      <c r="B108" s="505" t="s">
        <v>46</v>
      </c>
      <c r="C108" s="505" t="s">
        <v>45</v>
      </c>
      <c r="D108" s="505" t="s">
        <v>44</v>
      </c>
      <c r="E108" s="505" t="s">
        <v>43</v>
      </c>
    </row>
    <row r="109" spans="1:22">
      <c r="B109" s="286" t="s">
        <v>518</v>
      </c>
      <c r="C109" s="286">
        <v>8</v>
      </c>
      <c r="D109" s="286" t="s">
        <v>1827</v>
      </c>
      <c r="E109" s="286"/>
    </row>
    <row r="110" spans="1:22">
      <c r="B110" s="93" t="s">
        <v>438</v>
      </c>
      <c r="C110" s="534">
        <v>502</v>
      </c>
      <c r="D110" s="286" t="s">
        <v>1827</v>
      </c>
      <c r="E110" s="93"/>
    </row>
    <row r="111" spans="1:22">
      <c r="B111" s="93" t="s">
        <v>34</v>
      </c>
      <c r="C111" s="97">
        <v>1</v>
      </c>
      <c r="D111" s="286" t="s">
        <v>1827</v>
      </c>
      <c r="E111" s="286"/>
    </row>
    <row r="112" spans="1:22">
      <c r="B112" s="93" t="s">
        <v>500</v>
      </c>
      <c r="C112" s="93" t="s">
        <v>35</v>
      </c>
      <c r="D112" s="286" t="s">
        <v>1827</v>
      </c>
      <c r="E112" s="93" t="s">
        <v>1828</v>
      </c>
    </row>
    <row r="113" spans="2:7">
      <c r="B113" s="93" t="s">
        <v>500</v>
      </c>
      <c r="C113" s="93" t="s">
        <v>35</v>
      </c>
      <c r="D113" s="286" t="s">
        <v>1827</v>
      </c>
      <c r="E113" s="93" t="s">
        <v>1826</v>
      </c>
    </row>
    <row r="118" spans="2:7">
      <c r="B118" s="94" t="s">
        <v>1825</v>
      </c>
      <c r="C118" s="94" t="s">
        <v>500</v>
      </c>
      <c r="D118" s="496" t="s">
        <v>499</v>
      </c>
      <c r="E118" s="497" t="s">
        <v>244</v>
      </c>
      <c r="F118" s="94" t="s">
        <v>8</v>
      </c>
      <c r="G118" s="94" t="s">
        <v>7</v>
      </c>
    </row>
    <row r="119" spans="2:7">
      <c r="B119" s="93" t="s">
        <v>1824</v>
      </c>
      <c r="C119" s="93">
        <v>2399</v>
      </c>
      <c r="D119" s="286">
        <v>0.621</v>
      </c>
      <c r="E119" s="93"/>
      <c r="F119" s="312">
        <f>$C$110/C119</f>
        <v>0.20925385577323885</v>
      </c>
      <c r="G119" s="93">
        <v>0.5</v>
      </c>
    </row>
    <row r="120" spans="2:7">
      <c r="B120" s="93" t="s">
        <v>1823</v>
      </c>
      <c r="C120" s="93">
        <v>6949</v>
      </c>
      <c r="D120" s="286">
        <v>1.3</v>
      </c>
      <c r="E120" s="93"/>
      <c r="F120" s="312">
        <f>$C$110/C120</f>
        <v>7.2240610159735208E-2</v>
      </c>
      <c r="G120" s="93">
        <v>0.5</v>
      </c>
    </row>
    <row r="121" spans="2:7">
      <c r="B121" s="7" t="s">
        <v>0</v>
      </c>
      <c r="C121" s="7">
        <f>SUMPRODUCT(C119:C120,$G$119:$G$120)</f>
        <v>4674</v>
      </c>
      <c r="D121" s="7">
        <f>SUMPRODUCT(D119:D120,$G$119:$G$120)</f>
        <v>0.96050000000000002</v>
      </c>
      <c r="E121" s="7">
        <f>SUMPRODUCT(E119:E120,$G$119:$G$120)</f>
        <v>0</v>
      </c>
      <c r="F121" s="7">
        <f>SUMPRODUCT(F119:F120,$G$119:$G$120)</f>
        <v>0.14074723296648703</v>
      </c>
      <c r="G121" s="93"/>
    </row>
  </sheetData>
  <dataValidations count="5">
    <dataValidation type="list" allowBlank="1" showInputMessage="1" showErrorMessage="1" sqref="C59:L59" xr:uid="{00000000-0002-0000-A900-000004000000}">
      <formula1>$N$19:$AQ$19</formula1>
    </dataValidation>
    <dataValidation type="list" allowBlank="1" showInputMessage="1" showErrorMessage="1" sqref="E11:E20" xr:uid="{00000000-0002-0000-A900-000003000000}">
      <formula1>$N$16:$O$16</formula1>
    </dataValidation>
    <dataValidation type="list" allowBlank="1" showInputMessage="1" showErrorMessage="1" sqref="D11:D20" xr:uid="{00000000-0002-0000-A900-000002000000}">
      <formula1>$N$22:$AE$22</formula1>
    </dataValidation>
    <dataValidation type="list" allowBlank="1" showInputMessage="1" showErrorMessage="1" sqref="B11:C20" xr:uid="{00000000-0002-0000-A900-000001000000}">
      <formula1>$N$7:$Q$7</formula1>
    </dataValidation>
    <dataValidation type="list" allowBlank="1" showInputMessage="1" showErrorMessage="1" sqref="D7" xr:uid="{00000000-0002-0000-A900-000000000000}">
      <formula1>$N$11:$O$11</formula1>
    </dataValidation>
  </dataValidations>
  <pageMargins left="0.7" right="0.7" top="0.75" bottom="0.75" header="0.3" footer="0.3"/>
  <pageSetup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CDF2-075A-4D4C-AE81-BDA8D08BC9CA}">
  <sheetPr codeName="Sheet286">
    <tabColor indexed="9"/>
  </sheetPr>
  <dimension ref="A1:AQ132"/>
  <sheetViews>
    <sheetView topLeftCell="A111" zoomScale="85" zoomScaleNormal="85" workbookViewId="0">
      <selection activeCell="B132" sqref="B132:E132"/>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Strip Curtains</v>
      </c>
      <c r="C7" s="98" t="s">
        <v>1853</v>
      </c>
      <c r="D7" s="97" t="s">
        <v>211</v>
      </c>
      <c r="E7" s="97">
        <f>C110</f>
        <v>4</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Strip Curtains_CI, E - Refr (RET)</v>
      </c>
      <c r="J11" s="83" t="str">
        <f t="shared" ref="J11:J20" si="3">IF(B11="","",CONCATENATE($C$7,IF(C11="","",CONCATENATE(" with ",C11," Secondary Fuel"))))</f>
        <v>Strip Curtains for Walk-In Coolers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Strip Curtains_CI,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Strip Curtains_CI,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Strip Curtains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Strip Curtains_CI,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1852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Strip Curtains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1851</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1850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F132</f>
        <v>3380.2714285714283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H132</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I132</f>
        <v>933.37799999999993</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J132</f>
        <v>0.46908913438141414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Strip Curtains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1849</v>
      </c>
    </row>
    <row r="107" spans="1:22" s="63" customFormat="1" ht="15.75" thickBot="1">
      <c r="B107" s="63" t="s">
        <v>50</v>
      </c>
    </row>
    <row r="109" spans="1:22">
      <c r="B109" s="505" t="s">
        <v>46</v>
      </c>
      <c r="C109" s="505" t="s">
        <v>45</v>
      </c>
      <c r="D109" s="505" t="s">
        <v>44</v>
      </c>
      <c r="E109" s="505" t="s">
        <v>43</v>
      </c>
    </row>
    <row r="110" spans="1:22">
      <c r="B110" s="286" t="s">
        <v>518</v>
      </c>
      <c r="C110" s="286">
        <v>4</v>
      </c>
      <c r="D110" s="286" t="s">
        <v>1846</v>
      </c>
      <c r="E110" s="286"/>
    </row>
    <row r="111" spans="1:22">
      <c r="B111" s="93" t="s">
        <v>438</v>
      </c>
      <c r="C111" s="534">
        <v>10.220000000000001</v>
      </c>
      <c r="D111" s="286" t="s">
        <v>1846</v>
      </c>
      <c r="E111" s="93" t="s">
        <v>1848</v>
      </c>
    </row>
    <row r="112" spans="1:22">
      <c r="B112" s="93" t="s">
        <v>34</v>
      </c>
      <c r="C112" s="97">
        <v>1</v>
      </c>
      <c r="D112" s="286" t="s">
        <v>1846</v>
      </c>
      <c r="E112" s="286"/>
    </row>
    <row r="113" spans="2:11">
      <c r="B113" s="93" t="s">
        <v>1843</v>
      </c>
      <c r="C113" s="93" t="s">
        <v>35</v>
      </c>
      <c r="D113" s="286" t="s">
        <v>1846</v>
      </c>
      <c r="E113" s="93" t="s">
        <v>1847</v>
      </c>
    </row>
    <row r="114" spans="2:11">
      <c r="B114" s="93" t="s">
        <v>578</v>
      </c>
      <c r="C114" s="93" t="s">
        <v>35</v>
      </c>
      <c r="D114" s="286" t="s">
        <v>1846</v>
      </c>
      <c r="E114" s="93" t="s">
        <v>1845</v>
      </c>
    </row>
    <row r="117" spans="2:11">
      <c r="B117" s="94" t="s">
        <v>1782</v>
      </c>
      <c r="C117" s="94" t="s">
        <v>1844</v>
      </c>
      <c r="D117" s="94" t="s">
        <v>1843</v>
      </c>
      <c r="E117" s="94" t="s">
        <v>1842</v>
      </c>
      <c r="F117" s="94" t="s">
        <v>500</v>
      </c>
      <c r="G117" s="496" t="s">
        <v>499</v>
      </c>
      <c r="H117" s="497" t="s">
        <v>244</v>
      </c>
      <c r="I117" s="94" t="s">
        <v>9</v>
      </c>
      <c r="J117" s="94" t="s">
        <v>8</v>
      </c>
      <c r="K117" s="94" t="s">
        <v>7</v>
      </c>
    </row>
    <row r="118" spans="2:11">
      <c r="B118" s="93" t="s">
        <v>1841</v>
      </c>
      <c r="C118" s="93" t="s">
        <v>1835</v>
      </c>
      <c r="D118" s="93">
        <v>40.9</v>
      </c>
      <c r="E118" s="93">
        <v>21</v>
      </c>
      <c r="F118" s="93">
        <f t="shared" ref="F118:F131" si="29">D118*E118</f>
        <v>858.9</v>
      </c>
      <c r="G118" s="286">
        <f t="shared" ref="G118:G131" si="30">F118*$C$112/8766</f>
        <v>9.7980835044490067E-2</v>
      </c>
      <c r="H118" s="93"/>
      <c r="I118" s="547">
        <f>$C$111*D118</f>
        <v>417.99799999999999</v>
      </c>
      <c r="J118" s="547">
        <f t="shared" ref="J118:J131" si="31">$C$111*E118/F118</f>
        <v>0.24987775061124695</v>
      </c>
      <c r="K118" s="93">
        <f t="shared" ref="K118:K131" si="32">1/COUNT($J$118:$J$131)</f>
        <v>7.1428571428571425E-2</v>
      </c>
    </row>
    <row r="119" spans="2:11">
      <c r="B119" s="93" t="s">
        <v>1841</v>
      </c>
      <c r="C119" s="93" t="s">
        <v>1833</v>
      </c>
      <c r="D119" s="93">
        <v>119.9</v>
      </c>
      <c r="E119" s="93">
        <v>21</v>
      </c>
      <c r="F119" s="93">
        <f t="shared" si="29"/>
        <v>2517.9</v>
      </c>
      <c r="G119" s="286">
        <f t="shared" si="30"/>
        <v>0.28723477070499659</v>
      </c>
      <c r="H119" s="93"/>
      <c r="I119" s="547">
        <f t="shared" ref="I119:I131" si="33">$C$111*D119</f>
        <v>1225.3780000000002</v>
      </c>
      <c r="J119" s="547">
        <f t="shared" si="31"/>
        <v>8.5237698081734772E-2</v>
      </c>
      <c r="K119" s="93">
        <f t="shared" si="32"/>
        <v>7.1428571428571425E-2</v>
      </c>
    </row>
    <row r="120" spans="2:11">
      <c r="B120" s="93" t="s">
        <v>1840</v>
      </c>
      <c r="C120" s="93" t="s">
        <v>1835</v>
      </c>
      <c r="D120" s="93">
        <v>168.5</v>
      </c>
      <c r="E120" s="93">
        <v>21</v>
      </c>
      <c r="F120" s="93">
        <f t="shared" si="29"/>
        <v>3538.5</v>
      </c>
      <c r="G120" s="286">
        <f t="shared" si="30"/>
        <v>0.4036618754277892</v>
      </c>
      <c r="H120" s="93"/>
      <c r="I120" s="547">
        <f t="shared" si="33"/>
        <v>1722.0700000000002</v>
      </c>
      <c r="J120" s="547">
        <f t="shared" si="31"/>
        <v>6.0652818991097923E-2</v>
      </c>
      <c r="K120" s="93">
        <f t="shared" si="32"/>
        <v>7.1428571428571425E-2</v>
      </c>
    </row>
    <row r="121" spans="2:11">
      <c r="B121" s="93" t="s">
        <v>1840</v>
      </c>
      <c r="C121" s="93" t="s">
        <v>1833</v>
      </c>
      <c r="D121" s="93">
        <v>494.3</v>
      </c>
      <c r="E121" s="93">
        <v>21</v>
      </c>
      <c r="F121" s="93">
        <f t="shared" si="29"/>
        <v>10380.300000000001</v>
      </c>
      <c r="G121" s="286">
        <f t="shared" si="30"/>
        <v>1.1841546885694731</v>
      </c>
      <c r="H121" s="93"/>
      <c r="I121" s="547">
        <f t="shared" si="33"/>
        <v>5051.7460000000001</v>
      </c>
      <c r="J121" s="547">
        <f t="shared" si="31"/>
        <v>2.0675703014363746E-2</v>
      </c>
      <c r="K121" s="93">
        <f t="shared" si="32"/>
        <v>7.1428571428571425E-2</v>
      </c>
    </row>
    <row r="122" spans="2:11">
      <c r="B122" s="93" t="s">
        <v>1839</v>
      </c>
      <c r="C122" s="93" t="s">
        <v>1835</v>
      </c>
      <c r="D122" s="93">
        <v>6.3</v>
      </c>
      <c r="E122" s="93">
        <v>21</v>
      </c>
      <c r="F122" s="93">
        <f t="shared" si="29"/>
        <v>132.29999999999998</v>
      </c>
      <c r="G122" s="286">
        <f t="shared" si="30"/>
        <v>1.5092402464065707E-2</v>
      </c>
      <c r="H122" s="93"/>
      <c r="I122" s="547">
        <f t="shared" si="33"/>
        <v>64.385999999999996</v>
      </c>
      <c r="J122" s="547">
        <f t="shared" si="31"/>
        <v>1.6222222222222225</v>
      </c>
      <c r="K122" s="93">
        <f t="shared" si="32"/>
        <v>7.1428571428571425E-2</v>
      </c>
    </row>
    <row r="123" spans="2:11">
      <c r="B123" s="93" t="s">
        <v>1839</v>
      </c>
      <c r="C123" s="93" t="s">
        <v>1833</v>
      </c>
      <c r="D123" s="93">
        <v>23.6</v>
      </c>
      <c r="E123" s="93">
        <v>21</v>
      </c>
      <c r="F123" s="93">
        <f t="shared" si="29"/>
        <v>495.6</v>
      </c>
      <c r="G123" s="286">
        <f t="shared" si="30"/>
        <v>5.6536618754277894E-2</v>
      </c>
      <c r="H123" s="93"/>
      <c r="I123" s="547">
        <f t="shared" si="33"/>
        <v>241.19200000000004</v>
      </c>
      <c r="J123" s="547">
        <f t="shared" si="31"/>
        <v>0.43305084745762712</v>
      </c>
      <c r="K123" s="93">
        <f t="shared" si="32"/>
        <v>7.1428571428571425E-2</v>
      </c>
    </row>
    <row r="124" spans="2:11">
      <c r="B124" s="93" t="s">
        <v>1838</v>
      </c>
      <c r="C124" s="93" t="s">
        <v>1835</v>
      </c>
      <c r="D124" s="93">
        <v>10</v>
      </c>
      <c r="E124" s="93">
        <v>21</v>
      </c>
      <c r="F124" s="93">
        <f t="shared" si="29"/>
        <v>210</v>
      </c>
      <c r="G124" s="286">
        <f t="shared" si="30"/>
        <v>2.3956194387405885E-2</v>
      </c>
      <c r="H124" s="93"/>
      <c r="I124" s="547">
        <f t="shared" si="33"/>
        <v>102.2</v>
      </c>
      <c r="J124" s="547">
        <f t="shared" si="31"/>
        <v>1.022</v>
      </c>
      <c r="K124" s="93">
        <f t="shared" si="32"/>
        <v>7.1428571428571425E-2</v>
      </c>
    </row>
    <row r="125" spans="2:11">
      <c r="B125" s="93" t="s">
        <v>1838</v>
      </c>
      <c r="C125" s="93" t="s">
        <v>1833</v>
      </c>
      <c r="D125" s="93">
        <v>33.200000000000003</v>
      </c>
      <c r="E125" s="93">
        <v>21</v>
      </c>
      <c r="F125" s="93">
        <f t="shared" si="29"/>
        <v>697.2</v>
      </c>
      <c r="G125" s="286">
        <f t="shared" si="30"/>
        <v>7.9534565366187554E-2</v>
      </c>
      <c r="H125" s="93"/>
      <c r="I125" s="547">
        <f t="shared" si="33"/>
        <v>339.30400000000003</v>
      </c>
      <c r="J125" s="547">
        <f t="shared" si="31"/>
        <v>0.30783132530120483</v>
      </c>
      <c r="K125" s="93">
        <f t="shared" si="32"/>
        <v>7.1428571428571425E-2</v>
      </c>
    </row>
    <row r="126" spans="2:11">
      <c r="B126" s="93" t="s">
        <v>1837</v>
      </c>
      <c r="C126" s="93" t="s">
        <v>1835</v>
      </c>
      <c r="D126" s="93">
        <v>6.2</v>
      </c>
      <c r="E126" s="93">
        <v>21</v>
      </c>
      <c r="F126" s="93">
        <f t="shared" si="29"/>
        <v>130.20000000000002</v>
      </c>
      <c r="G126" s="286">
        <f t="shared" si="30"/>
        <v>1.4852840520191651E-2</v>
      </c>
      <c r="H126" s="93"/>
      <c r="I126" s="547">
        <f t="shared" si="33"/>
        <v>63.364000000000004</v>
      </c>
      <c r="J126" s="547">
        <f t="shared" si="31"/>
        <v>1.6483870967741934</v>
      </c>
      <c r="K126" s="93">
        <f t="shared" si="32"/>
        <v>7.1428571428571425E-2</v>
      </c>
    </row>
    <row r="127" spans="2:11">
      <c r="B127" s="93" t="s">
        <v>1837</v>
      </c>
      <c r="C127" s="93" t="s">
        <v>1833</v>
      </c>
      <c r="D127" s="93">
        <v>22.5</v>
      </c>
      <c r="E127" s="93">
        <v>21</v>
      </c>
      <c r="F127" s="93">
        <f t="shared" si="29"/>
        <v>472.5</v>
      </c>
      <c r="G127" s="286">
        <f t="shared" si="30"/>
        <v>5.3901437371663245E-2</v>
      </c>
      <c r="H127" s="93"/>
      <c r="I127" s="547">
        <f t="shared" si="33"/>
        <v>229.95000000000002</v>
      </c>
      <c r="J127" s="547">
        <f t="shared" si="31"/>
        <v>0.45422222222222225</v>
      </c>
      <c r="K127" s="93">
        <f t="shared" si="32"/>
        <v>7.1428571428571425E-2</v>
      </c>
    </row>
    <row r="128" spans="2:11">
      <c r="B128" s="93" t="s">
        <v>1836</v>
      </c>
      <c r="C128" s="93" t="s">
        <v>1835</v>
      </c>
      <c r="D128" s="93">
        <v>32.4</v>
      </c>
      <c r="E128" s="93">
        <v>21</v>
      </c>
      <c r="F128" s="93">
        <f t="shared" si="29"/>
        <v>680.4</v>
      </c>
      <c r="G128" s="286">
        <f t="shared" si="30"/>
        <v>7.7618069815195076E-2</v>
      </c>
      <c r="H128" s="93"/>
      <c r="I128" s="547">
        <f t="shared" si="33"/>
        <v>331.12799999999999</v>
      </c>
      <c r="J128" s="547">
        <f t="shared" si="31"/>
        <v>0.3154320987654321</v>
      </c>
      <c r="K128" s="93">
        <f t="shared" si="32"/>
        <v>7.1428571428571425E-2</v>
      </c>
    </row>
    <row r="129" spans="2:11">
      <c r="B129" s="93" t="s">
        <v>1836</v>
      </c>
      <c r="C129" s="93" t="s">
        <v>1833</v>
      </c>
      <c r="D129" s="93">
        <v>114</v>
      </c>
      <c r="E129" s="93">
        <v>21</v>
      </c>
      <c r="F129" s="93">
        <f t="shared" si="29"/>
        <v>2394</v>
      </c>
      <c r="G129" s="286">
        <f t="shared" si="30"/>
        <v>0.2731006160164271</v>
      </c>
      <c r="H129" s="93"/>
      <c r="I129" s="547">
        <f t="shared" si="33"/>
        <v>1165.0800000000002</v>
      </c>
      <c r="J129" s="547">
        <f t="shared" si="31"/>
        <v>8.9649122807017548E-2</v>
      </c>
      <c r="K129" s="93">
        <f t="shared" si="32"/>
        <v>7.1428571428571425E-2</v>
      </c>
    </row>
    <row r="130" spans="2:11">
      <c r="B130" s="93" t="s">
        <v>1834</v>
      </c>
      <c r="C130" s="93" t="s">
        <v>1835</v>
      </c>
      <c r="D130" s="93">
        <v>53.4</v>
      </c>
      <c r="E130" s="93">
        <v>120</v>
      </c>
      <c r="F130" s="93">
        <f t="shared" si="29"/>
        <v>6408</v>
      </c>
      <c r="G130" s="286">
        <f t="shared" si="30"/>
        <v>0.731006160164271</v>
      </c>
      <c r="H130" s="93"/>
      <c r="I130" s="547">
        <f t="shared" si="33"/>
        <v>545.74800000000005</v>
      </c>
      <c r="J130" s="547">
        <f t="shared" si="31"/>
        <v>0.19138576779026217</v>
      </c>
      <c r="K130" s="93">
        <f t="shared" si="32"/>
        <v>7.1428571428571425E-2</v>
      </c>
    </row>
    <row r="131" spans="2:11">
      <c r="B131" s="93" t="s">
        <v>1834</v>
      </c>
      <c r="C131" s="93" t="s">
        <v>1833</v>
      </c>
      <c r="D131" s="93">
        <v>153.4</v>
      </c>
      <c r="E131" s="93">
        <v>120</v>
      </c>
      <c r="F131" s="93">
        <f t="shared" si="29"/>
        <v>18408</v>
      </c>
      <c r="G131" s="286">
        <f t="shared" si="30"/>
        <v>2.0999315537303218</v>
      </c>
      <c r="H131" s="93"/>
      <c r="I131" s="547">
        <f t="shared" si="33"/>
        <v>1567.748</v>
      </c>
      <c r="J131" s="547">
        <f t="shared" si="31"/>
        <v>6.6623207301173409E-2</v>
      </c>
      <c r="K131" s="93">
        <f t="shared" si="32"/>
        <v>7.1428571428571425E-2</v>
      </c>
    </row>
    <row r="132" spans="2:11">
      <c r="B132" s="7" t="s">
        <v>0</v>
      </c>
      <c r="C132" s="7"/>
      <c r="D132" s="7"/>
      <c r="E132" s="7"/>
      <c r="F132" s="7">
        <f>SUMPRODUCT(F118:F131,$K$118:$K$131)</f>
        <v>3380.2714285714283</v>
      </c>
      <c r="G132" s="7">
        <f>SUMPRODUCT(G118:G131,$K$118:$K$131)</f>
        <v>0.38561161630976826</v>
      </c>
      <c r="H132" s="7">
        <f>SUMPRODUCT(H118:H131,$K$118:$K$131)</f>
        <v>0</v>
      </c>
      <c r="I132" s="7">
        <f>SUMPRODUCT(I118:I131,$K$118:$K$131)</f>
        <v>933.37799999999993</v>
      </c>
      <c r="J132" s="7">
        <f>SUMPRODUCT(J118:J131,$K$118:$K$131)</f>
        <v>0.46908913438141414</v>
      </c>
      <c r="K132" s="93"/>
    </row>
  </sheetData>
  <dataValidations count="5">
    <dataValidation type="list" allowBlank="1" showInputMessage="1" showErrorMessage="1" sqref="C59:L59" xr:uid="{00000000-0002-0000-A800-000004000000}">
      <formula1>$N$19:$AQ$19</formula1>
    </dataValidation>
    <dataValidation type="list" allowBlank="1" showInputMessage="1" showErrorMessage="1" sqref="E11:E20" xr:uid="{00000000-0002-0000-A800-000003000000}">
      <formula1>$N$16:$O$16</formula1>
    </dataValidation>
    <dataValidation type="list" allowBlank="1" showInputMessage="1" showErrorMessage="1" sqref="D11:D20" xr:uid="{00000000-0002-0000-A800-000002000000}">
      <formula1>$N$22:$AE$22</formula1>
    </dataValidation>
    <dataValidation type="list" allowBlank="1" showInputMessage="1" showErrorMessage="1" sqref="B11:C20" xr:uid="{00000000-0002-0000-A800-000001000000}">
      <formula1>$N$7:$Q$7</formula1>
    </dataValidation>
    <dataValidation type="list" allowBlank="1" showInputMessage="1" showErrorMessage="1" sqref="D7" xr:uid="{00000000-0002-0000-A800-000000000000}">
      <formula1>$N$11:$O$11</formula1>
    </dataValidation>
  </dataValidations>
  <pageMargins left="0.7" right="0.7" top="0.75" bottom="0.75" header="0.3" footer="0.3"/>
  <pageSetup orientation="portrait"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4E67-A0FB-4DB4-9B59-CD23C2126DD2}">
  <sheetPr codeName="Sheet5">
    <tabColor indexed="9"/>
  </sheetPr>
  <dimension ref="A1:AQ133"/>
  <sheetViews>
    <sheetView topLeftCell="A48"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Refrigeration Economizers</v>
      </c>
      <c r="C7" s="98" t="s">
        <v>1886</v>
      </c>
      <c r="D7" s="97" t="s">
        <v>211</v>
      </c>
      <c r="E7" s="97">
        <f>C111</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Economizers_CI, E - Refr (MD)</v>
      </c>
      <c r="J11" s="83" t="str">
        <f t="shared" ref="J11:J20" si="3">IF(B11="","",CONCATENATE($C$7,IF(C11="","",CONCATENATE(" with ",C11," Secondary Fuel"))))</f>
        <v>ECM Compressor Condenser Fan Motors</v>
      </c>
      <c r="K11" s="83"/>
      <c r="M11" s="94" t="s">
        <v>123</v>
      </c>
      <c r="N11" s="93" t="s">
        <v>212</v>
      </c>
      <c r="O11" s="93" t="s">
        <v>211</v>
      </c>
    </row>
    <row r="12" spans="1:17">
      <c r="A12" s="1">
        <v>2</v>
      </c>
      <c r="B12" s="98" t="s">
        <v>205</v>
      </c>
      <c r="C12" s="97"/>
      <c r="D12" s="98" t="s">
        <v>164</v>
      </c>
      <c r="E12" s="99" t="s">
        <v>204</v>
      </c>
      <c r="F12" s="99"/>
      <c r="G12" s="83" t="str">
        <f t="shared" si="0"/>
        <v>E</v>
      </c>
      <c r="H12" s="83" t="str">
        <f t="shared" si="1"/>
        <v>Refr</v>
      </c>
      <c r="I12" s="83" t="str">
        <f t="shared" ca="1" si="2"/>
        <v>CI Refrigeration Economizers_CI, E - Refr (RET)</v>
      </c>
      <c r="J12" s="83" t="str">
        <f t="shared" si="3"/>
        <v>ECM Compressor Condenser Fan Motors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Refrigeration Economizers_CI, E - Refr (MD)</v>
      </c>
      <c r="D33" s="83" t="str">
        <f t="shared" ca="1" si="5"/>
        <v>CI Refrigeration Economizers_CI,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Economizers_CI, E - Refr (MD)</v>
      </c>
      <c r="N33" s="84" t="str">
        <f t="shared" ca="1" si="6"/>
        <v>CI Refrigeration Economizers_CI,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ECM Compressor Condenser Fan Motors</v>
      </c>
      <c r="D34" s="83" t="str">
        <f t="shared" si="8"/>
        <v>ECM Compressor 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Refrigeration Economizers_CI, E - Refr (MD)</v>
      </c>
      <c r="D35" s="82" t="str">
        <f ca="1">D33</f>
        <v>CI Refrigeration Economizers_CI,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Compressor Condenser Fan Motors</v>
      </c>
      <c r="D36" s="65" t="str">
        <f>D34</f>
        <v>ECM Compressor 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1885</v>
      </c>
      <c r="D38" s="65" t="s">
        <v>1885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Compressor Condenser Fan Motors</v>
      </c>
      <c r="D52" s="66" t="str">
        <f t="shared" si="16"/>
        <v>ECM Compressor 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1884</v>
      </c>
      <c r="D55" s="65" t="s">
        <v>1883</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1882</v>
      </c>
      <c r="D56" s="65" t="s">
        <v>1882</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t="s">
        <v>182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F133</f>
        <v>5422.1451066666659</v>
      </c>
      <c r="D64" s="67">
        <f>F133</f>
        <v>5422.1451066666659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H133</f>
        <v>0</v>
      </c>
      <c r="D65" s="74">
        <f>H133</f>
        <v>0</v>
      </c>
      <c r="E65" s="67"/>
      <c r="F65" s="65"/>
      <c r="G65" s="65"/>
      <c r="H65" s="65"/>
      <c r="I65" s="65"/>
      <c r="J65" s="65"/>
      <c r="K65" s="65"/>
      <c r="L65" s="65"/>
      <c r="M65" s="69">
        <v>8</v>
      </c>
      <c r="N65" s="69">
        <v>8</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I133</f>
        <v>0</v>
      </c>
      <c r="D68" s="71">
        <f>I133</f>
        <v>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J133</f>
        <v>0</v>
      </c>
      <c r="D69" s="70">
        <f>J133</f>
        <v>0</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ECM Compressor Condenser Fan Motors</v>
      </c>
      <c r="D71" s="66" t="str">
        <f t="shared" si="23"/>
        <v>ECM Compressor Condenser Fan Motors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f>C73</f>
        <v>0</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f>C76</f>
        <v>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f>C77</f>
        <v>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f>C79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f>C80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1881</v>
      </c>
      <c r="C105" s="1" t="s">
        <v>1880</v>
      </c>
    </row>
    <row r="106" spans="1:22">
      <c r="B106" s="1" t="s">
        <v>1879</v>
      </c>
      <c r="C106" s="1" t="s">
        <v>1878</v>
      </c>
    </row>
    <row r="108" spans="1:22" s="63" customFormat="1" ht="15.75" thickBot="1">
      <c r="B108" s="63" t="s">
        <v>50</v>
      </c>
    </row>
    <row r="110" spans="1:22">
      <c r="B110" s="505" t="s">
        <v>46</v>
      </c>
      <c r="C110" s="505" t="s">
        <v>45</v>
      </c>
      <c r="D110" s="505" t="s">
        <v>44</v>
      </c>
      <c r="E110" s="505" t="s">
        <v>43</v>
      </c>
    </row>
    <row r="111" spans="1:22">
      <c r="B111" s="286" t="s">
        <v>518</v>
      </c>
      <c r="C111" s="286">
        <v>15</v>
      </c>
      <c r="D111" s="286" t="s">
        <v>1863</v>
      </c>
      <c r="E111" s="286"/>
    </row>
    <row r="112" spans="1:22">
      <c r="B112" s="93" t="s">
        <v>438</v>
      </c>
      <c r="C112" s="534" t="s">
        <v>555</v>
      </c>
      <c r="D112" s="286" t="s">
        <v>1863</v>
      </c>
      <c r="E112" s="93"/>
    </row>
    <row r="113" spans="2:11">
      <c r="B113" s="93" t="s">
        <v>34</v>
      </c>
      <c r="C113" s="97">
        <v>0</v>
      </c>
      <c r="D113" s="286" t="s">
        <v>1863</v>
      </c>
      <c r="E113" s="286"/>
    </row>
    <row r="114" spans="2:11">
      <c r="B114" s="93" t="s">
        <v>1570</v>
      </c>
      <c r="C114" s="93" t="s">
        <v>555</v>
      </c>
      <c r="D114" s="286" t="s">
        <v>1863</v>
      </c>
      <c r="E114" s="93" t="s">
        <v>1847</v>
      </c>
    </row>
    <row r="115" spans="2:11">
      <c r="B115" s="93" t="s">
        <v>1877</v>
      </c>
      <c r="C115" s="93" t="s">
        <v>35</v>
      </c>
      <c r="D115" s="286" t="s">
        <v>1863</v>
      </c>
      <c r="E115" s="93" t="s">
        <v>1845</v>
      </c>
    </row>
    <row r="116" spans="2:11">
      <c r="B116" s="93" t="s">
        <v>309</v>
      </c>
      <c r="C116" s="97">
        <v>2376</v>
      </c>
      <c r="D116" s="286" t="s">
        <v>1863</v>
      </c>
      <c r="E116" s="93" t="s">
        <v>1876</v>
      </c>
    </row>
    <row r="117" spans="2:11">
      <c r="B117" s="93" t="s">
        <v>1875</v>
      </c>
      <c r="C117" s="93">
        <v>0.5</v>
      </c>
      <c r="D117" s="286" t="s">
        <v>1863</v>
      </c>
      <c r="E117" s="93" t="s">
        <v>1874</v>
      </c>
    </row>
    <row r="118" spans="2:11">
      <c r="B118" s="93" t="s">
        <v>1873</v>
      </c>
      <c r="C118" s="93">
        <v>0.126</v>
      </c>
      <c r="D118" s="286" t="s">
        <v>1863</v>
      </c>
      <c r="E118" s="93" t="s">
        <v>1872</v>
      </c>
    </row>
    <row r="119" spans="2:11">
      <c r="B119" s="93" t="s">
        <v>1871</v>
      </c>
      <c r="C119" s="93">
        <v>3.5000000000000003E-2</v>
      </c>
      <c r="D119" s="286" t="s">
        <v>1863</v>
      </c>
      <c r="E119" s="93" t="s">
        <v>1870</v>
      </c>
    </row>
    <row r="120" spans="2:11">
      <c r="B120" s="93" t="s">
        <v>1869</v>
      </c>
      <c r="C120" s="93">
        <v>1</v>
      </c>
      <c r="D120" s="286" t="s">
        <v>1863</v>
      </c>
      <c r="E120" s="93" t="s">
        <v>1868</v>
      </c>
    </row>
    <row r="121" spans="2:11">
      <c r="B121" s="93" t="s">
        <v>1867</v>
      </c>
      <c r="C121" s="93">
        <v>0.63</v>
      </c>
      <c r="D121" s="286" t="s">
        <v>1863</v>
      </c>
      <c r="E121" s="93" t="s">
        <v>1866</v>
      </c>
    </row>
    <row r="122" spans="2:11">
      <c r="B122" s="93" t="s">
        <v>1673</v>
      </c>
      <c r="C122" s="93">
        <v>1.3</v>
      </c>
      <c r="D122" s="286" t="s">
        <v>1863</v>
      </c>
      <c r="E122" s="93" t="s">
        <v>1865</v>
      </c>
    </row>
    <row r="123" spans="2:11">
      <c r="B123" s="93" t="s">
        <v>1864</v>
      </c>
      <c r="C123" s="93">
        <v>0.22700000000000001</v>
      </c>
      <c r="D123" s="286" t="s">
        <v>1863</v>
      </c>
      <c r="E123" s="93" t="s">
        <v>1862</v>
      </c>
    </row>
    <row r="124" spans="2:11">
      <c r="B124" s="93"/>
      <c r="C124" s="93"/>
      <c r="D124" s="93"/>
      <c r="E124" s="93"/>
    </row>
    <row r="126" spans="2:11">
      <c r="B126" s="94" t="s">
        <v>1861</v>
      </c>
      <c r="C126" s="94" t="s">
        <v>1860</v>
      </c>
      <c r="D126" s="94" t="s">
        <v>1859</v>
      </c>
      <c r="E126" s="94" t="s">
        <v>1570</v>
      </c>
      <c r="F126" s="94" t="s">
        <v>500</v>
      </c>
      <c r="G126" s="94" t="s">
        <v>499</v>
      </c>
      <c r="H126" s="497" t="s">
        <v>244</v>
      </c>
      <c r="I126" s="94" t="s">
        <v>9</v>
      </c>
      <c r="J126" s="94" t="s">
        <v>8</v>
      </c>
      <c r="K126" s="94" t="s">
        <v>7</v>
      </c>
    </row>
    <row r="127" spans="2:11">
      <c r="B127" s="93" t="s">
        <v>1858</v>
      </c>
      <c r="C127" s="93" t="s">
        <v>1857</v>
      </c>
      <c r="D127" s="93">
        <v>1256</v>
      </c>
      <c r="E127" s="93">
        <v>5</v>
      </c>
      <c r="F127" s="93">
        <f>(E127*D127)+((($C$118*$C$120)-$C$119)*$C$116*$C$117*$C$122)-($C$123*$C$121*$C$116)</f>
        <v>6080.7486399999998</v>
      </c>
      <c r="G127" s="93">
        <f t="shared" ref="G127:G132" si="28">F127/$C$116</f>
        <v>2.5592376430976431</v>
      </c>
      <c r="H127" s="93"/>
      <c r="I127" s="93"/>
      <c r="J127" s="93"/>
      <c r="K127" s="93">
        <f t="shared" ref="K127:K132" si="29">1/COUNT($G$127:$G$132)</f>
        <v>0.16666666666666666</v>
      </c>
    </row>
    <row r="128" spans="2:11">
      <c r="B128" s="93" t="s">
        <v>1858</v>
      </c>
      <c r="C128" s="93" t="s">
        <v>1856</v>
      </c>
      <c r="D128" s="93">
        <v>1108</v>
      </c>
      <c r="E128" s="93">
        <v>5</v>
      </c>
      <c r="F128" s="93">
        <f>(E128*D128)+((($C$118*$C$120)-$C$119)*$C$116*$C$117*$C$122)-($C$123*$C$121*$C$116)</f>
        <v>5340.7486399999998</v>
      </c>
      <c r="G128" s="93">
        <f t="shared" si="28"/>
        <v>2.2477898316498317</v>
      </c>
      <c r="H128" s="93"/>
      <c r="I128" s="93"/>
      <c r="J128" s="93"/>
      <c r="K128" s="93">
        <f t="shared" si="29"/>
        <v>0.16666666666666666</v>
      </c>
    </row>
    <row r="129" spans="2:11">
      <c r="B129" s="93" t="s">
        <v>1858</v>
      </c>
      <c r="C129" s="93" t="s">
        <v>1854</v>
      </c>
      <c r="D129" s="93">
        <v>1051</v>
      </c>
      <c r="E129" s="93">
        <v>5</v>
      </c>
      <c r="F129" s="93">
        <f>(E129*D129)+((($C$118*$C$120)-$C$119)*$C$116*$C$117*$C$122)-($C$123*$C$121*$C$116)</f>
        <v>5055.7486399999998</v>
      </c>
      <c r="G129" s="93">
        <f t="shared" si="28"/>
        <v>2.1278403367003365</v>
      </c>
      <c r="H129" s="93"/>
      <c r="I129" s="93"/>
      <c r="J129" s="93"/>
      <c r="K129" s="93">
        <f t="shared" si="29"/>
        <v>0.16666666666666666</v>
      </c>
    </row>
    <row r="130" spans="2:11">
      <c r="B130" s="93" t="s">
        <v>1855</v>
      </c>
      <c r="C130" s="93" t="s">
        <v>1857</v>
      </c>
      <c r="D130" s="93">
        <v>1256</v>
      </c>
      <c r="E130" s="93">
        <v>5</v>
      </c>
      <c r="F130" s="93">
        <f>(E130*D130)-($C$123*$C$121*$C$116)</f>
        <v>5940.2082399999999</v>
      </c>
      <c r="G130" s="93">
        <f t="shared" si="28"/>
        <v>2.5000876430976429</v>
      </c>
      <c r="H130" s="93"/>
      <c r="I130" s="93"/>
      <c r="J130" s="93"/>
      <c r="K130" s="93">
        <f t="shared" si="29"/>
        <v>0.16666666666666666</v>
      </c>
    </row>
    <row r="131" spans="2:11">
      <c r="B131" s="93" t="s">
        <v>1855</v>
      </c>
      <c r="C131" s="93" t="s">
        <v>1856</v>
      </c>
      <c r="D131" s="93">
        <v>1108</v>
      </c>
      <c r="E131" s="93">
        <v>5</v>
      </c>
      <c r="F131" s="93">
        <f>(E131*D131)-($C$123*$C$121*$C$116)</f>
        <v>5200.2082399999999</v>
      </c>
      <c r="G131" s="93">
        <f t="shared" si="28"/>
        <v>2.1886398316498314</v>
      </c>
      <c r="H131" s="93"/>
      <c r="I131" s="93"/>
      <c r="J131" s="93"/>
      <c r="K131" s="93">
        <f t="shared" si="29"/>
        <v>0.16666666666666666</v>
      </c>
    </row>
    <row r="132" spans="2:11">
      <c r="B132" s="93" t="s">
        <v>1855</v>
      </c>
      <c r="C132" s="93" t="s">
        <v>1854</v>
      </c>
      <c r="D132" s="93">
        <v>1051</v>
      </c>
      <c r="E132" s="93">
        <v>5</v>
      </c>
      <c r="F132" s="93">
        <f>(E132*D132)-($C$123*$C$121*$C$116)</f>
        <v>4915.2082399999999</v>
      </c>
      <c r="G132" s="93">
        <f t="shared" si="28"/>
        <v>2.0686903367003366</v>
      </c>
      <c r="H132" s="93"/>
      <c r="I132" s="93"/>
      <c r="J132" s="93"/>
      <c r="K132" s="93">
        <f t="shared" si="29"/>
        <v>0.16666666666666666</v>
      </c>
    </row>
    <row r="133" spans="2:11">
      <c r="B133" s="7" t="s">
        <v>0</v>
      </c>
      <c r="C133" s="7"/>
      <c r="D133" s="7"/>
      <c r="E133" s="7"/>
      <c r="F133" s="7">
        <f>SUMPRODUCT(F127:F132,$K$127:$K$132)</f>
        <v>5422.1451066666659</v>
      </c>
      <c r="G133" s="7">
        <f>SUMPRODUCT(G127:G132,$K$127:$K$132)</f>
        <v>2.2820476038159367</v>
      </c>
      <c r="H133" s="7">
        <f>SUMPRODUCT(H127:H132,$K$127:$K$132)</f>
        <v>0</v>
      </c>
      <c r="I133" s="7">
        <f>SUMPRODUCT(I127:I132,$K$127:$K$132)</f>
        <v>0</v>
      </c>
      <c r="J133" s="7">
        <f>SUMPRODUCT(J127:J132,$K$127:$K$132)</f>
        <v>0</v>
      </c>
      <c r="K133" s="93"/>
    </row>
  </sheetData>
  <dataValidations count="5">
    <dataValidation type="list" allowBlank="1" showInputMessage="1" showErrorMessage="1" sqref="C59:L59" xr:uid="{00000000-0002-0000-A000-000004000000}">
      <formula1>$N$19:$AQ$19</formula1>
    </dataValidation>
    <dataValidation type="list" allowBlank="1" showInputMessage="1" showErrorMessage="1" sqref="E11:E20" xr:uid="{00000000-0002-0000-A000-000003000000}">
      <formula1>$N$16:$O$16</formula1>
    </dataValidation>
    <dataValidation type="list" allowBlank="1" showInputMessage="1" showErrorMessage="1" sqref="D11:D20" xr:uid="{00000000-0002-0000-A000-000002000000}">
      <formula1>$N$22:$AE$22</formula1>
    </dataValidation>
    <dataValidation type="list" allowBlank="1" showInputMessage="1" showErrorMessage="1" sqref="B11:C20" xr:uid="{00000000-0002-0000-A000-000001000000}">
      <formula1>$N$7:$Q$7</formula1>
    </dataValidation>
    <dataValidation type="list" allowBlank="1" showInputMessage="1" showErrorMessage="1" sqref="D7" xr:uid="{00000000-0002-0000-A000-000000000000}">
      <formula1>$N$11:$O$11</formula1>
    </dataValidation>
  </dataValidations>
  <pageMargins left="0.7" right="0.7" top="0.75" bottom="0.75" header="0.3" footer="0.3"/>
  <pageSetup orientation="portrait"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42C4F-AE99-4076-A760-ECCD402F2391}">
  <sheetPr codeName="Sheet143">
    <tabColor indexed="60"/>
  </sheetPr>
  <dimension ref="A1:AQ136"/>
  <sheetViews>
    <sheetView topLeftCell="A49" workbookViewId="0">
      <selection activeCell="F144" sqref="F14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2.85546875" style="1" bestFit="1" customWidth="1"/>
    <col min="9" max="9" width="38" style="1" customWidth="1"/>
    <col min="10" max="10" width="17" style="1" customWidth="1"/>
    <col min="11" max="11" width="23.140625" style="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Low Flow Showerheads</v>
      </c>
      <c r="C7" s="98" t="s">
        <v>1952</v>
      </c>
      <c r="D7" s="97" t="s">
        <v>211</v>
      </c>
      <c r="E7" s="97">
        <f>C112</f>
        <v>10</v>
      </c>
      <c r="F7" s="97">
        <v>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Low Flow Showerheads_CI, E - HWat  (MD)</v>
      </c>
      <c r="J11" s="83" t="str">
        <f t="shared" ref="J11:J20" si="3">IF(B11="","",CONCATENATE($C$7,IF(C11="","",CONCATENATE(" with ",C11," Secondary Fuel"))))</f>
        <v>Low Flow Showerheads</v>
      </c>
      <c r="K11" s="83"/>
      <c r="M11" s="94" t="s">
        <v>123</v>
      </c>
      <c r="N11" s="93" t="s">
        <v>212</v>
      </c>
      <c r="O11" s="93" t="s">
        <v>211</v>
      </c>
    </row>
    <row r="12" spans="1:17">
      <c r="A12" s="1">
        <v>2</v>
      </c>
      <c r="B12" s="97" t="s">
        <v>227</v>
      </c>
      <c r="C12" s="97"/>
      <c r="D12" s="97" t="s">
        <v>113</v>
      </c>
      <c r="E12" s="99" t="s">
        <v>204</v>
      </c>
      <c r="F12" s="96"/>
      <c r="G12" s="83" t="str">
        <f t="shared" si="0"/>
        <v>P</v>
      </c>
      <c r="H12" s="83" t="str">
        <f t="shared" si="1"/>
        <v xml:space="preserve">HWat </v>
      </c>
      <c r="I12" s="83" t="str">
        <f t="shared" ca="1" si="2"/>
        <v>CI Low Flow Showerheads_CI, P - HWat  (RET)</v>
      </c>
      <c r="J12" s="83" t="str">
        <f t="shared" si="3"/>
        <v>Low Flow Showerheads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Low Flow Showerheads_CI, E - HWat  (MD)</v>
      </c>
      <c r="D33" s="83" t="str">
        <f t="shared" ca="1" si="5"/>
        <v>CI Low Flow Showerheads_CI,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Flow Showerheads_CI, E - HWat  (MD)</v>
      </c>
      <c r="N33" s="84" t="str">
        <f t="shared" ca="1" si="6"/>
        <v>CI Low Flow Showerheads_CI,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Low Flow Showerheads</v>
      </c>
      <c r="D34" s="83" t="str">
        <f t="shared" si="8"/>
        <v>Low Flow Showerheads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Low Flow Showerheads_CI, E - HWat  (MD)</v>
      </c>
      <c r="D35" s="82" t="str">
        <f ca="1">D33</f>
        <v>CI Low Flow Showerheads_CI,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Low Flow Showerheads</v>
      </c>
      <c r="D36" s="65" t="str">
        <f>D34</f>
        <v>Low Flow Showerheads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1951</v>
      </c>
      <c r="D38" s="65" t="s">
        <v>1951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Low Flow Showerheads</v>
      </c>
      <c r="D52" s="66" t="str">
        <f t="shared" si="15"/>
        <v>Low Flow Showerheads</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MD</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s">
        <v>1358</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1950</v>
      </c>
      <c r="D55" s="82" t="s">
        <v>1949</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1948</v>
      </c>
      <c r="D56" s="65" t="s">
        <v>1948</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82" t="s">
        <v>1947</v>
      </c>
      <c r="D60" s="82" t="s">
        <v>1947</v>
      </c>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F130</f>
        <v>1033.2922499999997</v>
      </c>
      <c r="D64" s="67">
        <f>F136</f>
        <v>52.077929399999988</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74">
        <f>I130</f>
        <v>0.34456928838951306</v>
      </c>
      <c r="D65" s="74">
        <f>I136</f>
        <v>0.34456928838951312</v>
      </c>
      <c r="E65" s="65"/>
      <c r="F65" s="73"/>
      <c r="G65" s="73"/>
      <c r="H65" s="67"/>
      <c r="I65" s="65"/>
      <c r="J65" s="65"/>
      <c r="K65" s="65"/>
      <c r="L65" s="65"/>
      <c r="M65" s="69">
        <v>11</v>
      </c>
      <c r="N65" s="69">
        <v>11</v>
      </c>
      <c r="O65" s="69"/>
      <c r="P65" s="69"/>
      <c r="Q65" s="69"/>
      <c r="R65" s="69"/>
      <c r="S65" s="69"/>
      <c r="T65" s="69"/>
      <c r="U65" s="69"/>
      <c r="V65" s="69"/>
    </row>
    <row r="66" spans="1:22">
      <c r="A66" s="1">
        <f t="shared" ref="A66:A97" si="18">A65+1</f>
        <v>34</v>
      </c>
      <c r="B66" s="65" t="s">
        <v>83</v>
      </c>
      <c r="C66" s="65"/>
      <c r="D66" s="620"/>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C113</f>
        <v>12</v>
      </c>
      <c r="D68" s="71">
        <f>C113</f>
        <v>12</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K130</f>
        <v>1.2230650581896825E-2</v>
      </c>
      <c r="D69" s="70">
        <f>K136</f>
        <v>0.24267163852969895</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Low Flow Showerheads</v>
      </c>
      <c r="D71" s="66" t="str">
        <f t="shared" si="21"/>
        <v>Low Flow Showerheads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c r="D76" s="65" t="e">
        <f>#REF!</f>
        <v>#REF!</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65"/>
      <c r="D77" s="65">
        <v>8</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65"/>
      <c r="D78" s="267" t="e">
        <f>#REF!</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65"/>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5"/>
      <c r="D80" s="65">
        <v>1</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c r="A103" s="1">
        <f t="shared" si="25"/>
        <v>71</v>
      </c>
      <c r="B103" s="65" t="s">
        <v>51</v>
      </c>
      <c r="C103" s="65"/>
      <c r="D103" s="65"/>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c r="B105" s="1" t="s">
        <v>1946</v>
      </c>
    </row>
    <row r="106" spans="1:22">
      <c r="B106" s="1" t="s">
        <v>1934</v>
      </c>
    </row>
    <row r="107" spans="1:22">
      <c r="B107" s="1" t="s">
        <v>1945</v>
      </c>
    </row>
    <row r="109" spans="1:22" s="63" customFormat="1" ht="15.75" thickBot="1">
      <c r="B109" s="63" t="s">
        <v>50</v>
      </c>
    </row>
    <row r="111" spans="1:22">
      <c r="B111" s="94" t="s">
        <v>520</v>
      </c>
      <c r="C111" s="94" t="s">
        <v>410</v>
      </c>
      <c r="D111" s="94" t="s">
        <v>409</v>
      </c>
      <c r="E111" s="94" t="s">
        <v>1676</v>
      </c>
    </row>
    <row r="112" spans="1:22">
      <c r="B112" s="93" t="s">
        <v>518</v>
      </c>
      <c r="C112" s="93">
        <v>10</v>
      </c>
      <c r="D112" s="93" t="s">
        <v>1942</v>
      </c>
      <c r="E112" s="286"/>
    </row>
    <row r="113" spans="2:12">
      <c r="B113" s="93" t="s">
        <v>9</v>
      </c>
      <c r="C113" s="93">
        <v>12</v>
      </c>
      <c r="D113" s="93" t="s">
        <v>1942</v>
      </c>
      <c r="E113" s="286"/>
    </row>
    <row r="114" spans="2:12">
      <c r="B114" s="93" t="s">
        <v>34</v>
      </c>
      <c r="C114" s="97">
        <v>2.8000000000000001E-2</v>
      </c>
      <c r="D114" s="93" t="s">
        <v>1942</v>
      </c>
      <c r="E114" s="286"/>
    </row>
    <row r="115" spans="2:12">
      <c r="B115" s="93" t="s">
        <v>1944</v>
      </c>
      <c r="C115" s="93">
        <v>1</v>
      </c>
      <c r="D115" s="93" t="s">
        <v>1942</v>
      </c>
      <c r="E115" s="286"/>
    </row>
    <row r="116" spans="2:12">
      <c r="B116" s="93" t="s">
        <v>795</v>
      </c>
      <c r="C116" s="93">
        <v>2.67</v>
      </c>
      <c r="D116" s="93" t="s">
        <v>1942</v>
      </c>
      <c r="E116" s="93"/>
    </row>
    <row r="117" spans="2:12">
      <c r="B117" s="93" t="s">
        <v>798</v>
      </c>
      <c r="C117" s="93" t="s">
        <v>35</v>
      </c>
      <c r="D117" s="93" t="s">
        <v>1942</v>
      </c>
      <c r="E117" s="93"/>
    </row>
    <row r="118" spans="2:12">
      <c r="B118" s="93" t="s">
        <v>794</v>
      </c>
      <c r="C118" s="93">
        <v>8.1999999999999993</v>
      </c>
      <c r="D118" s="93" t="s">
        <v>1942</v>
      </c>
      <c r="E118" s="286"/>
    </row>
    <row r="119" spans="2:12">
      <c r="B119" s="354" t="s">
        <v>793</v>
      </c>
      <c r="C119" s="354">
        <v>8.1999999999999993</v>
      </c>
      <c r="D119" s="93" t="s">
        <v>1942</v>
      </c>
      <c r="E119" s="286"/>
    </row>
    <row r="120" spans="2:12">
      <c r="B120" s="595" t="s">
        <v>1941</v>
      </c>
      <c r="C120" s="595" t="s">
        <v>555</v>
      </c>
      <c r="D120" s="93" t="s">
        <v>1942</v>
      </c>
      <c r="E120" s="286"/>
    </row>
    <row r="121" spans="2:12">
      <c r="B121" s="354" t="s">
        <v>1943</v>
      </c>
      <c r="C121" s="354">
        <v>0.125</v>
      </c>
      <c r="D121" s="93" t="s">
        <v>1942</v>
      </c>
      <c r="E121" s="286"/>
    </row>
    <row r="122" spans="2:12">
      <c r="B122" s="354" t="s">
        <v>2082</v>
      </c>
      <c r="C122" s="354">
        <v>6.3E-3</v>
      </c>
      <c r="D122" s="93" t="s">
        <v>1942</v>
      </c>
      <c r="E122" s="286"/>
    </row>
    <row r="123" spans="2:12">
      <c r="B123" s="354" t="s">
        <v>811</v>
      </c>
      <c r="C123" s="354">
        <v>53.9</v>
      </c>
      <c r="D123" s="93" t="s">
        <v>1942</v>
      </c>
      <c r="E123" s="586"/>
    </row>
    <row r="124" spans="2:12">
      <c r="B124" s="354" t="s">
        <v>248</v>
      </c>
      <c r="C124" s="597">
        <v>5010</v>
      </c>
      <c r="D124" s="93" t="s">
        <v>1942</v>
      </c>
      <c r="E124" s="586"/>
    </row>
    <row r="126" spans="2:12" ht="14.45" customHeight="1">
      <c r="B126" s="591" t="s">
        <v>798</v>
      </c>
      <c r="C126" s="94" t="s">
        <v>1941</v>
      </c>
      <c r="D126" s="589" t="s">
        <v>249</v>
      </c>
      <c r="E126" s="94" t="s">
        <v>1916</v>
      </c>
      <c r="F126" s="589" t="s">
        <v>500</v>
      </c>
      <c r="G126" s="94" t="s">
        <v>309</v>
      </c>
      <c r="H126" s="589" t="s">
        <v>499</v>
      </c>
      <c r="I126" s="589" t="s">
        <v>244</v>
      </c>
      <c r="J126" s="590" t="s">
        <v>9</v>
      </c>
      <c r="K126" s="590" t="s">
        <v>8</v>
      </c>
      <c r="L126" s="589" t="s">
        <v>497</v>
      </c>
    </row>
    <row r="127" spans="2:12">
      <c r="B127" s="354">
        <v>2</v>
      </c>
      <c r="C127" s="93">
        <v>3</v>
      </c>
      <c r="D127" s="586">
        <f>1*(($C$116*$C$118)-(B127*$C$119))*C127*365.25</f>
        <v>6020.0504999999994</v>
      </c>
      <c r="E127" s="93">
        <f>D127*$C$124/1000000</f>
        <v>30.160453004999994</v>
      </c>
      <c r="F127" s="586">
        <f>1*(($C$116*$C$118)-(B127*$C$119))*C127*365.25*$C$121</f>
        <v>752.50631249999992</v>
      </c>
      <c r="G127" s="93">
        <f>$C$116*$C$118*C127*365.25*0.608/$C$123</f>
        <v>270.61471435992576</v>
      </c>
      <c r="H127" s="359">
        <f>F127*$C$114/G127</f>
        <v>7.7860425290754987E-2</v>
      </c>
      <c r="I127" s="596">
        <f>F127/(1*(($C$116*$C$118))*C127*365.25*$C$121)</f>
        <v>0.25093632958801498</v>
      </c>
      <c r="J127" s="588"/>
      <c r="K127" s="587">
        <f>$C$113/F127</f>
        <v>1.5946710081584867E-2</v>
      </c>
      <c r="L127" s="570">
        <f>1/COUNT($K$127:$K$129)</f>
        <v>0.33333333333333331</v>
      </c>
    </row>
    <row r="128" spans="2:12">
      <c r="B128" s="354">
        <v>1.75</v>
      </c>
      <c r="C128" s="93">
        <v>3</v>
      </c>
      <c r="D128" s="586">
        <f>1*(($C$116*$C$118)-(B128*$C$119))*C128*365.25</f>
        <v>8266.3379999999997</v>
      </c>
      <c r="E128" s="93">
        <f>D128*$C$124/1000000</f>
        <v>41.414353379999994</v>
      </c>
      <c r="F128" s="586">
        <f>1*(($C$116*$C$118)-(B128*$C$119))*C128*365.25*$C$121</f>
        <v>1033.29225</v>
      </c>
      <c r="G128" s="93">
        <f>$C$116*$C$118*C128*365.25*0.608/$C$123</f>
        <v>270.61471435992576</v>
      </c>
      <c r="H128" s="359">
        <f>F128*$C$114/G128</f>
        <v>0.10691282278730535</v>
      </c>
      <c r="I128" s="596">
        <f>F128/(1*(($C$116*$C$118))*C128*365.25*$C$121)</f>
        <v>0.34456928838951312</v>
      </c>
      <c r="J128" s="588"/>
      <c r="K128" s="587">
        <f>$C$113/F128</f>
        <v>1.1613364950719412E-2</v>
      </c>
      <c r="L128" s="570">
        <f>1/COUNT($K$127:$K$129)</f>
        <v>0.33333333333333331</v>
      </c>
    </row>
    <row r="129" spans="2:12">
      <c r="B129" s="354">
        <v>1.5</v>
      </c>
      <c r="C129" s="93">
        <v>3</v>
      </c>
      <c r="D129" s="586">
        <f>1*(($C$116*$C$118)-(B129*$C$119))*C129*365.25</f>
        <v>10512.625499999998</v>
      </c>
      <c r="E129" s="93">
        <f>D129*$C$124/1000000</f>
        <v>52.668253754999988</v>
      </c>
      <c r="F129" s="586">
        <f>1*(($C$116*$C$118)-(B129*$C$119))*C129*365.25*$C$121</f>
        <v>1314.0781874999998</v>
      </c>
      <c r="G129" s="93">
        <f>$C$116*$C$118*C129*365.25*0.608/$C$123</f>
        <v>270.61471435992576</v>
      </c>
      <c r="H129" s="359">
        <f>F129*$C$114/G129</f>
        <v>0.13596522028385571</v>
      </c>
      <c r="I129" s="596">
        <f>F129/(1*(($C$116*$C$118))*C129*365.25*$C$121)</f>
        <v>0.4382022471910112</v>
      </c>
      <c r="J129" s="588"/>
      <c r="K129" s="587">
        <f>$C$113/F129</f>
        <v>9.1318767133862049E-3</v>
      </c>
      <c r="L129" s="570">
        <f>1/COUNT($K$127:$K$129)</f>
        <v>0.33333333333333331</v>
      </c>
    </row>
    <row r="130" spans="2:12">
      <c r="B130" s="7" t="s">
        <v>0</v>
      </c>
      <c r="C130" s="7"/>
      <c r="D130" s="7"/>
      <c r="E130" s="7"/>
      <c r="F130" s="107">
        <f t="shared" ref="F130:K130" si="26">SUMPRODUCT(F127:F129,$L$127:$L$129)</f>
        <v>1033.2922499999997</v>
      </c>
      <c r="G130" s="7">
        <f t="shared" si="26"/>
        <v>270.61471435992576</v>
      </c>
      <c r="H130" s="7">
        <f t="shared" si="26"/>
        <v>0.10691282278730535</v>
      </c>
      <c r="I130" s="7">
        <f t="shared" si="26"/>
        <v>0.34456928838951306</v>
      </c>
      <c r="J130" s="7">
        <f t="shared" si="26"/>
        <v>0</v>
      </c>
      <c r="K130" s="7">
        <f t="shared" si="26"/>
        <v>1.2230650581896825E-2</v>
      </c>
      <c r="L130" s="93"/>
    </row>
    <row r="132" spans="2:12" ht="30">
      <c r="B132" s="591" t="s">
        <v>798</v>
      </c>
      <c r="C132" s="94" t="s">
        <v>1941</v>
      </c>
      <c r="D132" s="589" t="s">
        <v>249</v>
      </c>
      <c r="E132" s="94" t="s">
        <v>1916</v>
      </c>
      <c r="F132" s="589" t="s">
        <v>2017</v>
      </c>
      <c r="G132" s="94"/>
      <c r="H132" s="589"/>
      <c r="I132" s="589" t="s">
        <v>244</v>
      </c>
      <c r="J132" s="590" t="s">
        <v>9</v>
      </c>
      <c r="K132" s="590" t="s">
        <v>2047</v>
      </c>
      <c r="L132" s="589" t="s">
        <v>497</v>
      </c>
    </row>
    <row r="133" spans="2:12">
      <c r="B133" s="354">
        <v>2</v>
      </c>
      <c r="C133" s="93">
        <v>3</v>
      </c>
      <c r="D133" s="586">
        <f>1*(($C$116*$C$118)-(B133*$C$119))*C133*365.25</f>
        <v>6020.0504999999994</v>
      </c>
      <c r="E133" s="93">
        <f>D133*$C$124/1000000</f>
        <v>30.160453004999994</v>
      </c>
      <c r="F133" s="586">
        <f>1*(($C$116*$C$118)-(B133*$C$119))*C133*365.25*$C$122</f>
        <v>37.926318149999993</v>
      </c>
      <c r="G133" s="93"/>
      <c r="H133" s="359"/>
      <c r="I133" s="596">
        <f>F133/(1*(($C$116*$C$118))*C133*365.25*$C$122)</f>
        <v>0.25093632958801498</v>
      </c>
      <c r="J133" s="588"/>
      <c r="K133" s="587">
        <f>$C$113/F133</f>
        <v>0.31640297780922355</v>
      </c>
      <c r="L133" s="570">
        <f>1/COUNT($K$127:$K$129)</f>
        <v>0.33333333333333331</v>
      </c>
    </row>
    <row r="134" spans="2:12">
      <c r="B134" s="354">
        <v>1.75</v>
      </c>
      <c r="C134" s="93">
        <v>3</v>
      </c>
      <c r="D134" s="586">
        <f>1*(($C$116*$C$118)-(B134*$C$119))*C134*365.25</f>
        <v>8266.3379999999997</v>
      </c>
      <c r="E134" s="93">
        <f>D134*$C$124/1000000</f>
        <v>41.414353379999994</v>
      </c>
      <c r="F134" s="586">
        <f>1*(($C$116*$C$118)-(B134*$C$119))*C134*365.25*$C$122</f>
        <v>52.077929400000002</v>
      </c>
      <c r="G134" s="93"/>
      <c r="H134" s="359"/>
      <c r="I134" s="596">
        <f>F134/(1*(($C$116*$C$118))*C134*365.25*$C$122)</f>
        <v>0.34456928838951317</v>
      </c>
      <c r="J134" s="588"/>
      <c r="K134" s="587">
        <f>$C$113/F134</f>
        <v>0.23042390775236926</v>
      </c>
      <c r="L134" s="570">
        <f>1/COUNT($K$127:$K$129)</f>
        <v>0.33333333333333331</v>
      </c>
    </row>
    <row r="135" spans="2:12">
      <c r="B135" s="354">
        <v>1.5</v>
      </c>
      <c r="C135" s="93">
        <v>3</v>
      </c>
      <c r="D135" s="586">
        <f>1*(($C$116*$C$118)-(B135*$C$119))*C135*365.25</f>
        <v>10512.625499999998</v>
      </c>
      <c r="E135" s="93">
        <f>D135*$C$124/1000000</f>
        <v>52.668253754999988</v>
      </c>
      <c r="F135" s="586">
        <f>1*(($C$116*$C$118)-(B135*$C$119))*C135*365.25*$C$122</f>
        <v>66.22954064999999</v>
      </c>
      <c r="G135" s="93"/>
      <c r="H135" s="359"/>
      <c r="I135" s="596">
        <f>F135/(1*(($C$116*$C$118))*C135*365.25*$C$122)</f>
        <v>0.43820224719101125</v>
      </c>
      <c r="J135" s="588"/>
      <c r="K135" s="587">
        <f>$C$113/F135</f>
        <v>0.18118803002750408</v>
      </c>
      <c r="L135" s="570">
        <f>1/COUNT($K$127:$K$129)</f>
        <v>0.33333333333333331</v>
      </c>
    </row>
    <row r="136" spans="2:12">
      <c r="B136" s="7" t="s">
        <v>0</v>
      </c>
      <c r="C136" s="7"/>
      <c r="D136" s="7"/>
      <c r="E136" s="7"/>
      <c r="F136" s="638">
        <f t="shared" ref="F136:K136" si="27">SUMPRODUCT(F133:F135,$L$127:$L$129)</f>
        <v>52.077929399999988</v>
      </c>
      <c r="G136" s="7">
        <f t="shared" si="27"/>
        <v>0</v>
      </c>
      <c r="H136" s="7">
        <f t="shared" si="27"/>
        <v>0</v>
      </c>
      <c r="I136" s="7">
        <f t="shared" si="27"/>
        <v>0.34456928838951312</v>
      </c>
      <c r="J136" s="7">
        <f t="shared" si="27"/>
        <v>0</v>
      </c>
      <c r="K136" s="7">
        <f t="shared" si="27"/>
        <v>0.24267163852969895</v>
      </c>
      <c r="L136" s="93"/>
    </row>
  </sheetData>
  <phoneticPr fontId="35" type="noConversion"/>
  <dataValidations count="5">
    <dataValidation type="list" allowBlank="1" showInputMessage="1" showErrorMessage="1" sqref="C59:L59" xr:uid="{00000000-0002-0000-C300-000004000000}">
      <formula1>$N$19:$AQ$19</formula1>
    </dataValidation>
    <dataValidation type="list" allowBlank="1" showInputMessage="1" showErrorMessage="1" sqref="E11:E20" xr:uid="{00000000-0002-0000-C300-000003000000}">
      <formula1>$N$16:$O$16</formula1>
    </dataValidation>
    <dataValidation type="list" allowBlank="1" showInputMessage="1" showErrorMessage="1" sqref="D11:D20" xr:uid="{00000000-0002-0000-C300-000002000000}">
      <formula1>$N$22:$AE$22</formula1>
    </dataValidation>
    <dataValidation type="list" allowBlank="1" showInputMessage="1" showErrorMessage="1" sqref="B11:C20" xr:uid="{00000000-0002-0000-C300-000001000000}">
      <formula1>$N$7:$Q$7</formula1>
    </dataValidation>
    <dataValidation type="list" allowBlank="1" showInputMessage="1" showErrorMessage="1" sqref="D7" xr:uid="{00000000-0002-0000-C300-000000000000}">
      <formula1>$N$11:$O$11</formula1>
    </dataValidation>
  </dataValidations>
  <pageMargins left="0.7" right="0.7" top="0.75" bottom="0.75" header="0.3" footer="0.3"/>
  <pageSetup orientation="portrait" r:id="rId1"/>
  <drawing r:id="rId2"/>
  <legacyDrawing r:id="rId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6015-173E-442B-9977-3387DF58BA8B}">
  <sheetPr codeName="Sheet150">
    <tabColor indexed="13"/>
  </sheetPr>
  <dimension ref="A1:AQ125"/>
  <sheetViews>
    <sheetView zoomScale="90" zoomScaleNormal="90" workbookViewId="0">
      <selection activeCell="B125" sqref="B125:C125"/>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Misc CI Ltg</v>
      </c>
      <c r="C7" s="97" t="s">
        <v>1112</v>
      </c>
      <c r="D7" s="97" t="s">
        <v>211</v>
      </c>
      <c r="E7" s="97">
        <f>C117</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Misc CI Ltg_CI, E - IntL [No Heat] (RET)</v>
      </c>
      <c r="J11" s="83" t="str">
        <f t="shared" ref="J11:J20" si="3">IF(B11="","",CONCATENATE($C$7,IF(C11="","",CONCATENATE(" with ",C11," Secondary Fuel"))))</f>
        <v>Miscellaneous Commercial/Industrial Lighting</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Misc CI Ltg_CI,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Misc CI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Miscellaneous Commercial/Industrial Lighting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Misc CI Ltg_CI,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Miscellaneous Commercial/Industrial Lighting</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Miscellaneous Commercial/Industrial Lighting</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D125</f>
        <v>72.986400000000003</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f>F125</f>
        <v>0.68055555555555558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G125</f>
        <v>0</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f>H125</f>
        <v>0</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Miscellaneous Commercial/Industrial Lighting</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Miscellaneous Commercial/Industrial Lighting</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t="s">
        <v>1088</v>
      </c>
      <c r="D91" s="82" t="s">
        <v>1088</v>
      </c>
      <c r="E91" s="82" t="s">
        <v>1088</v>
      </c>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t="e">
        <f t="array" ref="C92:E92">TRANSPOSE(#REF!)</f>
        <v>#REF!</v>
      </c>
      <c r="D92" s="403" t="e">
        <v>#REF!</v>
      </c>
      <c r="E92" s="403" t="e">
        <v>#REF!</v>
      </c>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t="e">
        <f t="array" ref="C94:E94">TRANSPOSE(#REF!)</f>
        <v>#REF!</v>
      </c>
      <c r="D94" s="67" t="e">
        <v>#REF!</v>
      </c>
      <c r="E94" s="67" t="e">
        <v>#REF!</v>
      </c>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1111</v>
      </c>
    </row>
    <row r="107" spans="1:22" s="63" customFormat="1" ht="15.75" thickBot="1">
      <c r="B107" s="63" t="s">
        <v>50</v>
      </c>
    </row>
    <row r="109" spans="1:22">
      <c r="B109" s="94" t="s">
        <v>520</v>
      </c>
      <c r="C109" s="94" t="s">
        <v>410</v>
      </c>
      <c r="D109" s="94" t="s">
        <v>409</v>
      </c>
      <c r="E109" s="94" t="s">
        <v>122</v>
      </c>
    </row>
    <row r="110" spans="1:22">
      <c r="B110" s="93" t="s">
        <v>627</v>
      </c>
      <c r="C110" s="93" t="s">
        <v>555</v>
      </c>
      <c r="D110" s="93" t="s">
        <v>1105</v>
      </c>
      <c r="E110" s="286" t="s">
        <v>1110</v>
      </c>
    </row>
    <row r="111" spans="1:22">
      <c r="B111" s="93" t="s">
        <v>624</v>
      </c>
      <c r="C111" s="93" t="s">
        <v>555</v>
      </c>
      <c r="D111" s="93" t="s">
        <v>1105</v>
      </c>
      <c r="E111" s="286" t="s">
        <v>1109</v>
      </c>
    </row>
    <row r="112" spans="1:22">
      <c r="B112" s="93" t="s">
        <v>1086</v>
      </c>
      <c r="C112" s="97">
        <v>1.08</v>
      </c>
      <c r="D112" s="93" t="s">
        <v>1084</v>
      </c>
      <c r="E112" s="286" t="s">
        <v>1108</v>
      </c>
    </row>
    <row r="113" spans="2:10">
      <c r="B113" s="93" t="s">
        <v>367</v>
      </c>
      <c r="C113" s="97">
        <v>1.3</v>
      </c>
      <c r="D113" s="93" t="s">
        <v>1084</v>
      </c>
      <c r="E113" s="286" t="s">
        <v>1107</v>
      </c>
    </row>
    <row r="114" spans="2:10">
      <c r="B114" s="93" t="s">
        <v>309</v>
      </c>
      <c r="C114" s="97">
        <v>3379</v>
      </c>
      <c r="D114" s="93" t="s">
        <v>1084</v>
      </c>
      <c r="E114" s="93" t="s">
        <v>1106</v>
      </c>
    </row>
    <row r="115" spans="2:10">
      <c r="B115" s="93" t="s">
        <v>34</v>
      </c>
      <c r="C115" s="97">
        <v>0.67</v>
      </c>
      <c r="D115" s="93" t="s">
        <v>1084</v>
      </c>
      <c r="E115" s="93"/>
    </row>
    <row r="116" spans="2:10">
      <c r="B116" s="97" t="s">
        <v>9</v>
      </c>
      <c r="C116" s="93"/>
      <c r="D116" s="93" t="s">
        <v>1105</v>
      </c>
      <c r="E116" s="93"/>
    </row>
    <row r="117" spans="2:10">
      <c r="B117" s="93" t="s">
        <v>518</v>
      </c>
      <c r="C117" s="93">
        <v>15</v>
      </c>
      <c r="D117" s="93" t="s">
        <v>1105</v>
      </c>
      <c r="E117" s="93"/>
    </row>
    <row r="120" spans="2:10">
      <c r="B120" s="94" t="s">
        <v>533</v>
      </c>
      <c r="C120" s="93"/>
      <c r="D120" s="93"/>
      <c r="E120" s="93"/>
      <c r="F120" s="93"/>
      <c r="G120" s="93"/>
      <c r="H120" s="93"/>
      <c r="I120" s="93"/>
      <c r="J120" s="93"/>
    </row>
    <row r="121" spans="2:10">
      <c r="B121" s="94" t="s">
        <v>627</v>
      </c>
      <c r="C121" s="94" t="s">
        <v>624</v>
      </c>
      <c r="D121" s="94" t="s">
        <v>500</v>
      </c>
      <c r="E121" s="94" t="s">
        <v>499</v>
      </c>
      <c r="F121" s="94" t="s">
        <v>244</v>
      </c>
      <c r="G121" s="94" t="s">
        <v>9</v>
      </c>
      <c r="H121" s="94" t="s">
        <v>8</v>
      </c>
      <c r="I121" s="94" t="s">
        <v>7</v>
      </c>
    </row>
    <row r="122" spans="2:10">
      <c r="B122" s="97">
        <v>20</v>
      </c>
      <c r="C122" s="97">
        <v>5</v>
      </c>
      <c r="D122" s="93">
        <f>((B122-C122)*$C$114*$C$112/1000)</f>
        <v>54.739800000000002</v>
      </c>
      <c r="E122" s="93">
        <f>((B122-C122)*$C$113*$C$115)/1000</f>
        <v>1.3065000000000002E-2</v>
      </c>
      <c r="F122" s="285">
        <f>((B122-C122)*$C$114*$C$112/1000)/(B122*$C$114*$C$112/1000)</f>
        <v>0.75</v>
      </c>
      <c r="G122" s="93"/>
      <c r="H122" s="93">
        <f>$C$116/D122</f>
        <v>0</v>
      </c>
      <c r="I122" s="93">
        <f>1/COUNT($H$122:$H$124)</f>
        <v>0.33333333333333331</v>
      </c>
    </row>
    <row r="123" spans="2:10">
      <c r="B123" s="97">
        <v>30</v>
      </c>
      <c r="C123" s="97">
        <v>10</v>
      </c>
      <c r="D123" s="93">
        <f>((B123-C123)*$C$114*$C$112/1000)</f>
        <v>72.986400000000003</v>
      </c>
      <c r="E123" s="93">
        <f>((B123-C123)*$C$113*$C$115)/1000</f>
        <v>1.7420000000000001E-2</v>
      </c>
      <c r="F123" s="285">
        <f>((B123-C123)*$C$114*$C$112/1000)/(B123*$C$114*$C$112/1000)</f>
        <v>0.66666666666666663</v>
      </c>
      <c r="G123" s="93"/>
      <c r="H123" s="93">
        <f>$C$116/D123</f>
        <v>0</v>
      </c>
      <c r="I123" s="93">
        <f>1/COUNT($H$122:$H$124)</f>
        <v>0.33333333333333331</v>
      </c>
    </row>
    <row r="124" spans="2:10">
      <c r="B124" s="97">
        <v>40</v>
      </c>
      <c r="C124" s="97">
        <v>15</v>
      </c>
      <c r="D124" s="93">
        <f>((B124-C124)*$C$114*$C$112/1000)</f>
        <v>91.233000000000004</v>
      </c>
      <c r="E124" s="93">
        <f>((B124-C124)*$C$113*$C$115)/1000</f>
        <v>2.1775000000000003E-2</v>
      </c>
      <c r="F124" s="285">
        <f>((B124-C124)*$C$114*$C$112/1000)/(B124*$C$114*$C$112/1000)</f>
        <v>0.625</v>
      </c>
      <c r="G124" s="93"/>
      <c r="H124" s="93">
        <f>$C$116/D124</f>
        <v>0</v>
      </c>
      <c r="I124" s="93">
        <f>1/COUNT($H$122:$H$124)</f>
        <v>0.33333333333333331</v>
      </c>
    </row>
    <row r="125" spans="2:10">
      <c r="B125" s="7" t="s">
        <v>0</v>
      </c>
      <c r="C125" s="7"/>
      <c r="D125" s="7">
        <f>SUMPRODUCT(D122:D124,$I$122:$I$124)</f>
        <v>72.986400000000003</v>
      </c>
      <c r="E125" s="7">
        <f>SUMPRODUCT(E122:E124,$I$122:$I$124)</f>
        <v>1.7419999999999998E-2</v>
      </c>
      <c r="F125" s="7">
        <f>SUMPRODUCT(F122:F124,$I$122:$I$124)</f>
        <v>0.68055555555555558</v>
      </c>
      <c r="G125" s="7">
        <f>SUMPRODUCT(G122:G124,$I$122:$I$124)</f>
        <v>0</v>
      </c>
      <c r="H125" s="7">
        <f>SUMPRODUCT(H122:H124,$I$122:$I$124)</f>
        <v>0</v>
      </c>
      <c r="I125" s="7"/>
    </row>
  </sheetData>
  <dataValidations count="5">
    <dataValidation type="list" allowBlank="1" showInputMessage="1" showErrorMessage="1" sqref="C59:L59" xr:uid="{BB77599F-8946-4C1C-A8AB-A3622ACD1194}">
      <formula1>$N$19:$AQ$19</formula1>
    </dataValidation>
    <dataValidation type="list" allowBlank="1" showInputMessage="1" showErrorMessage="1" sqref="E11:E20" xr:uid="{BE6F38C6-B8BC-47E7-AB0E-E8DF2FE5739D}">
      <formula1>$N$16:$O$16</formula1>
    </dataValidation>
    <dataValidation type="list" allowBlank="1" showInputMessage="1" showErrorMessage="1" sqref="D11:D20" xr:uid="{3F1BA903-2BB2-402D-8D8C-0D3EDB48C6F1}">
      <formula1>$N$22:$AE$22</formula1>
    </dataValidation>
    <dataValidation type="list" allowBlank="1" showInputMessage="1" showErrorMessage="1" sqref="B11:C20" xr:uid="{455EC3CC-ECA0-4E9A-B504-4F189315F234}">
      <formula1>$N$7:$Q$7</formula1>
    </dataValidation>
    <dataValidation type="list" allowBlank="1" showInputMessage="1" showErrorMessage="1" sqref="D7" xr:uid="{7E294160-A7F1-4029-BD65-323112709877}">
      <formula1>$N$11:$O$11</formula1>
    </dataValidation>
  </dataValidations>
  <pageMargins left="0.7" right="0.7" top="0.75" bottom="0.75" header="0.3" footer="0.3"/>
  <pageSetup orientation="portrait"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B4F3-2543-493C-B6E1-9B10F5987580}">
  <sheetPr codeName="Sheet135">
    <tabColor indexed="13"/>
  </sheetPr>
  <dimension ref="A1:AQ123"/>
  <sheetViews>
    <sheetView topLeftCell="A24" zoomScale="90" zoomScaleNormal="90" workbookViewId="0">
      <selection activeCell="C57" sqref="C57:C58"/>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Ext Photo Repair</v>
      </c>
      <c r="C7" s="97" t="s">
        <v>1104</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Ext Photo Repair_CI, E - IntL [No Heat] (RET)</v>
      </c>
      <c r="J11" s="83" t="str">
        <f t="shared" ref="J11:J20" si="3">IF(B11="","",CONCATENATE($C$7,IF(C11="","",CONCATENATE(" with ",C11," Secondary Fuel"))))</f>
        <v>Exterior Photocell Repair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Ext Photo Repair_CI,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Ext Photo Repair_CI,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Exterior Photocell Repair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Ext Photo Repair_CI,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Exterior Photocell Repair</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Exterior Photocell Repair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C123</f>
        <v>83.36</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f>E123</f>
        <v>0.95094684006388308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C114</f>
        <v>65.52</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f>G123</f>
        <v>0.96065259117082513</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Exterior Photocell Repair</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Exterior Photocell Repair</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1103</v>
      </c>
    </row>
    <row r="107" spans="1:22" s="63" customFormat="1" ht="15.75" thickBot="1">
      <c r="B107" s="63" t="s">
        <v>50</v>
      </c>
    </row>
    <row r="109" spans="1:22">
      <c r="B109" s="94" t="s">
        <v>520</v>
      </c>
      <c r="C109" s="94" t="s">
        <v>410</v>
      </c>
      <c r="D109" s="94" t="s">
        <v>409</v>
      </c>
      <c r="E109" s="94" t="s">
        <v>122</v>
      </c>
    </row>
    <row r="110" spans="1:22">
      <c r="B110" s="93" t="s">
        <v>1102</v>
      </c>
      <c r="C110" s="93" t="s">
        <v>555</v>
      </c>
      <c r="D110" s="93" t="s">
        <v>1082</v>
      </c>
      <c r="E110" s="286" t="s">
        <v>1101</v>
      </c>
    </row>
    <row r="111" spans="1:22">
      <c r="B111" s="93" t="s">
        <v>1100</v>
      </c>
      <c r="C111" s="93">
        <v>8766</v>
      </c>
      <c r="D111" s="93" t="s">
        <v>1082</v>
      </c>
      <c r="E111" s="286" t="s">
        <v>1099</v>
      </c>
    </row>
    <row r="112" spans="1:22">
      <c r="B112" s="93" t="s">
        <v>1098</v>
      </c>
      <c r="C112" s="93">
        <v>430</v>
      </c>
      <c r="D112" s="93" t="s">
        <v>1082</v>
      </c>
      <c r="E112" s="93" t="s">
        <v>1097</v>
      </c>
    </row>
    <row r="113" spans="2:10">
      <c r="B113" s="93" t="s">
        <v>34</v>
      </c>
      <c r="C113" s="93">
        <v>1</v>
      </c>
      <c r="D113" s="93" t="s">
        <v>1082</v>
      </c>
      <c r="E113" s="93"/>
    </row>
    <row r="114" spans="2:10">
      <c r="B114" s="97" t="s">
        <v>9</v>
      </c>
      <c r="C114" s="93">
        <v>65.52</v>
      </c>
      <c r="D114" s="93" t="s">
        <v>1082</v>
      </c>
      <c r="E114" s="93"/>
    </row>
    <row r="115" spans="2:10">
      <c r="B115" s="93" t="s">
        <v>518</v>
      </c>
      <c r="C115" s="93">
        <v>2</v>
      </c>
      <c r="D115" s="93" t="s">
        <v>1082</v>
      </c>
      <c r="E115" s="93"/>
    </row>
    <row r="118" spans="2:10">
      <c r="B118" s="94" t="s">
        <v>533</v>
      </c>
      <c r="C118" s="93"/>
      <c r="D118" s="93"/>
      <c r="E118" s="93"/>
      <c r="F118" s="93"/>
      <c r="G118" s="93"/>
      <c r="H118" s="93"/>
      <c r="I118" s="93"/>
      <c r="J118" s="93"/>
    </row>
    <row r="119" spans="2:10">
      <c r="B119" s="93" t="s">
        <v>1096</v>
      </c>
      <c r="C119" s="94" t="s">
        <v>500</v>
      </c>
      <c r="D119" s="94" t="s">
        <v>499</v>
      </c>
      <c r="E119" s="94" t="s">
        <v>244</v>
      </c>
      <c r="F119" s="94" t="s">
        <v>9</v>
      </c>
      <c r="G119" s="94" t="s">
        <v>8</v>
      </c>
      <c r="H119" s="94" t="s">
        <v>7</v>
      </c>
    </row>
    <row r="120" spans="2:10">
      <c r="B120" s="93">
        <v>5</v>
      </c>
      <c r="C120" s="93">
        <f>B120*($C$111-$C$112)/1000</f>
        <v>41.68</v>
      </c>
      <c r="D120" s="93">
        <f>C120*$C$113/($C$111-$C$112)</f>
        <v>5.0000000000000001E-3</v>
      </c>
      <c r="E120" s="285">
        <f>C120/(B120*($C$111)/1000)</f>
        <v>0.95094684006388319</v>
      </c>
      <c r="F120" s="93"/>
      <c r="G120" s="93">
        <f>$C$114/C120</f>
        <v>1.5719769673704413</v>
      </c>
      <c r="H120" s="93">
        <f>1/COUNT($G$120:$G$122)</f>
        <v>0.33333333333333331</v>
      </c>
    </row>
    <row r="121" spans="2:10">
      <c r="B121" s="93">
        <v>10</v>
      </c>
      <c r="C121" s="93">
        <f>B121*($C$111-$C$112)/1000</f>
        <v>83.36</v>
      </c>
      <c r="D121" s="93">
        <f>C121*$C$113/($C$111-$C$112)</f>
        <v>0.01</v>
      </c>
      <c r="E121" s="285">
        <f>C121/(B121*($C$111)/1000)</f>
        <v>0.95094684006388319</v>
      </c>
      <c r="F121" s="93"/>
      <c r="G121" s="93">
        <f>$C$114/C121</f>
        <v>0.78598848368522067</v>
      </c>
      <c r="H121" s="93">
        <f>1/COUNT($G$120:$G$122)</f>
        <v>0.33333333333333331</v>
      </c>
    </row>
    <row r="122" spans="2:10">
      <c r="B122" s="93">
        <v>15</v>
      </c>
      <c r="C122" s="93">
        <f>B122*($C$111-$C$112)/1000</f>
        <v>125.04</v>
      </c>
      <c r="D122" s="93">
        <f>C122*$C$113/($C$111-$C$112)</f>
        <v>1.5000000000000001E-2</v>
      </c>
      <c r="E122" s="285">
        <f>C122/(B122*($C$111)/1000)</f>
        <v>0.95094684006388319</v>
      </c>
      <c r="F122" s="93"/>
      <c r="G122" s="93">
        <f>$C$114/C122</f>
        <v>0.52399232245681371</v>
      </c>
      <c r="H122" s="93">
        <f>1/COUNT($G$120:$G$122)</f>
        <v>0.33333333333333331</v>
      </c>
    </row>
    <row r="123" spans="2:10">
      <c r="B123" s="7" t="s">
        <v>0</v>
      </c>
      <c r="C123" s="7">
        <f>SUMPRODUCT(C120:C122,$H$120:$H$122)</f>
        <v>83.36</v>
      </c>
      <c r="D123" s="7">
        <f>SUMPRODUCT(D120:D122,$H$120:$H$122)</f>
        <v>9.9999999999999985E-3</v>
      </c>
      <c r="E123" s="7">
        <f>SUMPRODUCT(E120:E122,$H$120:$H$122)</f>
        <v>0.95094684006388308</v>
      </c>
      <c r="F123" s="7">
        <f>SUMPRODUCT(F120:F122,$H$120:$H$122)</f>
        <v>0</v>
      </c>
      <c r="G123" s="7">
        <f>SUMPRODUCT(G120:G122,$H$120:$H$122)</f>
        <v>0.96065259117082513</v>
      </c>
    </row>
  </sheetData>
  <dataValidations count="5">
    <dataValidation type="list" allowBlank="1" showInputMessage="1" showErrorMessage="1" sqref="D7" xr:uid="{FD047912-29D1-4B62-9836-7833DC8AB6C7}">
      <formula1>$N$11:$O$11</formula1>
    </dataValidation>
    <dataValidation type="list" allowBlank="1" showInputMessage="1" showErrorMessage="1" sqref="B11:C20" xr:uid="{3CFDBC4D-4CAE-4361-91EF-0466FD5DB164}">
      <formula1>$N$7:$Q$7</formula1>
    </dataValidation>
    <dataValidation type="list" allowBlank="1" showInputMessage="1" showErrorMessage="1" sqref="D11:D20" xr:uid="{31502449-6B23-4825-9944-726C8BC45F58}">
      <formula1>$N$22:$AE$22</formula1>
    </dataValidation>
    <dataValidation type="list" allowBlank="1" showInputMessage="1" showErrorMessage="1" sqref="E11:E20" xr:uid="{2CEAA93C-637C-493D-A482-E5D033987AEC}">
      <formula1>$N$16:$O$16</formula1>
    </dataValidation>
    <dataValidation type="list" allowBlank="1" showInputMessage="1" showErrorMessage="1" sqref="C59:L59" xr:uid="{86876E68-5E85-4084-98D0-F52B0AD13D55}">
      <formula1>$N$19:$AQ$19</formula1>
    </dataValidation>
  </dataValidations>
  <pageMargins left="0.7" right="0.7" top="0.75" bottom="0.75" header="0.3" footer="0.3"/>
  <pageSetup orientation="portrait"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02413-74E4-4819-B5B4-DC1A70655063}">
  <sheetPr codeName="Sheet111">
    <tabColor rgb="FFFFFF00"/>
  </sheetPr>
  <dimension ref="A1:AQ156"/>
  <sheetViews>
    <sheetView zoomScale="85" zoomScaleNormal="85" workbookViewId="0">
      <selection activeCell="C57" sqref="C57:C58"/>
    </sheetView>
  </sheetViews>
  <sheetFormatPr defaultColWidth="8.85546875" defaultRowHeight="15"/>
  <cols>
    <col min="1" max="1" width="6.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1.85546875" style="1" customWidth="1"/>
    <col min="8" max="8" width="17.7109375" style="1" customWidth="1"/>
    <col min="9" max="9" width="17.28515625" style="1" customWidth="1"/>
    <col min="10" max="10" width="21.28515625" style="1" bestFit="1" customWidth="1"/>
    <col min="11" max="11" width="19"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LED Streetlighting</v>
      </c>
      <c r="C7" s="97" t="s">
        <v>1077</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168</v>
      </c>
      <c r="E11" s="99" t="s">
        <v>204</v>
      </c>
      <c r="F11" s="99"/>
      <c r="G11" s="83" t="str">
        <f t="shared" ref="G11:G20" si="0">IF(B11="","",HLOOKUP(B11,$N$7:$Q$8,2,FALSE)) &amp; IF(C11="","","/" &amp; HLOOKUP(C11,$N$7:$Q$8,2,FALSE))</f>
        <v>E</v>
      </c>
      <c r="H11" s="83" t="str">
        <f t="shared" ref="H11:H20" si="1">IF(B11="","",IFERROR(HLOOKUP(D11,$N$22:$AE$23,2,FALSE),HLOOKUP(D11,$N$22:$AE$23,2,FALSE)))</f>
        <v>ExtL</v>
      </c>
      <c r="I11" s="83" t="str">
        <f t="shared" ref="I11:I20" ca="1" si="2">IF(B11="","", CONCATENATE($B$7, "_", IFERROR(HLOOKUP($D$7, $N$11:$P$12, 2, FALSE), "INSERT SECTOR"), ", ", IF(G11="", "INSERT FUEL(S)", G11), " - ", IF(H11="", "INSERT END USE", H11), IF(F11="", "", CONCATENATE(" [", F11, "]")), " (", IF(E11="", "INSERT MARKET", E11), ")"))</f>
        <v>LED Streetlighting_CI, E - ExtL (RET)</v>
      </c>
      <c r="J11" s="83" t="str">
        <f t="shared" ref="J11:J20" si="3">IF(B11="","",CONCATENATE($C$7,IF(C11="","",CONCATENATE(" with ",C11," Secondary Fuel"))))</f>
        <v>Street Lighting</v>
      </c>
      <c r="K11" s="83"/>
      <c r="M11" s="94" t="s">
        <v>123</v>
      </c>
      <c r="N11" s="93" t="s">
        <v>212</v>
      </c>
      <c r="O11" s="93" t="s">
        <v>211</v>
      </c>
    </row>
    <row r="12" spans="1:17">
      <c r="A12" s="1">
        <v>2</v>
      </c>
      <c r="B12" s="97" t="s">
        <v>205</v>
      </c>
      <c r="C12" s="97"/>
      <c r="D12" s="97" t="s">
        <v>168</v>
      </c>
      <c r="E12" s="99" t="s">
        <v>202</v>
      </c>
      <c r="F12" s="99"/>
      <c r="G12" s="83" t="str">
        <f t="shared" si="0"/>
        <v>E</v>
      </c>
      <c r="H12" s="83" t="str">
        <f t="shared" si="1"/>
        <v>ExtL</v>
      </c>
      <c r="I12" s="83" t="str">
        <f t="shared" ca="1" si="2"/>
        <v>LED Streetlighting_CI, E - ExtL (MD)</v>
      </c>
      <c r="J12" s="83" t="str">
        <f t="shared" si="3"/>
        <v>Street Lighting</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6"/>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LED Streetlighting_CI, E - ExtL (RET)</v>
      </c>
      <c r="D33" s="83" t="str">
        <f t="shared" ca="1" si="5"/>
        <v>LED Streetlighting_CI, E - ExtL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Streetlighting_CI, E - ExtL (RET)</v>
      </c>
      <c r="N33" s="84" t="str">
        <f t="shared" ca="1" si="6"/>
        <v>LED Streetlighting_CI, E - ExtL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Street Lighting</v>
      </c>
      <c r="D34" s="83" t="str">
        <f t="shared" si="8"/>
        <v>Street Lighting</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LED Streetlighting_CI, E - ExtL (RET)</v>
      </c>
      <c r="D35" s="65" t="str">
        <f ca="1">D33</f>
        <v>LED Streetlighting_CI, E - ExtL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Street Lighting</v>
      </c>
      <c r="D36" s="65" t="str">
        <f>D34</f>
        <v>Street Lighting</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1076</v>
      </c>
      <c r="D38" s="82" t="s">
        <v>1076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402">
        <f t="shared" ref="C39:L39" si="11">IF(VLOOKUP(C$31,$A$11:$K$20,2,FALSE)="","",IF($E$7="","",$E$7))</f>
        <v>15</v>
      </c>
      <c r="D39" s="402">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2">IF(IF(VLOOKUP(C$31,$A$11:$K$20,2,FALSE)="","",HLOOKUP(VLOOKUP(C$31,$A$11:$K$20,2,FALSE),$N$7:$Q$8,2,FALSE))="P", "Prp", IF(VLOOKUP(C$31,$A$11:$K$20,2,FALSE)="","",HLOOKUP(VLOOKUP(C$31,$A$11:$K$20,2,FALSE),$N$7:$Q$8,2,FALSE)))</f>
        <v>E</v>
      </c>
      <c r="D41" s="401" t="str">
        <f t="shared" si="12"/>
        <v>E</v>
      </c>
      <c r="E41" s="401" t="str">
        <f t="shared" si="12"/>
        <v/>
      </c>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3">IF(IF(VLOOKUP(C$31,$A$11:$K$20,3,FALSE)="","",HLOOKUP(VLOOKUP(C$31,$A$11:$K$20,3,FALSE),$N$7:$Q$8,2,FALSE))="P", "Prp", IF(VLOOKUP(C$31,$A$11:$K$20,3,FALSE)="","",HLOOKUP(VLOOKUP(C$31,$A$11:$K$20,3,FALSE),$N$7:$Q$8,2,FALSE)))</f>
        <v/>
      </c>
      <c r="D42" s="401" t="str">
        <f t="shared" si="13"/>
        <v/>
      </c>
      <c r="E42" s="401" t="str">
        <f t="shared" si="13"/>
        <v/>
      </c>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4">IF(VLOOKUP(C$31,$A$11:$K$20,4,FALSE)="","",VLOOKUP(C$31,$A$11:$K$20,4,FALSE))</f>
        <v>Exterior Lighting</v>
      </c>
      <c r="D43" s="401" t="str">
        <f t="shared" si="14"/>
        <v>Exterior Lighting</v>
      </c>
      <c r="E43" s="401" t="str">
        <f t="shared" si="14"/>
        <v/>
      </c>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Street Lighting</v>
      </c>
      <c r="D52" s="66" t="str">
        <f t="shared" si="16"/>
        <v>Street Lighting</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t="s">
        <v>528</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1075</v>
      </c>
      <c r="D55" s="82" t="s">
        <v>1075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1074</v>
      </c>
      <c r="D56" s="82" t="s">
        <v>1074</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F143</f>
        <v>1165.2196000000001</v>
      </c>
      <c r="D64" s="67">
        <f>F156</f>
        <v>2534.2220000000002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H143</f>
        <v>0.70444904989227153</v>
      </c>
      <c r="D65" s="74">
        <f>H156</f>
        <v>0.83658338105261265</v>
      </c>
      <c r="E65" s="371"/>
      <c r="F65" s="65"/>
      <c r="G65" s="65"/>
      <c r="H65" s="65"/>
      <c r="I65" s="65"/>
      <c r="J65" s="65"/>
      <c r="K65" s="65"/>
      <c r="L65" s="65"/>
      <c r="M65" s="279" t="s">
        <v>1073</v>
      </c>
      <c r="N65" s="279" t="s">
        <v>1073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I143</f>
        <v>0</v>
      </c>
      <c r="D68" s="71">
        <f>L156</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J143</f>
        <v>0</v>
      </c>
      <c r="D69" s="70">
        <f>M156</f>
        <v>0</v>
      </c>
      <c r="E69" s="371"/>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64</v>
      </c>
      <c r="N69" s="69">
        <v>64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D70" s="399"/>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Street Lighting</v>
      </c>
      <c r="D71" s="66" t="str">
        <f t="shared" si="24"/>
        <v>Street Lighting</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82"/>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1072</v>
      </c>
      <c r="D105" s="1" t="s">
        <v>1071</v>
      </c>
    </row>
    <row r="106" spans="1:22">
      <c r="B106" s="1" t="s">
        <v>1070</v>
      </c>
      <c r="D106" s="1" t="s">
        <v>1069</v>
      </c>
    </row>
    <row r="107" spans="1:22">
      <c r="D107" s="398" t="s">
        <v>1068</v>
      </c>
    </row>
    <row r="108" spans="1:22" s="63" customFormat="1" ht="15.75" thickBot="1">
      <c r="B108" s="63" t="s">
        <v>50</v>
      </c>
    </row>
    <row r="110" spans="1:22">
      <c r="B110" s="94" t="s">
        <v>520</v>
      </c>
      <c r="C110" s="94" t="s">
        <v>410</v>
      </c>
      <c r="D110" s="94" t="s">
        <v>409</v>
      </c>
      <c r="E110" s="94" t="s">
        <v>122</v>
      </c>
    </row>
    <row r="111" spans="1:22">
      <c r="B111" s="93" t="s">
        <v>1067</v>
      </c>
      <c r="C111" s="93" t="s">
        <v>35</v>
      </c>
      <c r="D111" s="93" t="s">
        <v>1062</v>
      </c>
      <c r="E111" s="286" t="s">
        <v>1066</v>
      </c>
    </row>
    <row r="112" spans="1:22">
      <c r="B112" s="93" t="s">
        <v>482</v>
      </c>
      <c r="C112" s="93" t="s">
        <v>35</v>
      </c>
      <c r="D112" s="93" t="s">
        <v>1062</v>
      </c>
      <c r="E112" s="286" t="s">
        <v>1065</v>
      </c>
    </row>
    <row r="113" spans="2:5">
      <c r="B113" s="93" t="s">
        <v>487</v>
      </c>
      <c r="C113" s="93" t="s">
        <v>35</v>
      </c>
      <c r="D113" s="93" t="s">
        <v>1062</v>
      </c>
      <c r="E113" s="286" t="s">
        <v>1064</v>
      </c>
    </row>
    <row r="114" spans="2:5">
      <c r="B114" s="93" t="s">
        <v>1063</v>
      </c>
      <c r="C114" s="93" t="s">
        <v>35</v>
      </c>
      <c r="D114" s="93" t="s">
        <v>1062</v>
      </c>
      <c r="E114" s="93"/>
    </row>
    <row r="115" spans="2:5">
      <c r="B115" s="97" t="s">
        <v>9</v>
      </c>
      <c r="C115" s="93"/>
      <c r="D115" s="93"/>
      <c r="E115" s="93"/>
    </row>
    <row r="116" spans="2:5">
      <c r="B116" s="93" t="s">
        <v>518</v>
      </c>
      <c r="C116" s="93">
        <v>5</v>
      </c>
      <c r="D116" s="93" t="s">
        <v>1062</v>
      </c>
      <c r="E116" s="93"/>
    </row>
    <row r="119" spans="2:5">
      <c r="B119" s="94" t="s">
        <v>1061</v>
      </c>
      <c r="C119" s="94" t="s">
        <v>1060</v>
      </c>
      <c r="D119" s="94" t="s">
        <v>1059</v>
      </c>
      <c r="E119" s="94" t="s">
        <v>1058</v>
      </c>
    </row>
    <row r="120" spans="2:5">
      <c r="B120" s="93">
        <v>100</v>
      </c>
      <c r="C120" s="93">
        <v>125</v>
      </c>
      <c r="D120" s="93">
        <v>50</v>
      </c>
      <c r="E120" s="93">
        <v>66</v>
      </c>
    </row>
    <row r="121" spans="2:5">
      <c r="B121" s="93">
        <v>175</v>
      </c>
      <c r="C121" s="93">
        <v>205</v>
      </c>
      <c r="D121" s="93">
        <v>100</v>
      </c>
      <c r="E121" s="93">
        <v>138</v>
      </c>
    </row>
    <row r="122" spans="2:5">
      <c r="B122" s="93">
        <v>250</v>
      </c>
      <c r="C122" s="93">
        <v>290</v>
      </c>
      <c r="D122" s="93">
        <v>100</v>
      </c>
      <c r="E122" s="93">
        <v>138</v>
      </c>
    </row>
    <row r="123" spans="2:5">
      <c r="B123" s="93">
        <v>400</v>
      </c>
      <c r="C123" s="93">
        <v>455</v>
      </c>
      <c r="D123" s="93">
        <v>250</v>
      </c>
      <c r="E123" s="93">
        <v>295</v>
      </c>
    </row>
    <row r="124" spans="2:5">
      <c r="B124" s="93">
        <v>1000</v>
      </c>
      <c r="C124" s="93">
        <v>1075</v>
      </c>
      <c r="D124" s="93">
        <v>400</v>
      </c>
      <c r="E124" s="93">
        <v>465</v>
      </c>
    </row>
    <row r="126" spans="2:5">
      <c r="B126" s="94" t="s">
        <v>1055</v>
      </c>
      <c r="C126" s="94" t="s">
        <v>309</v>
      </c>
      <c r="D126" s="94" t="s">
        <v>34</v>
      </c>
    </row>
    <row r="127" spans="2:5">
      <c r="B127" s="93" t="s">
        <v>27</v>
      </c>
      <c r="C127" s="93">
        <v>4303</v>
      </c>
      <c r="D127" s="93">
        <v>0</v>
      </c>
    </row>
    <row r="128" spans="2:5">
      <c r="B128" s="93" t="s">
        <v>1045</v>
      </c>
      <c r="C128" s="93">
        <v>8760</v>
      </c>
      <c r="D128" s="93">
        <v>1</v>
      </c>
    </row>
    <row r="131" spans="1:11">
      <c r="B131" s="94" t="s">
        <v>533</v>
      </c>
      <c r="C131" s="94"/>
      <c r="D131" s="94"/>
      <c r="E131" s="94"/>
      <c r="F131" s="94"/>
      <c r="G131" s="94"/>
      <c r="H131" s="94"/>
      <c r="I131" s="94"/>
      <c r="J131" s="94"/>
      <c r="K131" s="94"/>
    </row>
    <row r="132" spans="1:11">
      <c r="B132" s="94" t="s">
        <v>1055</v>
      </c>
      <c r="C132" s="94" t="s">
        <v>1054</v>
      </c>
      <c r="D132" s="94" t="s">
        <v>1053</v>
      </c>
      <c r="E132" s="94" t="s">
        <v>1052</v>
      </c>
      <c r="F132" s="94" t="s">
        <v>500</v>
      </c>
      <c r="G132" s="94" t="s">
        <v>499</v>
      </c>
      <c r="H132" s="94" t="s">
        <v>244</v>
      </c>
      <c r="I132" s="94" t="s">
        <v>9</v>
      </c>
      <c r="J132" s="94" t="s">
        <v>8</v>
      </c>
      <c r="K132" s="94" t="s">
        <v>7</v>
      </c>
    </row>
    <row r="133" spans="1:11">
      <c r="A133" s="1" t="s">
        <v>1057</v>
      </c>
      <c r="B133" s="93" t="s">
        <v>27</v>
      </c>
      <c r="C133" s="93">
        <v>0</v>
      </c>
      <c r="D133" s="93">
        <v>66</v>
      </c>
      <c r="E133" s="97">
        <v>42</v>
      </c>
      <c r="F133" s="93">
        <f t="shared" ref="F133:F142" si="31">(D133-E133)*VLOOKUP(B133,$B$126:$D$128,2,FALSE)/1000</f>
        <v>103.27200000000001</v>
      </c>
      <c r="G133" s="93">
        <f t="shared" ref="G133:G142" si="32">(D133-E133)*VLOOKUP(B133,$B$126:$D$128,3,FALSE)/1000</f>
        <v>0</v>
      </c>
      <c r="H133" s="285">
        <f t="shared" ref="H133:H142" si="33">((D133-E133)*VLOOKUP(B133,$B$126:$D$128,2,FALSE)/1000)/(D133*VLOOKUP(B133,$B$126:$D$128,2,FALSE)/1000)</f>
        <v>0.36363636363636365</v>
      </c>
      <c r="I133" s="93"/>
      <c r="J133" s="93"/>
      <c r="K133" s="93">
        <f>1/COUNT($E$133:$E$142)</f>
        <v>0.1</v>
      </c>
    </row>
    <row r="134" spans="1:11">
      <c r="B134" s="93" t="s">
        <v>27</v>
      </c>
      <c r="C134" s="93">
        <v>0</v>
      </c>
      <c r="D134" s="93">
        <v>138</v>
      </c>
      <c r="E134" s="97">
        <v>42</v>
      </c>
      <c r="F134" s="93">
        <f t="shared" si="31"/>
        <v>413.08800000000002</v>
      </c>
      <c r="G134" s="93">
        <f t="shared" si="32"/>
        <v>0</v>
      </c>
      <c r="H134" s="285">
        <f t="shared" si="33"/>
        <v>0.69565217391304357</v>
      </c>
      <c r="I134" s="93"/>
      <c r="J134" s="93"/>
      <c r="K134" s="93">
        <f t="shared" ref="K134:K142" si="34">1/COUNT($E$133:$E$142)</f>
        <v>0.1</v>
      </c>
    </row>
    <row r="135" spans="1:11">
      <c r="B135" s="93" t="s">
        <v>27</v>
      </c>
      <c r="C135" s="93">
        <v>0</v>
      </c>
      <c r="D135" s="93">
        <v>138</v>
      </c>
      <c r="E135" s="97">
        <v>42</v>
      </c>
      <c r="F135" s="93">
        <f t="shared" si="31"/>
        <v>413.08800000000002</v>
      </c>
      <c r="G135" s="93">
        <f t="shared" si="32"/>
        <v>0</v>
      </c>
      <c r="H135" s="285">
        <f t="shared" si="33"/>
        <v>0.69565217391304357</v>
      </c>
      <c r="I135" s="93"/>
      <c r="J135" s="93"/>
      <c r="K135" s="93">
        <f t="shared" si="34"/>
        <v>0.1</v>
      </c>
    </row>
    <row r="136" spans="1:11">
      <c r="B136" s="93" t="s">
        <v>27</v>
      </c>
      <c r="C136" s="93">
        <v>0</v>
      </c>
      <c r="D136" s="93">
        <v>295</v>
      </c>
      <c r="E136" s="97">
        <v>42</v>
      </c>
      <c r="F136" s="93">
        <f t="shared" si="31"/>
        <v>1088.6590000000001</v>
      </c>
      <c r="G136" s="93">
        <f t="shared" si="32"/>
        <v>0</v>
      </c>
      <c r="H136" s="285">
        <f t="shared" si="33"/>
        <v>0.85762711864406793</v>
      </c>
      <c r="I136" s="93"/>
      <c r="J136" s="93"/>
      <c r="K136" s="93">
        <f t="shared" si="34"/>
        <v>0.1</v>
      </c>
    </row>
    <row r="137" spans="1:11">
      <c r="B137" s="93" t="s">
        <v>27</v>
      </c>
      <c r="C137" s="93">
        <v>0</v>
      </c>
      <c r="D137" s="93">
        <v>465</v>
      </c>
      <c r="E137" s="97">
        <v>42</v>
      </c>
      <c r="F137" s="93">
        <f t="shared" si="31"/>
        <v>1820.1690000000001</v>
      </c>
      <c r="G137" s="93">
        <f t="shared" si="32"/>
        <v>0</v>
      </c>
      <c r="H137" s="285">
        <f t="shared" si="33"/>
        <v>0.90967741935483881</v>
      </c>
      <c r="I137" s="93"/>
      <c r="J137" s="93"/>
      <c r="K137" s="93">
        <f t="shared" si="34"/>
        <v>0.1</v>
      </c>
    </row>
    <row r="138" spans="1:11">
      <c r="B138" s="93" t="s">
        <v>1045</v>
      </c>
      <c r="C138" s="93">
        <v>0</v>
      </c>
      <c r="D138" s="93">
        <v>66</v>
      </c>
      <c r="E138" s="97">
        <v>42</v>
      </c>
      <c r="F138" s="93">
        <f t="shared" si="31"/>
        <v>210.24</v>
      </c>
      <c r="G138" s="93">
        <f t="shared" si="32"/>
        <v>2.4E-2</v>
      </c>
      <c r="H138" s="285">
        <f t="shared" si="33"/>
        <v>0.36363636363636365</v>
      </c>
      <c r="I138" s="93"/>
      <c r="J138" s="93"/>
      <c r="K138" s="93">
        <f t="shared" si="34"/>
        <v>0.1</v>
      </c>
    </row>
    <row r="139" spans="1:11">
      <c r="B139" s="93" t="s">
        <v>1045</v>
      </c>
      <c r="C139" s="93">
        <v>0</v>
      </c>
      <c r="D139" s="93">
        <v>138</v>
      </c>
      <c r="E139" s="97">
        <v>42</v>
      </c>
      <c r="F139" s="93">
        <f t="shared" si="31"/>
        <v>840.96</v>
      </c>
      <c r="G139" s="93">
        <f t="shared" si="32"/>
        <v>9.6000000000000002E-2</v>
      </c>
      <c r="H139" s="285">
        <f t="shared" si="33"/>
        <v>0.69565217391304346</v>
      </c>
      <c r="I139" s="93"/>
      <c r="J139" s="93"/>
      <c r="K139" s="93">
        <f t="shared" si="34"/>
        <v>0.1</v>
      </c>
    </row>
    <row r="140" spans="1:11">
      <c r="B140" s="93" t="s">
        <v>1045</v>
      </c>
      <c r="C140" s="93">
        <v>0</v>
      </c>
      <c r="D140" s="93">
        <v>138</v>
      </c>
      <c r="E140" s="97">
        <v>42</v>
      </c>
      <c r="F140" s="93">
        <f t="shared" si="31"/>
        <v>840.96</v>
      </c>
      <c r="G140" s="93">
        <f t="shared" si="32"/>
        <v>9.6000000000000002E-2</v>
      </c>
      <c r="H140" s="285">
        <f t="shared" si="33"/>
        <v>0.69565217391304346</v>
      </c>
      <c r="I140" s="93"/>
      <c r="J140" s="93"/>
      <c r="K140" s="93">
        <f t="shared" si="34"/>
        <v>0.1</v>
      </c>
    </row>
    <row r="141" spans="1:11">
      <c r="B141" s="93" t="s">
        <v>1045</v>
      </c>
      <c r="C141" s="93">
        <v>0</v>
      </c>
      <c r="D141" s="93">
        <v>295</v>
      </c>
      <c r="E141" s="97">
        <v>42</v>
      </c>
      <c r="F141" s="93">
        <f t="shared" si="31"/>
        <v>2216.2800000000002</v>
      </c>
      <c r="G141" s="93">
        <f t="shared" si="32"/>
        <v>0.253</v>
      </c>
      <c r="H141" s="285">
        <f t="shared" si="33"/>
        <v>0.85762711864406793</v>
      </c>
      <c r="I141" s="93"/>
      <c r="J141" s="93"/>
      <c r="K141" s="93">
        <f t="shared" si="34"/>
        <v>0.1</v>
      </c>
    </row>
    <row r="142" spans="1:11">
      <c r="B142" s="93" t="s">
        <v>1045</v>
      </c>
      <c r="C142" s="93">
        <v>0</v>
      </c>
      <c r="D142" s="93">
        <v>465</v>
      </c>
      <c r="E142" s="97">
        <v>42</v>
      </c>
      <c r="F142" s="93">
        <f t="shared" si="31"/>
        <v>3705.48</v>
      </c>
      <c r="G142" s="93">
        <f t="shared" si="32"/>
        <v>0.42299999999999999</v>
      </c>
      <c r="H142" s="285">
        <f t="shared" si="33"/>
        <v>0.9096774193548387</v>
      </c>
      <c r="I142" s="93"/>
      <c r="J142" s="93"/>
      <c r="K142" s="93">
        <f t="shared" si="34"/>
        <v>0.1</v>
      </c>
    </row>
    <row r="143" spans="1:11">
      <c r="B143" s="7" t="s">
        <v>0</v>
      </c>
      <c r="C143" s="7"/>
      <c r="D143" s="7"/>
      <c r="E143" s="7"/>
      <c r="F143" s="7">
        <f>SUMPRODUCT(F133:F142,$K$133:$K$142)</f>
        <v>1165.2196000000001</v>
      </c>
      <c r="G143" s="7">
        <f>SUMPRODUCT(G133:G142,$K$133:$K$142)</f>
        <v>8.9200000000000002E-2</v>
      </c>
      <c r="H143" s="7">
        <f>SUMPRODUCT(H133:H142,$K$133:$K$142)</f>
        <v>0.70444904989227153</v>
      </c>
      <c r="I143" s="7">
        <f>SUMPRODUCT(I133:I142,$K$133:$K$142)</f>
        <v>0</v>
      </c>
      <c r="J143" s="7">
        <f>SUMPRODUCT(J133:J142,$K$133:$K$142)</f>
        <v>0</v>
      </c>
      <c r="K143" s="93"/>
    </row>
    <row r="145" spans="1:14">
      <c r="A145" s="1" t="s">
        <v>1056</v>
      </c>
      <c r="B145" s="94" t="s">
        <v>1055</v>
      </c>
      <c r="C145" s="94" t="s">
        <v>1054</v>
      </c>
      <c r="D145" s="94" t="s">
        <v>1053</v>
      </c>
      <c r="E145" s="94" t="s">
        <v>1052</v>
      </c>
      <c r="F145" s="94" t="s">
        <v>1051</v>
      </c>
      <c r="G145" s="94" t="s">
        <v>1050</v>
      </c>
      <c r="H145" s="94" t="s">
        <v>1049</v>
      </c>
      <c r="I145" s="94" t="s">
        <v>1048</v>
      </c>
      <c r="J145" s="94" t="s">
        <v>1047</v>
      </c>
      <c r="K145" s="94" t="s">
        <v>1046</v>
      </c>
      <c r="L145" s="94" t="s">
        <v>9</v>
      </c>
      <c r="M145" s="94" t="s">
        <v>8</v>
      </c>
      <c r="N145" s="94" t="s">
        <v>7</v>
      </c>
    </row>
    <row r="146" spans="1:14">
      <c r="B146" s="93" t="s">
        <v>27</v>
      </c>
      <c r="C146" s="93">
        <v>125</v>
      </c>
      <c r="D146" s="93">
        <v>66</v>
      </c>
      <c r="E146" s="97">
        <v>42</v>
      </c>
      <c r="F146" s="93">
        <f t="shared" ref="F146:F155" si="35">(C146-E146)*VLOOKUP(B146,$B$126:$D$128,2,FALSE)/1000</f>
        <v>357.149</v>
      </c>
      <c r="G146" s="93">
        <f t="shared" ref="G146:G155" si="36">(C146-E146)*VLOOKUP(B146,$B$126:$D$128,3,FALSE)/1000</f>
        <v>0</v>
      </c>
      <c r="H146" s="285">
        <f t="shared" ref="H146:H155" si="37">((C146-E146)*VLOOKUP(B146,$B$126:$D$128,2,FALSE)/1000)/(C146*VLOOKUP(B146,$B$126:$D$128,2,FALSE)/1000)</f>
        <v>0.66400000000000003</v>
      </c>
      <c r="I146" s="93">
        <f t="shared" ref="I146:I155" si="38">(D146-E146)*VLOOKUP(B146,$B$126:$D$128,2,FALSE)/1000</f>
        <v>103.27200000000001</v>
      </c>
      <c r="J146" s="93">
        <f t="shared" ref="J146:J155" si="39">(D146-E146)*VLOOKUP(B146,$B$126:$D$128,3,FALSE)/1000</f>
        <v>0</v>
      </c>
      <c r="K146" s="285">
        <f t="shared" ref="K146:K155" si="40">((D146-E146)*VLOOKUP(B146,$B$126:$D$128,2,FALSE)/1000)/(D146*VLOOKUP(B146,$B$126:$D$128,2,FALSE)/1000)</f>
        <v>0.36363636363636365</v>
      </c>
      <c r="L146" s="93"/>
      <c r="M146" s="93"/>
      <c r="N146" s="93">
        <f>1/COUNT($E$133:$E$142)</f>
        <v>0.1</v>
      </c>
    </row>
    <row r="147" spans="1:14">
      <c r="B147" s="93" t="s">
        <v>27</v>
      </c>
      <c r="C147" s="93">
        <v>205</v>
      </c>
      <c r="D147" s="93">
        <v>138</v>
      </c>
      <c r="E147" s="97">
        <v>42</v>
      </c>
      <c r="F147" s="93">
        <f t="shared" si="35"/>
        <v>701.38900000000001</v>
      </c>
      <c r="G147" s="93">
        <f t="shared" si="36"/>
        <v>0</v>
      </c>
      <c r="H147" s="285">
        <f t="shared" si="37"/>
        <v>0.79512195121951224</v>
      </c>
      <c r="I147" s="93">
        <f t="shared" si="38"/>
        <v>413.08800000000002</v>
      </c>
      <c r="J147" s="93">
        <f t="shared" si="39"/>
        <v>0</v>
      </c>
      <c r="K147" s="285">
        <f t="shared" si="40"/>
        <v>0.69565217391304357</v>
      </c>
      <c r="L147" s="93"/>
      <c r="M147" s="93"/>
      <c r="N147" s="93">
        <f t="shared" ref="N147:N155" si="41">1/COUNT($E$133:$E$142)</f>
        <v>0.1</v>
      </c>
    </row>
    <row r="148" spans="1:14">
      <c r="B148" s="93" t="s">
        <v>27</v>
      </c>
      <c r="C148" s="93">
        <v>290</v>
      </c>
      <c r="D148" s="93">
        <v>138</v>
      </c>
      <c r="E148" s="97">
        <v>42</v>
      </c>
      <c r="F148" s="93">
        <f t="shared" si="35"/>
        <v>1067.144</v>
      </c>
      <c r="G148" s="93">
        <f t="shared" si="36"/>
        <v>0</v>
      </c>
      <c r="H148" s="285">
        <f t="shared" si="37"/>
        <v>0.85517241379310349</v>
      </c>
      <c r="I148" s="93">
        <f t="shared" si="38"/>
        <v>413.08800000000002</v>
      </c>
      <c r="J148" s="93">
        <f t="shared" si="39"/>
        <v>0</v>
      </c>
      <c r="K148" s="285">
        <f t="shared" si="40"/>
        <v>0.69565217391304357</v>
      </c>
      <c r="L148" s="93"/>
      <c r="M148" s="93"/>
      <c r="N148" s="93">
        <f t="shared" si="41"/>
        <v>0.1</v>
      </c>
    </row>
    <row r="149" spans="1:14">
      <c r="B149" s="93" t="s">
        <v>27</v>
      </c>
      <c r="C149" s="93">
        <v>455</v>
      </c>
      <c r="D149" s="93">
        <v>295</v>
      </c>
      <c r="E149" s="97">
        <v>42</v>
      </c>
      <c r="F149" s="93">
        <f t="shared" si="35"/>
        <v>1777.1389999999999</v>
      </c>
      <c r="G149" s="93">
        <f t="shared" si="36"/>
        <v>0</v>
      </c>
      <c r="H149" s="285">
        <f t="shared" si="37"/>
        <v>0.90769230769230769</v>
      </c>
      <c r="I149" s="93">
        <f t="shared" si="38"/>
        <v>1088.6590000000001</v>
      </c>
      <c r="J149" s="93">
        <f t="shared" si="39"/>
        <v>0</v>
      </c>
      <c r="K149" s="285">
        <f t="shared" si="40"/>
        <v>0.85762711864406793</v>
      </c>
      <c r="L149" s="93"/>
      <c r="M149" s="93"/>
      <c r="N149" s="93">
        <f t="shared" si="41"/>
        <v>0.1</v>
      </c>
    </row>
    <row r="150" spans="1:14">
      <c r="B150" s="93" t="s">
        <v>27</v>
      </c>
      <c r="C150" s="93">
        <v>1075</v>
      </c>
      <c r="D150" s="93">
        <v>465</v>
      </c>
      <c r="E150" s="97">
        <v>42</v>
      </c>
      <c r="F150" s="93">
        <f t="shared" si="35"/>
        <v>4444.9989999999998</v>
      </c>
      <c r="G150" s="93">
        <f t="shared" si="36"/>
        <v>0</v>
      </c>
      <c r="H150" s="285">
        <f t="shared" si="37"/>
        <v>0.96093023255813936</v>
      </c>
      <c r="I150" s="93">
        <f t="shared" si="38"/>
        <v>1820.1690000000001</v>
      </c>
      <c r="J150" s="93">
        <f t="shared" si="39"/>
        <v>0</v>
      </c>
      <c r="K150" s="285">
        <f t="shared" si="40"/>
        <v>0.90967741935483881</v>
      </c>
      <c r="L150" s="93"/>
      <c r="M150" s="93"/>
      <c r="N150" s="93">
        <f t="shared" si="41"/>
        <v>0.1</v>
      </c>
    </row>
    <row r="151" spans="1:14">
      <c r="B151" s="93" t="s">
        <v>1045</v>
      </c>
      <c r="C151" s="93">
        <v>125</v>
      </c>
      <c r="D151" s="93">
        <v>66</v>
      </c>
      <c r="E151" s="97">
        <v>42</v>
      </c>
      <c r="F151" s="93">
        <f t="shared" si="35"/>
        <v>727.08</v>
      </c>
      <c r="G151" s="93">
        <f t="shared" si="36"/>
        <v>8.3000000000000004E-2</v>
      </c>
      <c r="H151" s="285">
        <f t="shared" si="37"/>
        <v>0.66400000000000003</v>
      </c>
      <c r="I151" s="93">
        <f t="shared" si="38"/>
        <v>210.24</v>
      </c>
      <c r="J151" s="93">
        <f t="shared" si="39"/>
        <v>2.4E-2</v>
      </c>
      <c r="K151" s="285">
        <f t="shared" si="40"/>
        <v>0.36363636363636365</v>
      </c>
      <c r="L151" s="93"/>
      <c r="M151" s="93"/>
      <c r="N151" s="93">
        <f t="shared" si="41"/>
        <v>0.1</v>
      </c>
    </row>
    <row r="152" spans="1:14">
      <c r="B152" s="93" t="s">
        <v>1045</v>
      </c>
      <c r="C152" s="93">
        <v>205</v>
      </c>
      <c r="D152" s="93">
        <v>138</v>
      </c>
      <c r="E152" s="97">
        <v>42</v>
      </c>
      <c r="F152" s="93">
        <f t="shared" si="35"/>
        <v>1427.88</v>
      </c>
      <c r="G152" s="93">
        <f t="shared" si="36"/>
        <v>0.16300000000000001</v>
      </c>
      <c r="H152" s="285">
        <f t="shared" si="37"/>
        <v>0.79512195121951224</v>
      </c>
      <c r="I152" s="93">
        <f t="shared" si="38"/>
        <v>840.96</v>
      </c>
      <c r="J152" s="93">
        <f t="shared" si="39"/>
        <v>9.6000000000000002E-2</v>
      </c>
      <c r="K152" s="285">
        <f t="shared" si="40"/>
        <v>0.69565217391304346</v>
      </c>
      <c r="L152" s="93"/>
      <c r="M152" s="93"/>
      <c r="N152" s="93">
        <f t="shared" si="41"/>
        <v>0.1</v>
      </c>
    </row>
    <row r="153" spans="1:14">
      <c r="B153" s="93" t="s">
        <v>1045</v>
      </c>
      <c r="C153" s="93">
        <v>290</v>
      </c>
      <c r="D153" s="93">
        <v>138</v>
      </c>
      <c r="E153" s="97">
        <v>42</v>
      </c>
      <c r="F153" s="93">
        <f t="shared" si="35"/>
        <v>2172.48</v>
      </c>
      <c r="G153" s="93">
        <f t="shared" si="36"/>
        <v>0.248</v>
      </c>
      <c r="H153" s="285">
        <f t="shared" si="37"/>
        <v>0.85517241379310338</v>
      </c>
      <c r="I153" s="93">
        <f t="shared" si="38"/>
        <v>840.96</v>
      </c>
      <c r="J153" s="93">
        <f t="shared" si="39"/>
        <v>9.6000000000000002E-2</v>
      </c>
      <c r="K153" s="285">
        <f t="shared" si="40"/>
        <v>0.69565217391304346</v>
      </c>
      <c r="L153" s="93"/>
      <c r="M153" s="93"/>
      <c r="N153" s="93">
        <f t="shared" si="41"/>
        <v>0.1</v>
      </c>
    </row>
    <row r="154" spans="1:14">
      <c r="B154" s="93" t="s">
        <v>1045</v>
      </c>
      <c r="C154" s="93">
        <v>455</v>
      </c>
      <c r="D154" s="93">
        <v>295</v>
      </c>
      <c r="E154" s="97">
        <v>42</v>
      </c>
      <c r="F154" s="93">
        <f t="shared" si="35"/>
        <v>3617.88</v>
      </c>
      <c r="G154" s="93">
        <f t="shared" si="36"/>
        <v>0.41299999999999998</v>
      </c>
      <c r="H154" s="285">
        <f t="shared" si="37"/>
        <v>0.90769230769230769</v>
      </c>
      <c r="I154" s="93">
        <f t="shared" si="38"/>
        <v>2216.2800000000002</v>
      </c>
      <c r="J154" s="93">
        <f t="shared" si="39"/>
        <v>0.253</v>
      </c>
      <c r="K154" s="285">
        <f t="shared" si="40"/>
        <v>0.85762711864406793</v>
      </c>
      <c r="L154" s="93"/>
      <c r="M154" s="93"/>
      <c r="N154" s="93">
        <f t="shared" si="41"/>
        <v>0.1</v>
      </c>
    </row>
    <row r="155" spans="1:14">
      <c r="B155" s="93" t="s">
        <v>1045</v>
      </c>
      <c r="C155" s="93">
        <v>1075</v>
      </c>
      <c r="D155" s="93">
        <v>465</v>
      </c>
      <c r="E155" s="97">
        <v>42</v>
      </c>
      <c r="F155" s="93">
        <f t="shared" si="35"/>
        <v>9049.08</v>
      </c>
      <c r="G155" s="93">
        <f t="shared" si="36"/>
        <v>1.0329999999999999</v>
      </c>
      <c r="H155" s="285">
        <f t="shared" si="37"/>
        <v>0.96093023255813947</v>
      </c>
      <c r="I155" s="93">
        <f t="shared" si="38"/>
        <v>3705.48</v>
      </c>
      <c r="J155" s="93">
        <f t="shared" si="39"/>
        <v>0.42299999999999999</v>
      </c>
      <c r="K155" s="285">
        <f t="shared" si="40"/>
        <v>0.9096774193548387</v>
      </c>
      <c r="L155" s="93"/>
      <c r="M155" s="93"/>
      <c r="N155" s="93">
        <f t="shared" si="41"/>
        <v>0.1</v>
      </c>
    </row>
    <row r="156" spans="1:14">
      <c r="B156" s="7" t="s">
        <v>0</v>
      </c>
      <c r="C156" s="7"/>
      <c r="D156" s="7"/>
      <c r="E156" s="7"/>
      <c r="F156" s="7">
        <f>SUMPRODUCT(F146:F155,$K$133:$K$142)</f>
        <v>2534.2220000000002</v>
      </c>
      <c r="G156" s="7">
        <f t="shared" ref="G156:M156" si="42">SUMPRODUCT(G146:G155,$K$133:$K$142)</f>
        <v>0.19400000000000001</v>
      </c>
      <c r="H156" s="7">
        <f t="shared" si="42"/>
        <v>0.83658338105261265</v>
      </c>
      <c r="I156" s="7">
        <f t="shared" si="42"/>
        <v>1165.2196000000001</v>
      </c>
      <c r="J156" s="7">
        <f t="shared" si="42"/>
        <v>8.9200000000000002E-2</v>
      </c>
      <c r="K156" s="7">
        <f t="shared" si="42"/>
        <v>0.70444904989227153</v>
      </c>
      <c r="L156" s="7">
        <f t="shared" si="42"/>
        <v>0</v>
      </c>
      <c r="M156" s="7">
        <f t="shared" si="42"/>
        <v>0</v>
      </c>
    </row>
  </sheetData>
  <dataValidations count="5">
    <dataValidation type="list" allowBlank="1" showInputMessage="1" showErrorMessage="1" sqref="C59:L59" xr:uid="{00000000-0002-0000-8000-000004000000}">
      <formula1>$N$19:$AQ$19</formula1>
    </dataValidation>
    <dataValidation type="list" allowBlank="1" showInputMessage="1" showErrorMessage="1" sqref="E11:E20" xr:uid="{00000000-0002-0000-8000-000003000000}">
      <formula1>$N$16:$O$16</formula1>
    </dataValidation>
    <dataValidation type="list" allowBlank="1" showInputMessage="1" showErrorMessage="1" sqref="D11:D20" xr:uid="{00000000-0002-0000-8000-000002000000}">
      <formula1>$N$22:$AE$22</formula1>
    </dataValidation>
    <dataValidation type="list" allowBlank="1" showInputMessage="1" showErrorMessage="1" sqref="B11:C20" xr:uid="{00000000-0002-0000-8000-000001000000}">
      <formula1>$N$7:$Q$7</formula1>
    </dataValidation>
    <dataValidation type="list" allowBlank="1" showInputMessage="1" showErrorMessage="1" sqref="D7" xr:uid="{00000000-0002-0000-8000-000000000000}">
      <formula1>$N$11:$O$11</formula1>
    </dataValidation>
  </dataValidations>
  <pageMargins left="0.7" right="0.7" top="0.75" bottom="0.75" header="0.3" footer="0.3"/>
  <pageSetup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021A-65C9-4257-B6D9-F4F8C6F36753}">
  <sheetPr codeName="Sheet116">
    <tabColor indexed="13"/>
  </sheetPr>
  <dimension ref="A1:AQ131"/>
  <sheetViews>
    <sheetView zoomScale="90" zoomScaleNormal="90" workbookViewId="0">
      <selection activeCell="C57" sqref="C57:C58"/>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LED Exit Signs</v>
      </c>
      <c r="C7" s="97" t="s">
        <v>1095</v>
      </c>
      <c r="D7" s="97" t="s">
        <v>211</v>
      </c>
      <c r="E7" s="97">
        <f>C116</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LED Exit Signs_CI, E - IntL [No Heat] (RET)</v>
      </c>
      <c r="J11" s="83" t="str">
        <f t="shared" ref="J11:J20" si="3">IF(B11="","",CONCATENATE($C$7,IF(C11="","",CONCATENATE(" with ",C11," Secondary Fuel"))))</f>
        <v>Commercial LED Exit Signs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LED Exit Signs_CI, E - IntL [No Heat] (RET)</v>
      </c>
      <c r="D33" s="83"/>
      <c r="E33" s="83"/>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Exit Signs_CI, E - IntL [No Heat] (RET)</v>
      </c>
      <c r="N33" s="84">
        <f t="shared" si="6"/>
        <v>0</v>
      </c>
      <c r="O33" s="84">
        <f t="shared" si="6"/>
        <v>0</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LED Exit Signs</v>
      </c>
      <c r="D34" s="83"/>
      <c r="E34" s="83"/>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v>
      </c>
      <c r="O34" s="64" t="str">
        <f t="shared"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LED Exit Signs_CI, E - IntL [No Heat] (RET)</v>
      </c>
      <c r="D35" s="65"/>
      <c r="E35" s="65"/>
      <c r="F35" s="65"/>
      <c r="G35" s="65"/>
      <c r="H35" s="65"/>
      <c r="I35" s="65"/>
      <c r="J35" s="65"/>
      <c r="K35" s="65"/>
      <c r="L35" s="65"/>
      <c r="M35" s="64" t="str">
        <f t="shared" ca="1" si="9"/>
        <v>-</v>
      </c>
      <c r="N35" s="64" t="str">
        <f t="shared" si="9"/>
        <v>-</v>
      </c>
      <c r="O35" s="64" t="str">
        <f t="shared"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Commercial LED Exit Signs</v>
      </c>
      <c r="D36" s="65"/>
      <c r="E36" s="65"/>
      <c r="F36" s="65"/>
      <c r="G36" s="65"/>
      <c r="H36" s="65"/>
      <c r="I36" s="65"/>
      <c r="J36" s="65"/>
      <c r="K36" s="65"/>
      <c r="L36" s="65"/>
      <c r="M36" s="64" t="str">
        <f t="shared" ca="1" si="9"/>
        <v>-</v>
      </c>
      <c r="N36" s="64" t="str">
        <f t="shared" si="9"/>
        <v>-</v>
      </c>
      <c r="O36" s="64" t="str">
        <f t="shared"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v>
      </c>
      <c r="O37" s="64" t="str">
        <f t="shared"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v>
      </c>
      <c r="O38" s="64" t="str">
        <f t="shared"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1">IF(VLOOKUP(C$31,$A$11:$K$20,2,FALSE)="","",IF($E$7="","",$E$7))</f>
        <v>5</v>
      </c>
      <c r="D39" s="407"/>
      <c r="E39" s="407"/>
      <c r="F39" s="407" t="str">
        <f t="shared" si="11"/>
        <v/>
      </c>
      <c r="G39" s="407" t="str">
        <f t="shared" si="11"/>
        <v/>
      </c>
      <c r="H39" s="407" t="str">
        <f t="shared" si="11"/>
        <v/>
      </c>
      <c r="I39" s="407" t="str">
        <f t="shared" si="11"/>
        <v/>
      </c>
      <c r="J39" s="407" t="str">
        <f t="shared" si="11"/>
        <v/>
      </c>
      <c r="K39" s="407" t="str">
        <f t="shared" si="11"/>
        <v/>
      </c>
      <c r="L39" s="407" t="str">
        <f t="shared" si="11"/>
        <v/>
      </c>
      <c r="M39" s="64" t="str">
        <f t="shared" ca="1" si="9"/>
        <v>-</v>
      </c>
      <c r="N39" s="64" t="str">
        <f t="shared" si="9"/>
        <v>-</v>
      </c>
      <c r="O39" s="64" t="str">
        <f t="shared"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v>
      </c>
      <c r="O40" s="64" t="str">
        <f t="shared"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2">IF(IF(VLOOKUP(C$31,$A$11:$K$20,2,FALSE)="","",HLOOKUP(VLOOKUP(C$31,$A$11:$K$20,2,FALSE),$N$7:$Q$8,2,FALSE))="P", "Prp", IF(VLOOKUP(C$31,$A$11:$K$20,2,FALSE)="","",HLOOKUP(VLOOKUP(C$31,$A$11:$K$20,2,FALSE),$N$7:$Q$8,2,FALSE)))</f>
        <v>E</v>
      </c>
      <c r="D41" s="401"/>
      <c r="E41" s="401"/>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si="9"/>
        <v>-</v>
      </c>
      <c r="O41" s="64" t="str">
        <f t="shared"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3">IF(IF(VLOOKUP(C$31,$A$11:$K$20,3,FALSE)="","",HLOOKUP(VLOOKUP(C$31,$A$11:$K$20,3,FALSE),$N$7:$Q$8,2,FALSE))="P", "Prp", IF(VLOOKUP(C$31,$A$11:$K$20,3,FALSE)="","",HLOOKUP(VLOOKUP(C$31,$A$11:$K$20,3,FALSE),$N$7:$Q$8,2,FALSE)))</f>
        <v/>
      </c>
      <c r="D42" s="401"/>
      <c r="E42" s="401"/>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si="9"/>
        <v>-</v>
      </c>
      <c r="O42" s="64" t="str">
        <f t="shared"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4">IF(VLOOKUP(C$31,$A$11:$K$20,4,FALSE)="","",VLOOKUP(C$31,$A$11:$K$20,4,FALSE))</f>
        <v>Interior Lighting</v>
      </c>
      <c r="D43" s="401"/>
      <c r="E43" s="401"/>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si="9"/>
        <v>-</v>
      </c>
      <c r="O43" s="64" t="str">
        <f t="shared"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5">IF(M$33="","","-")</f>
        <v>-</v>
      </c>
      <c r="N44" s="64" t="str">
        <f t="shared" si="15"/>
        <v>-</v>
      </c>
      <c r="O44" s="64" t="str">
        <f t="shared"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v>
      </c>
      <c r="O45" s="64" t="str">
        <f t="shared"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v>
      </c>
      <c r="O46" s="64" t="str">
        <f t="shared"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v>
      </c>
      <c r="O47" s="64" t="str">
        <f t="shared"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v>
      </c>
      <c r="O48" s="64" t="str">
        <f t="shared"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v>
      </c>
      <c r="O49" s="64" t="str">
        <f t="shared"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v>
      </c>
      <c r="O50" s="64" t="str">
        <f t="shared"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v>
      </c>
      <c r="O51" s="64" t="str">
        <f t="shared"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LED Exit Signs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v>
      </c>
      <c r="O52" s="64" t="str">
        <f t="shared"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v>
      </c>
      <c r="O53" s="64" t="str">
        <f t="shared"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v>
      </c>
      <c r="O54" s="64" t="str">
        <f t="shared"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1091</v>
      </c>
      <c r="D55" s="65"/>
      <c r="E55" s="65"/>
      <c r="F55" s="65"/>
      <c r="G55" s="65"/>
      <c r="H55" s="65"/>
      <c r="I55" s="65"/>
      <c r="J55" s="65"/>
      <c r="K55" s="65"/>
      <c r="L55" s="65"/>
      <c r="M55" s="64" t="str">
        <f t="shared" ca="1" si="18"/>
        <v>-</v>
      </c>
      <c r="N55" s="64" t="str">
        <f t="shared" si="18"/>
        <v>-</v>
      </c>
      <c r="O55" s="64" t="str">
        <f t="shared"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1090</v>
      </c>
      <c r="D56" s="65"/>
      <c r="E56" s="65"/>
      <c r="F56" s="65"/>
      <c r="G56" s="65"/>
      <c r="H56" s="65"/>
      <c r="I56" s="65"/>
      <c r="J56" s="65"/>
      <c r="K56" s="65"/>
      <c r="L56" s="65"/>
      <c r="M56" s="64" t="str">
        <f t="shared" ca="1" si="18"/>
        <v>-</v>
      </c>
      <c r="N56" s="64" t="str">
        <f t="shared" si="18"/>
        <v>-</v>
      </c>
      <c r="O56" s="64" t="str">
        <f t="shared"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v>
      </c>
      <c r="O57" s="64" t="str">
        <f t="shared"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v>
      </c>
      <c r="O58" s="64" t="str">
        <f t="shared"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c r="E59" s="82"/>
      <c r="F59" s="82"/>
      <c r="G59" s="82"/>
      <c r="H59" s="65"/>
      <c r="I59" s="65"/>
      <c r="J59" s="65"/>
      <c r="K59" s="65"/>
      <c r="L59" s="65"/>
      <c r="M59" s="64" t="str">
        <f t="shared" ca="1" si="18"/>
        <v>-</v>
      </c>
      <c r="N59" s="64" t="str">
        <f t="shared" si="18"/>
        <v>-</v>
      </c>
      <c r="O59" s="64" t="str">
        <f t="shared"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v>
      </c>
      <c r="O60" s="64" t="str">
        <f t="shared"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v>
      </c>
      <c r="O61" s="64" t="str">
        <f t="shared"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v>
      </c>
      <c r="O62" s="64" t="str">
        <f t="shared"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v>
      </c>
      <c r="O63" s="64" t="str">
        <f t="shared"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E131</f>
        <v>125.44146000000002</v>
      </c>
      <c r="D64" s="67"/>
      <c r="E64" s="67"/>
      <c r="F64" s="67"/>
      <c r="G64" s="65"/>
      <c r="H64" s="65"/>
      <c r="I64" s="65"/>
      <c r="J64" s="65"/>
      <c r="K64" s="65"/>
      <c r="L64" s="65"/>
      <c r="M64" s="64" t="str">
        <f t="shared" ca="1" si="18"/>
        <v>-</v>
      </c>
      <c r="N64" s="64" t="str">
        <f t="shared" si="18"/>
        <v>-</v>
      </c>
      <c r="O64" s="64" t="str">
        <f t="shared"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406">
        <f>G131</f>
        <v>0.77142857142857146</v>
      </c>
      <c r="D65" s="406"/>
      <c r="E65" s="406"/>
      <c r="F65" s="406"/>
      <c r="G65" s="406"/>
      <c r="H65" s="65"/>
      <c r="I65" s="65"/>
      <c r="J65" s="65"/>
      <c r="K65" s="65"/>
      <c r="L65" s="65"/>
      <c r="M65" s="279" t="s">
        <v>1089</v>
      </c>
      <c r="N65" s="279" t="s">
        <v>1089</v>
      </c>
      <c r="O65" s="279" t="s">
        <v>1089</v>
      </c>
      <c r="P65" s="69" t="str">
        <f t="shared" ref="P65:V74" si="19">IF(P$33="","","-")</f>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O68" ca="1" si="21">IF(M$33="","","-")</f>
        <v>-</v>
      </c>
      <c r="N66" s="64" t="str">
        <f t="shared" si="21"/>
        <v>-</v>
      </c>
      <c r="O66" s="64" t="str">
        <f t="shared" si="21"/>
        <v>-</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si="21"/>
        <v>-</v>
      </c>
      <c r="O67" s="64" t="str">
        <f t="shared" si="21"/>
        <v>-</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C115</f>
        <v>32.5</v>
      </c>
      <c r="D68" s="71"/>
      <c r="E68" s="71"/>
      <c r="F68" s="71"/>
      <c r="G68" s="65"/>
      <c r="H68" s="65"/>
      <c r="I68" s="65"/>
      <c r="J68" s="65"/>
      <c r="K68" s="65"/>
      <c r="L68" s="65"/>
      <c r="M68" s="64" t="str">
        <f t="shared" ca="1" si="21"/>
        <v>-</v>
      </c>
      <c r="N68" s="64" t="str">
        <f t="shared" si="21"/>
        <v>-</v>
      </c>
      <c r="O68" s="64" t="str">
        <f t="shared" si="21"/>
        <v>-</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405">
        <f>I131</f>
        <v>0.4551161602078021</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O89" ca="1" si="22">IF(M$33="","","-")</f>
        <v>-</v>
      </c>
      <c r="N70" s="64" t="str">
        <f t="shared" si="22"/>
        <v>-</v>
      </c>
      <c r="O70" s="64" t="str">
        <f t="shared" si="22"/>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Commercial LED Exit Signs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v>
      </c>
      <c r="O71" s="64" t="str">
        <f t="shared" si="22"/>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22"/>
        <v>-</v>
      </c>
      <c r="O72" s="64" t="str">
        <f t="shared" si="22"/>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404"/>
      <c r="D73" s="404"/>
      <c r="E73" s="404"/>
      <c r="F73" s="403"/>
      <c r="G73" s="403"/>
      <c r="H73" s="65"/>
      <c r="I73" s="65"/>
      <c r="J73" s="65"/>
      <c r="K73" s="65"/>
      <c r="L73" s="65"/>
      <c r="M73" s="64" t="str">
        <f t="shared" ca="1" si="22"/>
        <v>-</v>
      </c>
      <c r="N73" s="64" t="str">
        <f t="shared" si="22"/>
        <v>-</v>
      </c>
      <c r="O73" s="64" t="str">
        <f t="shared" si="22"/>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22"/>
        <v>-</v>
      </c>
      <c r="O74" s="64" t="str">
        <f t="shared" si="22"/>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si="22"/>
        <v>-</v>
      </c>
      <c r="O75" s="64" t="str">
        <f t="shared" si="22"/>
        <v>-</v>
      </c>
      <c r="P75" s="64" t="str">
        <f t="shared" ref="P75:V84" si="24">IF(P$33="","","-")</f>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2"/>
        <v>-</v>
      </c>
      <c r="O76" s="64" t="str">
        <f t="shared" si="22"/>
        <v>-</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2"/>
        <v>-</v>
      </c>
      <c r="O77" s="64" t="str">
        <f t="shared" si="22"/>
        <v>-</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2"/>
        <v>-</v>
      </c>
      <c r="O78" s="64" t="str">
        <f t="shared" si="22"/>
        <v>-</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2"/>
        <v>-</v>
      </c>
      <c r="O79" s="64" t="str">
        <f t="shared" si="22"/>
        <v>-</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2"/>
        <v>-</v>
      </c>
      <c r="O80" s="64" t="str">
        <f t="shared" si="22"/>
        <v>-</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2"/>
        <v>-</v>
      </c>
      <c r="O81" s="64" t="str">
        <f t="shared" si="22"/>
        <v>-</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t="str">
        <f t="shared" ref="C82:L82" si="25">C71</f>
        <v>Commercial LED Exit Signs</v>
      </c>
      <c r="D82" s="66" t="str">
        <f t="shared" si="25"/>
        <v/>
      </c>
      <c r="E82" s="66" t="str">
        <f t="shared" si="25"/>
        <v/>
      </c>
      <c r="F82" s="66" t="str">
        <f t="shared" si="25"/>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2"/>
        <v>-</v>
      </c>
      <c r="O82" s="64" t="str">
        <f t="shared" si="22"/>
        <v>-</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2"/>
        <v>-</v>
      </c>
      <c r="O83" s="64" t="str">
        <f t="shared" si="22"/>
        <v>-</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2"/>
        <v>-</v>
      </c>
      <c r="O84" s="64" t="str">
        <f t="shared" si="22"/>
        <v>-</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si="22"/>
        <v>-</v>
      </c>
      <c r="O85" s="64" t="str">
        <f t="shared" si="22"/>
        <v>-</v>
      </c>
      <c r="P85" s="64" t="str">
        <f t="shared" ref="P85:V94" si="26">IF(P$33="","","-")</f>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2"/>
        <v>-</v>
      </c>
      <c r="O86" s="64" t="str">
        <f t="shared" si="22"/>
        <v>-</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2"/>
        <v>-</v>
      </c>
      <c r="O87" s="64" t="str">
        <f t="shared" si="22"/>
        <v>-</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2"/>
        <v>-</v>
      </c>
      <c r="O88" s="64" t="str">
        <f t="shared" si="22"/>
        <v>-</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2"/>
        <v>-</v>
      </c>
      <c r="O89" s="64" t="str">
        <f t="shared" si="22"/>
        <v>-</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ref="M90:O103" ca="1" si="27">IF(M$33="","","-")</f>
        <v>-</v>
      </c>
      <c r="N90" s="64" t="str">
        <f t="shared" si="27"/>
        <v>-</v>
      </c>
      <c r="O90" s="64" t="str">
        <f t="shared" si="27"/>
        <v>-</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82" t="s">
        <v>1088</v>
      </c>
      <c r="D91" s="82"/>
      <c r="E91" s="82"/>
      <c r="F91" s="65"/>
      <c r="G91" s="65"/>
      <c r="H91" s="65"/>
      <c r="I91" s="65"/>
      <c r="J91" s="65"/>
      <c r="K91" s="65"/>
      <c r="L91" s="65"/>
      <c r="M91" s="64" t="str">
        <f t="shared" ca="1" si="27"/>
        <v>-</v>
      </c>
      <c r="N91" s="64" t="str">
        <f t="shared" si="27"/>
        <v>-</v>
      </c>
      <c r="O91" s="64" t="str">
        <f t="shared" si="27"/>
        <v>-</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403"/>
      <c r="D92" s="403"/>
      <c r="E92" s="403"/>
      <c r="F92" s="65"/>
      <c r="G92" s="65"/>
      <c r="H92" s="65"/>
      <c r="I92" s="65"/>
      <c r="J92" s="65"/>
      <c r="K92" s="65"/>
      <c r="L92" s="65"/>
      <c r="M92" s="64" t="str">
        <f t="shared" ca="1" si="27"/>
        <v>-</v>
      </c>
      <c r="N92" s="64" t="str">
        <f t="shared" si="27"/>
        <v>-</v>
      </c>
      <c r="O92" s="64" t="str">
        <f t="shared" si="27"/>
        <v>-</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82"/>
      <c r="D93" s="65"/>
      <c r="E93" s="65"/>
      <c r="F93" s="65"/>
      <c r="G93" s="65"/>
      <c r="H93" s="65"/>
      <c r="I93" s="65"/>
      <c r="J93" s="65"/>
      <c r="K93" s="65"/>
      <c r="L93" s="65"/>
      <c r="M93" s="64" t="str">
        <f t="shared" ca="1" si="27"/>
        <v>-</v>
      </c>
      <c r="N93" s="64" t="str">
        <f t="shared" si="27"/>
        <v>-</v>
      </c>
      <c r="O93" s="64" t="str">
        <f t="shared" si="27"/>
        <v>-</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82" t="s">
        <v>59</v>
      </c>
      <c r="C94" s="403"/>
      <c r="D94" s="67"/>
      <c r="E94" s="67"/>
      <c r="F94" s="65"/>
      <c r="G94" s="65"/>
      <c r="H94" s="65"/>
      <c r="I94" s="65"/>
      <c r="J94" s="65"/>
      <c r="K94" s="65"/>
      <c r="L94" s="65"/>
      <c r="M94" s="64" t="str">
        <f t="shared" ca="1" si="27"/>
        <v>-</v>
      </c>
      <c r="N94" s="64" t="str">
        <f t="shared" si="27"/>
        <v>-</v>
      </c>
      <c r="O94" s="64" t="str">
        <f t="shared" si="27"/>
        <v>-</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7"/>
        <v>-</v>
      </c>
      <c r="N95" s="64" t="str">
        <f t="shared" si="27"/>
        <v>-</v>
      </c>
      <c r="O95" s="64" t="str">
        <f t="shared" si="27"/>
        <v>-</v>
      </c>
      <c r="P95" s="64" t="str">
        <f t="shared" ref="P95:V103" si="28">IF(P$33="","","-")</f>
        <v/>
      </c>
      <c r="Q95" s="64" t="str">
        <f t="shared" si="28"/>
        <v/>
      </c>
      <c r="R95" s="64" t="str">
        <f t="shared" si="28"/>
        <v/>
      </c>
      <c r="S95" s="64" t="str">
        <f t="shared" si="28"/>
        <v/>
      </c>
      <c r="T95" s="64" t="str">
        <f t="shared" si="28"/>
        <v/>
      </c>
      <c r="U95" s="64" t="str">
        <f t="shared" si="28"/>
        <v/>
      </c>
      <c r="V95" s="64" t="str">
        <f t="shared" si="28"/>
        <v/>
      </c>
    </row>
    <row r="96" spans="1:22">
      <c r="A96" s="1">
        <f t="shared" si="20"/>
        <v>64</v>
      </c>
      <c r="B96" s="65" t="s">
        <v>57</v>
      </c>
      <c r="C96" s="65"/>
      <c r="D96" s="65"/>
      <c r="E96" s="65"/>
      <c r="F96" s="65"/>
      <c r="G96" s="65"/>
      <c r="H96" s="65"/>
      <c r="I96" s="65"/>
      <c r="J96" s="65"/>
      <c r="K96" s="65"/>
      <c r="L96" s="65"/>
      <c r="M96" s="64" t="str">
        <f t="shared" ca="1" si="27"/>
        <v>-</v>
      </c>
      <c r="N96" s="64" t="str">
        <f t="shared" si="27"/>
        <v>-</v>
      </c>
      <c r="O96" s="64" t="str">
        <f t="shared" si="27"/>
        <v>-</v>
      </c>
      <c r="P96" s="64" t="str">
        <f t="shared" si="28"/>
        <v/>
      </c>
      <c r="Q96" s="64" t="str">
        <f t="shared" si="28"/>
        <v/>
      </c>
      <c r="R96" s="64" t="str">
        <f t="shared" si="28"/>
        <v/>
      </c>
      <c r="S96" s="64" t="str">
        <f t="shared" si="28"/>
        <v/>
      </c>
      <c r="T96" s="64" t="str">
        <f t="shared" si="28"/>
        <v/>
      </c>
      <c r="U96" s="64" t="str">
        <f t="shared" si="28"/>
        <v/>
      </c>
      <c r="V96" s="64" t="str">
        <f t="shared" si="28"/>
        <v/>
      </c>
    </row>
    <row r="97" spans="1:22">
      <c r="A97" s="1">
        <f t="shared" si="20"/>
        <v>65</v>
      </c>
      <c r="B97" s="65" t="s">
        <v>56</v>
      </c>
      <c r="C97" s="65"/>
      <c r="D97" s="65"/>
      <c r="E97" s="65"/>
      <c r="F97" s="65"/>
      <c r="G97" s="65"/>
      <c r="H97" s="65"/>
      <c r="I97" s="65"/>
      <c r="J97" s="65"/>
      <c r="K97" s="65"/>
      <c r="L97" s="65"/>
      <c r="M97" s="64" t="str">
        <f t="shared" ca="1" si="27"/>
        <v>-</v>
      </c>
      <c r="N97" s="64" t="str">
        <f t="shared" si="27"/>
        <v>-</v>
      </c>
      <c r="O97" s="64" t="str">
        <f t="shared" si="27"/>
        <v>-</v>
      </c>
      <c r="P97" s="64" t="str">
        <f t="shared" si="28"/>
        <v/>
      </c>
      <c r="Q97" s="64" t="str">
        <f t="shared" si="28"/>
        <v/>
      </c>
      <c r="R97" s="64" t="str">
        <f t="shared" si="28"/>
        <v/>
      </c>
      <c r="S97" s="64" t="str">
        <f t="shared" si="28"/>
        <v/>
      </c>
      <c r="T97" s="64" t="str">
        <f t="shared" si="28"/>
        <v/>
      </c>
      <c r="U97" s="64" t="str">
        <f t="shared" si="28"/>
        <v/>
      </c>
      <c r="V97" s="64" t="str">
        <f t="shared" si="28"/>
        <v/>
      </c>
    </row>
    <row r="98" spans="1:22">
      <c r="A98" s="1">
        <f t="shared" ref="A98:A103" si="29">A97+1</f>
        <v>66</v>
      </c>
      <c r="B98" s="65" t="s">
        <v>55</v>
      </c>
      <c r="C98" s="65"/>
      <c r="D98" s="65"/>
      <c r="E98" s="65"/>
      <c r="F98" s="65"/>
      <c r="G98" s="65"/>
      <c r="H98" s="65"/>
      <c r="I98" s="65"/>
      <c r="J98" s="65"/>
      <c r="K98" s="65"/>
      <c r="L98" s="65"/>
      <c r="M98" s="64" t="str">
        <f t="shared" ca="1" si="27"/>
        <v>-</v>
      </c>
      <c r="N98" s="64" t="str">
        <f t="shared" si="27"/>
        <v>-</v>
      </c>
      <c r="O98" s="64" t="str">
        <f t="shared" si="27"/>
        <v>-</v>
      </c>
      <c r="P98" s="64" t="str">
        <f t="shared" si="28"/>
        <v/>
      </c>
      <c r="Q98" s="64" t="str">
        <f t="shared" si="28"/>
        <v/>
      </c>
      <c r="R98" s="64" t="str">
        <f t="shared" si="28"/>
        <v/>
      </c>
      <c r="S98" s="64" t="str">
        <f t="shared" si="28"/>
        <v/>
      </c>
      <c r="T98" s="64" t="str">
        <f t="shared" si="28"/>
        <v/>
      </c>
      <c r="U98" s="64" t="str">
        <f t="shared" si="28"/>
        <v/>
      </c>
      <c r="V98" s="64" t="str">
        <f t="shared" si="28"/>
        <v/>
      </c>
    </row>
    <row r="99" spans="1:22">
      <c r="A99" s="1">
        <f t="shared" si="29"/>
        <v>67</v>
      </c>
      <c r="B99" s="65" t="s">
        <v>54</v>
      </c>
      <c r="C99" s="65"/>
      <c r="D99" s="65"/>
      <c r="E99" s="65"/>
      <c r="F99" s="65"/>
      <c r="G99" s="65"/>
      <c r="H99" s="65"/>
      <c r="I99" s="65"/>
      <c r="J99" s="65"/>
      <c r="K99" s="65"/>
      <c r="L99" s="65"/>
      <c r="M99" s="64" t="str">
        <f t="shared" ca="1" si="27"/>
        <v>-</v>
      </c>
      <c r="N99" s="64" t="str">
        <f t="shared" si="27"/>
        <v>-</v>
      </c>
      <c r="O99" s="64" t="str">
        <f t="shared" si="27"/>
        <v>-</v>
      </c>
      <c r="P99" s="64" t="str">
        <f t="shared" si="28"/>
        <v/>
      </c>
      <c r="Q99" s="64" t="str">
        <f t="shared" si="28"/>
        <v/>
      </c>
      <c r="R99" s="64" t="str">
        <f t="shared" si="28"/>
        <v/>
      </c>
      <c r="S99" s="64" t="str">
        <f t="shared" si="28"/>
        <v/>
      </c>
      <c r="T99" s="64" t="str">
        <f t="shared" si="28"/>
        <v/>
      </c>
      <c r="U99" s="64" t="str">
        <f t="shared" si="28"/>
        <v/>
      </c>
      <c r="V99" s="64" t="str">
        <f t="shared" si="28"/>
        <v/>
      </c>
    </row>
    <row r="100" spans="1:22">
      <c r="A100" s="1">
        <f t="shared" si="29"/>
        <v>68</v>
      </c>
      <c r="M100" s="64" t="str">
        <f t="shared" ca="1" si="27"/>
        <v>-</v>
      </c>
      <c r="N100" s="64" t="str">
        <f t="shared" si="27"/>
        <v>-</v>
      </c>
      <c r="O100" s="64" t="str">
        <f t="shared" si="27"/>
        <v>-</v>
      </c>
      <c r="P100" s="64" t="str">
        <f t="shared" si="28"/>
        <v/>
      </c>
      <c r="Q100" s="64" t="str">
        <f t="shared" si="28"/>
        <v/>
      </c>
      <c r="R100" s="64" t="str">
        <f t="shared" si="28"/>
        <v/>
      </c>
      <c r="S100" s="64" t="str">
        <f t="shared" si="28"/>
        <v/>
      </c>
      <c r="T100" s="64" t="str">
        <f t="shared" si="28"/>
        <v/>
      </c>
      <c r="U100" s="64" t="str">
        <f t="shared" si="28"/>
        <v/>
      </c>
      <c r="V100" s="64" t="str">
        <f t="shared" si="28"/>
        <v/>
      </c>
    </row>
    <row r="101" spans="1:22">
      <c r="A101" s="1">
        <f t="shared" si="29"/>
        <v>69</v>
      </c>
      <c r="B101" s="1" t="s">
        <v>53</v>
      </c>
      <c r="M101" s="64" t="str">
        <f t="shared" ca="1" si="27"/>
        <v>-</v>
      </c>
      <c r="N101" s="64" t="str">
        <f t="shared" si="27"/>
        <v>-</v>
      </c>
      <c r="O101" s="64" t="str">
        <f t="shared" si="27"/>
        <v>-</v>
      </c>
      <c r="P101" s="64" t="str">
        <f t="shared" si="28"/>
        <v/>
      </c>
      <c r="Q101" s="64" t="str">
        <f t="shared" si="28"/>
        <v/>
      </c>
      <c r="R101" s="64" t="str">
        <f t="shared" si="28"/>
        <v/>
      </c>
      <c r="S101" s="64" t="str">
        <f t="shared" si="28"/>
        <v/>
      </c>
      <c r="T101" s="64" t="str">
        <f t="shared" si="28"/>
        <v/>
      </c>
      <c r="U101" s="64" t="str">
        <f t="shared" si="28"/>
        <v/>
      </c>
      <c r="V101" s="64" t="str">
        <f t="shared" si="28"/>
        <v/>
      </c>
    </row>
    <row r="102" spans="1:22">
      <c r="A102" s="1">
        <f t="shared" si="29"/>
        <v>70</v>
      </c>
      <c r="B102" s="65" t="s">
        <v>52</v>
      </c>
      <c r="C102" s="65"/>
      <c r="D102" s="65"/>
      <c r="E102" s="65"/>
      <c r="F102" s="65"/>
      <c r="G102" s="65"/>
      <c r="H102" s="65"/>
      <c r="I102" s="65"/>
      <c r="J102" s="65"/>
      <c r="K102" s="65"/>
      <c r="L102" s="65"/>
      <c r="M102" s="64" t="str">
        <f t="shared" ca="1" si="27"/>
        <v>-</v>
      </c>
      <c r="N102" s="64" t="str">
        <f t="shared" si="27"/>
        <v>-</v>
      </c>
      <c r="O102" s="64" t="str">
        <f t="shared" si="27"/>
        <v>-</v>
      </c>
      <c r="P102" s="64" t="str">
        <f t="shared" si="28"/>
        <v/>
      </c>
      <c r="Q102" s="64" t="str">
        <f t="shared" si="28"/>
        <v/>
      </c>
      <c r="R102" s="64" t="str">
        <f t="shared" si="28"/>
        <v/>
      </c>
      <c r="S102" s="64" t="str">
        <f t="shared" si="28"/>
        <v/>
      </c>
      <c r="T102" s="64" t="str">
        <f t="shared" si="28"/>
        <v/>
      </c>
      <c r="U102" s="64" t="str">
        <f t="shared" si="28"/>
        <v/>
      </c>
      <c r="V102" s="64" t="str">
        <f t="shared" si="28"/>
        <v/>
      </c>
    </row>
    <row r="103" spans="1:22">
      <c r="A103" s="1">
        <f t="shared" si="29"/>
        <v>71</v>
      </c>
      <c r="B103" s="65" t="s">
        <v>51</v>
      </c>
      <c r="C103" s="65"/>
      <c r="D103" s="65"/>
      <c r="E103" s="65"/>
      <c r="F103" s="65"/>
      <c r="G103" s="65"/>
      <c r="H103" s="65"/>
      <c r="I103" s="65"/>
      <c r="J103" s="65"/>
      <c r="K103" s="65"/>
      <c r="L103" s="65"/>
      <c r="M103" s="64" t="str">
        <f t="shared" ca="1" si="27"/>
        <v>-</v>
      </c>
      <c r="N103" s="64" t="str">
        <f t="shared" si="27"/>
        <v>-</v>
      </c>
      <c r="O103" s="64" t="str">
        <f t="shared" si="27"/>
        <v>-</v>
      </c>
      <c r="P103" s="64" t="str">
        <f t="shared" si="28"/>
        <v/>
      </c>
      <c r="Q103" s="64" t="str">
        <f t="shared" si="28"/>
        <v/>
      </c>
      <c r="R103" s="64" t="str">
        <f t="shared" si="28"/>
        <v/>
      </c>
      <c r="S103" s="64" t="str">
        <f t="shared" si="28"/>
        <v/>
      </c>
      <c r="T103" s="64" t="str">
        <f t="shared" si="28"/>
        <v/>
      </c>
      <c r="U103" s="64" t="str">
        <f t="shared" si="28"/>
        <v/>
      </c>
      <c r="V103" s="64" t="str">
        <f t="shared" si="28"/>
        <v/>
      </c>
    </row>
    <row r="105" spans="1:22">
      <c r="B105" s="1" t="s">
        <v>1087</v>
      </c>
    </row>
    <row r="107" spans="1:22" s="63" customFormat="1" ht="15.75" thickBot="1">
      <c r="B107" s="63" t="s">
        <v>50</v>
      </c>
    </row>
    <row r="109" spans="1:22">
      <c r="B109" s="94" t="s">
        <v>520</v>
      </c>
      <c r="C109" s="94" t="s">
        <v>410</v>
      </c>
      <c r="D109" s="94" t="s">
        <v>409</v>
      </c>
      <c r="E109" s="94" t="s">
        <v>122</v>
      </c>
    </row>
    <row r="110" spans="1:22">
      <c r="B110" s="93" t="s">
        <v>627</v>
      </c>
      <c r="C110" s="93" t="s">
        <v>35</v>
      </c>
      <c r="D110" s="93" t="s">
        <v>1082</v>
      </c>
      <c r="E110" s="286" t="s">
        <v>1065</v>
      </c>
    </row>
    <row r="111" spans="1:22">
      <c r="B111" s="93" t="s">
        <v>624</v>
      </c>
      <c r="C111" s="93" t="s">
        <v>35</v>
      </c>
      <c r="D111" s="93" t="s">
        <v>1082</v>
      </c>
      <c r="E111" s="286" t="s">
        <v>1064</v>
      </c>
    </row>
    <row r="112" spans="1:22">
      <c r="B112" s="93" t="s">
        <v>1063</v>
      </c>
      <c r="C112" s="93">
        <v>8766</v>
      </c>
      <c r="D112" s="93" t="s">
        <v>1082</v>
      </c>
      <c r="E112" s="93" t="s">
        <v>369</v>
      </c>
    </row>
    <row r="113" spans="2:10">
      <c r="B113" s="93" t="s">
        <v>1086</v>
      </c>
      <c r="C113" s="93">
        <v>1.08</v>
      </c>
      <c r="D113" s="93" t="s">
        <v>1084</v>
      </c>
      <c r="E113" s="93" t="s">
        <v>1085</v>
      </c>
    </row>
    <row r="114" spans="2:10">
      <c r="B114" s="93" t="s">
        <v>367</v>
      </c>
      <c r="C114" s="93">
        <v>1.3</v>
      </c>
      <c r="D114" s="93" t="s">
        <v>1084</v>
      </c>
      <c r="E114" s="93" t="s">
        <v>1083</v>
      </c>
    </row>
    <row r="115" spans="2:10">
      <c r="B115" s="97" t="s">
        <v>9</v>
      </c>
      <c r="C115" s="93">
        <v>32.5</v>
      </c>
      <c r="D115" s="93" t="s">
        <v>1082</v>
      </c>
      <c r="E115" s="93"/>
    </row>
    <row r="116" spans="2:10">
      <c r="B116" s="93" t="s">
        <v>518</v>
      </c>
      <c r="C116" s="93">
        <v>5</v>
      </c>
      <c r="D116" s="93" t="s">
        <v>1082</v>
      </c>
      <c r="E116" s="93"/>
    </row>
    <row r="117" spans="2:10">
      <c r="B117" s="93" t="s">
        <v>34</v>
      </c>
      <c r="C117" s="93">
        <v>1</v>
      </c>
      <c r="D117" s="93" t="s">
        <v>1082</v>
      </c>
      <c r="E117" s="93"/>
    </row>
    <row r="119" spans="2:10">
      <c r="B119" s="94" t="s">
        <v>1081</v>
      </c>
      <c r="C119" s="94" t="s">
        <v>627</v>
      </c>
      <c r="D119" s="94" t="s">
        <v>624</v>
      </c>
    </row>
    <row r="120" spans="2:10">
      <c r="B120" s="93" t="s">
        <v>1080</v>
      </c>
      <c r="C120" s="93">
        <v>35</v>
      </c>
      <c r="D120" s="93">
        <v>2</v>
      </c>
    </row>
    <row r="121" spans="2:10">
      <c r="B121" s="93" t="s">
        <v>1079</v>
      </c>
      <c r="C121" s="93">
        <v>14</v>
      </c>
      <c r="D121" s="93">
        <v>4</v>
      </c>
    </row>
    <row r="122" spans="2:10">
      <c r="B122" s="93" t="s">
        <v>1078</v>
      </c>
      <c r="C122" s="93">
        <v>7</v>
      </c>
      <c r="D122" s="93">
        <v>2</v>
      </c>
    </row>
    <row r="123" spans="2:10">
      <c r="B123" s="93" t="s">
        <v>841</v>
      </c>
      <c r="C123" s="93">
        <v>7</v>
      </c>
      <c r="D123" s="93">
        <v>2</v>
      </c>
    </row>
    <row r="125" spans="2:10">
      <c r="B125" s="94" t="s">
        <v>533</v>
      </c>
      <c r="C125" s="93"/>
      <c r="D125" s="93"/>
      <c r="E125" s="93"/>
      <c r="F125" s="93"/>
      <c r="G125" s="93"/>
      <c r="H125" s="93"/>
      <c r="I125" s="93"/>
      <c r="J125" s="93"/>
    </row>
    <row r="126" spans="2:10">
      <c r="B126" s="94" t="s">
        <v>1081</v>
      </c>
      <c r="C126" s="94" t="s">
        <v>624</v>
      </c>
      <c r="D126" s="94" t="s">
        <v>627</v>
      </c>
      <c r="E126" s="94" t="s">
        <v>500</v>
      </c>
      <c r="F126" s="94" t="s">
        <v>499</v>
      </c>
      <c r="G126" s="94" t="s">
        <v>244</v>
      </c>
      <c r="H126" s="94" t="s">
        <v>9</v>
      </c>
      <c r="I126" s="94" t="s">
        <v>8</v>
      </c>
      <c r="J126" s="94" t="s">
        <v>7</v>
      </c>
    </row>
    <row r="127" spans="2:10">
      <c r="B127" s="93" t="s">
        <v>1080</v>
      </c>
      <c r="C127" s="93">
        <f>VLOOKUP(B127,$B$119:$D$123,3,FALSE)</f>
        <v>2</v>
      </c>
      <c r="D127" s="93">
        <f>VLOOKUP(B127,$B$119:$D$123,2,FALSE)</f>
        <v>35</v>
      </c>
      <c r="E127" s="93">
        <f>(D127-C127)*$C$112*$C$113/1000</f>
        <v>312.42024000000004</v>
      </c>
      <c r="F127" s="93">
        <f>(D127-C127)*$C$114*$C$117/1000</f>
        <v>4.2900000000000001E-2</v>
      </c>
      <c r="G127" s="285">
        <f>((D127-C127)*$C$112*$C$113/1000)/(D127*$C$112*$C$113/1000)</f>
        <v>0.94285714285714273</v>
      </c>
      <c r="H127" s="93"/>
      <c r="I127" s="93">
        <f>$C$115/E127</f>
        <v>0.10402655090464048</v>
      </c>
      <c r="J127" s="93">
        <f>1/COUNT($C$127:$C$130)</f>
        <v>0.25</v>
      </c>
    </row>
    <row r="128" spans="2:10">
      <c r="B128" s="93" t="s">
        <v>1079</v>
      </c>
      <c r="C128" s="93">
        <f>VLOOKUP(B128,$B$119:$D$123,3,FALSE)</f>
        <v>4</v>
      </c>
      <c r="D128" s="93">
        <f>VLOOKUP(B128,$B$119:$D$123,2,FALSE)</f>
        <v>14</v>
      </c>
      <c r="E128" s="93">
        <f>(D128-C128)*$C$112*$C$113/1000</f>
        <v>94.672800000000009</v>
      </c>
      <c r="F128" s="93">
        <f>(D128-C128)*$C$114*$C$117/1000</f>
        <v>1.2999999999999999E-2</v>
      </c>
      <c r="G128" s="285">
        <f>((D128-C128)*$C$112*$C$113/1000)/(D128*$C$112*$C$113/1000)</f>
        <v>0.7142857142857143</v>
      </c>
      <c r="H128" s="93"/>
      <c r="I128" s="93">
        <f>$C$115/E128</f>
        <v>0.3432876179853136</v>
      </c>
      <c r="J128" s="93">
        <f>1/COUNT($C$127:$C$130)</f>
        <v>0.25</v>
      </c>
    </row>
    <row r="129" spans="2:10">
      <c r="B129" s="93" t="s">
        <v>1078</v>
      </c>
      <c r="C129" s="93">
        <f>VLOOKUP(B129,$B$119:$D$123,3,FALSE)</f>
        <v>2</v>
      </c>
      <c r="D129" s="93">
        <f>VLOOKUP(B129,$B$119:$D$123,2,FALSE)</f>
        <v>7</v>
      </c>
      <c r="E129" s="93">
        <f>(D129-C129)*$C$112*$C$113/1000</f>
        <v>47.336400000000005</v>
      </c>
      <c r="F129" s="93">
        <f>(D129-C129)*$C$114*$C$117/1000</f>
        <v>6.4999999999999997E-3</v>
      </c>
      <c r="G129" s="285">
        <f>((D129-C129)*$C$112*$C$113/1000)/(D129*$C$112*$C$113/1000)</f>
        <v>0.7142857142857143</v>
      </c>
      <c r="H129" s="93"/>
      <c r="I129" s="93">
        <f>$C$115/E129</f>
        <v>0.6865752359706272</v>
      </c>
      <c r="J129" s="93">
        <f>1/COUNT($C$127:$C$130)</f>
        <v>0.25</v>
      </c>
    </row>
    <row r="130" spans="2:10">
      <c r="B130" s="93" t="s">
        <v>841</v>
      </c>
      <c r="C130" s="93">
        <f>VLOOKUP(B130,$B$119:$D$123,3,FALSE)</f>
        <v>2</v>
      </c>
      <c r="D130" s="93">
        <f>VLOOKUP(B130,$B$119:$D$123,2,FALSE)</f>
        <v>7</v>
      </c>
      <c r="E130" s="93">
        <f>(D130-C130)*$C$112*$C$113/1000</f>
        <v>47.336400000000005</v>
      </c>
      <c r="F130" s="93">
        <f>(D130-C130)*$C$114*$C$117/1000</f>
        <v>6.4999999999999997E-3</v>
      </c>
      <c r="G130" s="285">
        <f>((D130-C130)*$C$112*$C$113/1000)/(D130*$C$112*$C$113/1000)</f>
        <v>0.7142857142857143</v>
      </c>
      <c r="H130" s="93"/>
      <c r="I130" s="93">
        <f>$C$115/E130</f>
        <v>0.6865752359706272</v>
      </c>
      <c r="J130" s="93">
        <f>1/COUNT($C$127:$C$130)</f>
        <v>0.25</v>
      </c>
    </row>
    <row r="131" spans="2:10">
      <c r="B131" s="7" t="s">
        <v>0</v>
      </c>
      <c r="C131" s="7"/>
      <c r="D131" s="7"/>
      <c r="E131" s="7">
        <f>SUMPRODUCT(E127:E130,$J$127:$J$130)</f>
        <v>125.44146000000002</v>
      </c>
      <c r="F131" s="7">
        <f>SUMPRODUCT(F127:F130,$J$127:$J$130)</f>
        <v>1.7225000000000001E-2</v>
      </c>
      <c r="G131" s="7">
        <f>SUMPRODUCT(G127:G130,$J$127:$J$130)</f>
        <v>0.77142857142857146</v>
      </c>
      <c r="H131" s="7">
        <f>SUMPRODUCT(H127:H130,$J$127:$J$130)</f>
        <v>0</v>
      </c>
      <c r="I131" s="7">
        <f>SUMPRODUCT(I127:I130,$J$127:$J$130)</f>
        <v>0.4551161602078021</v>
      </c>
    </row>
  </sheetData>
  <dataValidations count="5">
    <dataValidation type="list" allowBlank="1" showInputMessage="1" showErrorMessage="1" sqref="C59:L59" xr:uid="{00000000-0002-0000-8800-000004000000}">
      <formula1>$N$19:$AQ$19</formula1>
    </dataValidation>
    <dataValidation type="list" allowBlank="1" showInputMessage="1" showErrorMessage="1" sqref="E11:E20" xr:uid="{00000000-0002-0000-8800-000003000000}">
      <formula1>$N$16:$O$16</formula1>
    </dataValidation>
    <dataValidation type="list" allowBlank="1" showInputMessage="1" showErrorMessage="1" sqref="D11:D20" xr:uid="{00000000-0002-0000-8800-000002000000}">
      <formula1>$N$22:$AE$22</formula1>
    </dataValidation>
    <dataValidation type="list" allowBlank="1" showInputMessage="1" showErrorMessage="1" sqref="B11:C20" xr:uid="{00000000-0002-0000-8800-000001000000}">
      <formula1>$N$7:$Q$7</formula1>
    </dataValidation>
    <dataValidation type="list" allowBlank="1" showInputMessage="1" showErrorMessage="1" sqref="D7" xr:uid="{00000000-0002-0000-8800-000000000000}">
      <formula1>$N$11:$O$11</formula1>
    </dataValidation>
  </dataValidations>
  <pageMargins left="0.7" right="0.7" top="0.75" bottom="0.75" header="0.3" footer="0.3"/>
  <pageSetup orientation="portrait"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EEDD-34ED-4DC0-B25F-A6B9ACD64D0B}">
  <sheetPr codeName="Sheet153">
    <tabColor indexed="13"/>
  </sheetPr>
  <dimension ref="A1:AQ170"/>
  <sheetViews>
    <sheetView topLeftCell="A24"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21" style="414" customWidth="1"/>
    <col min="4" max="4" width="21.42578125" style="414" customWidth="1"/>
    <col min="5" max="5" width="18.140625" style="414" customWidth="1"/>
    <col min="6" max="6" width="27.85546875" style="414" customWidth="1"/>
    <col min="7" max="7" width="19.85546875" style="414" customWidth="1"/>
    <col min="8" max="8" width="16.42578125" style="414" customWidth="1"/>
    <col min="9" max="9" width="13.8554687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Ultra-Efficient LED Ltg</v>
      </c>
      <c r="C7" s="433" t="s">
        <v>2060</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Ultra-Efficient LED Ltg_CI, E - IntL [No Heat] (RET)</v>
      </c>
      <c r="J11" s="408" t="str">
        <f t="shared" ref="J11:J20" si="3">IF(B11="","",CONCATENATE($C$7,IF(C11="","",CONCATENATE(" with ",C11," Secondary Fuel"))))</f>
        <v>Ultra-Efficient LED Lighting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Ultra-Efficient LED Ltg_CI,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Ultra-Efficient LED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Ultra-Efficient LED Lighting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Ultra-Efficient LED Ltg_CI,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Ultra-Efficient LED Lighting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11</v>
      </c>
      <c r="D39" s="408" t="str">
        <f t="shared" si="12"/>
        <v/>
      </c>
      <c r="E39" s="408" t="str">
        <f t="shared" si="12"/>
        <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t="str">
        <f t="shared" si="13"/>
        <v/>
      </c>
      <c r="E41" s="401" t="str">
        <f t="shared" si="13"/>
        <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t="str">
        <f t="shared" si="15"/>
        <v/>
      </c>
      <c r="E43" s="401" t="str">
        <f t="shared" si="15"/>
        <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Ultra-Efficient LED Lighting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t="s">
        <v>2061</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t="s">
        <v>2062</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f>H170</f>
        <v>14.768574612244903</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f>J170</f>
        <v>0.39999999999999963</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f>K170</f>
        <v>3.9902040816326543</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f>L170</f>
        <v>0.38459161815607601</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Ultra-Efficient LED Lighting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7">
      <c r="B113" s="93" t="s">
        <v>367</v>
      </c>
      <c r="C113" s="97">
        <v>1.3</v>
      </c>
      <c r="D113" s="93" t="s">
        <v>1084</v>
      </c>
      <c r="E113" s="286" t="s">
        <v>1107</v>
      </c>
    </row>
    <row r="114" spans="2:17">
      <c r="B114" s="93" t="s">
        <v>309</v>
      </c>
      <c r="C114" s="97">
        <v>3379</v>
      </c>
      <c r="D114" s="93" t="s">
        <v>1084</v>
      </c>
      <c r="E114" s="93" t="s">
        <v>1106</v>
      </c>
    </row>
    <row r="115" spans="2:17">
      <c r="B115" s="93" t="s">
        <v>34</v>
      </c>
      <c r="C115" s="97">
        <v>0.67</v>
      </c>
      <c r="D115" s="93" t="s">
        <v>1084</v>
      </c>
      <c r="E115" s="93"/>
    </row>
    <row r="116" spans="2:17">
      <c r="B116" s="97" t="s">
        <v>9</v>
      </c>
      <c r="C116" s="93" t="s">
        <v>35</v>
      </c>
      <c r="D116" s="93" t="s">
        <v>1192</v>
      </c>
      <c r="E116" s="93"/>
    </row>
    <row r="117" spans="2:17">
      <c r="B117" s="93" t="s">
        <v>518</v>
      </c>
      <c r="C117" s="93">
        <v>11</v>
      </c>
      <c r="D117" s="93" t="s">
        <v>1192</v>
      </c>
      <c r="E117" s="93"/>
    </row>
    <row r="119" spans="2:17">
      <c r="I119" s="1"/>
      <c r="J119" s="1"/>
      <c r="K119" s="1"/>
      <c r="L119" s="1"/>
      <c r="M119" s="1"/>
      <c r="N119" s="1"/>
      <c r="O119" s="1"/>
      <c r="P119" s="1"/>
      <c r="Q119" s="1"/>
    </row>
    <row r="120" spans="2:17">
      <c r="B120" s="415" t="s">
        <v>1223</v>
      </c>
      <c r="C120" s="415" t="s">
        <v>1222</v>
      </c>
      <c r="D120" s="415" t="s">
        <v>1221</v>
      </c>
      <c r="E120" s="415" t="s">
        <v>1220</v>
      </c>
      <c r="F120" s="415" t="s">
        <v>627</v>
      </c>
      <c r="G120" s="94" t="s">
        <v>624</v>
      </c>
      <c r="H120" s="94" t="s">
        <v>500</v>
      </c>
      <c r="I120" s="94" t="s">
        <v>499</v>
      </c>
      <c r="J120" s="94" t="s">
        <v>244</v>
      </c>
      <c r="K120" s="94" t="s">
        <v>9</v>
      </c>
      <c r="L120" s="94" t="s">
        <v>8</v>
      </c>
      <c r="M120" s="94" t="s">
        <v>7</v>
      </c>
    </row>
    <row r="121" spans="2:17">
      <c r="B121" s="728" t="s">
        <v>1219</v>
      </c>
      <c r="C121" s="723"/>
      <c r="D121" s="417">
        <v>120</v>
      </c>
      <c r="E121" s="417">
        <v>399</v>
      </c>
      <c r="F121" s="417">
        <v>4</v>
      </c>
      <c r="G121" s="417">
        <f t="shared" ref="G121:G152" si="31">F121*0.6</f>
        <v>2.4</v>
      </c>
      <c r="H121" s="417">
        <f t="shared" ref="H121:H152" si="32">((F121-G121)/1000)*$C$112*$C$114</f>
        <v>5.8389120000000005</v>
      </c>
      <c r="I121" s="417">
        <f t="shared" ref="I121:I152" si="33">((F121-G121)/1000)*$C$113*$C$115</f>
        <v>1.3936000000000003E-3</v>
      </c>
      <c r="J121" s="417">
        <f>H121/((F121/1000)*$C$112*$C$114)</f>
        <v>0.4</v>
      </c>
      <c r="K121" s="439">
        <v>2.7</v>
      </c>
      <c r="L121" s="438">
        <f t="shared" ref="L121:L152" si="34">K121/H121</f>
        <v>0.4624149156555194</v>
      </c>
      <c r="M121" s="417">
        <f>1/COUNT($D$121:$D$169)</f>
        <v>2.0408163265306121E-2</v>
      </c>
    </row>
    <row r="122" spans="2:17">
      <c r="B122" s="728"/>
      <c r="C122" s="724"/>
      <c r="D122" s="417">
        <v>400</v>
      </c>
      <c r="E122" s="417">
        <v>749</v>
      </c>
      <c r="F122" s="417">
        <v>6.6</v>
      </c>
      <c r="G122" s="417">
        <f t="shared" si="31"/>
        <v>3.9599999999999995</v>
      </c>
      <c r="H122" s="417">
        <f t="shared" si="32"/>
        <v>9.6342048000000009</v>
      </c>
      <c r="I122" s="417">
        <f t="shared" si="33"/>
        <v>2.2994400000000003E-3</v>
      </c>
      <c r="J122" s="417">
        <f t="shared" ref="J122:J152" si="35">H122/((F122/1000)*$C$112*$C$114)</f>
        <v>0.4</v>
      </c>
      <c r="K122" s="439">
        <v>2.7</v>
      </c>
      <c r="L122" s="438">
        <f t="shared" si="34"/>
        <v>0.28025146403364809</v>
      </c>
      <c r="M122" s="417">
        <f t="shared" ref="M122:M169" si="36">1/COUNT($D$121:$D$169)</f>
        <v>2.0408163265306121E-2</v>
      </c>
    </row>
    <row r="123" spans="2:17">
      <c r="B123" s="728"/>
      <c r="C123" s="724"/>
      <c r="D123" s="417">
        <v>750</v>
      </c>
      <c r="E123" s="417">
        <v>899</v>
      </c>
      <c r="F123" s="417">
        <v>9.6</v>
      </c>
      <c r="G123" s="417">
        <f t="shared" si="31"/>
        <v>5.76</v>
      </c>
      <c r="H123" s="417">
        <f t="shared" si="32"/>
        <v>14.013388800000001</v>
      </c>
      <c r="I123" s="417">
        <f t="shared" si="33"/>
        <v>3.3446400000000003E-3</v>
      </c>
      <c r="J123" s="417">
        <f t="shared" si="35"/>
        <v>0.4</v>
      </c>
      <c r="K123" s="439">
        <v>2.7</v>
      </c>
      <c r="L123" s="438">
        <f t="shared" si="34"/>
        <v>0.19267288152313308</v>
      </c>
      <c r="M123" s="417">
        <f t="shared" si="36"/>
        <v>2.0408163265306121E-2</v>
      </c>
    </row>
    <row r="124" spans="2:17">
      <c r="B124" s="728"/>
      <c r="C124" s="724"/>
      <c r="D124" s="417">
        <v>900</v>
      </c>
      <c r="E124" s="417">
        <v>1399</v>
      </c>
      <c r="F124" s="417">
        <v>13.1</v>
      </c>
      <c r="G124" s="417">
        <f t="shared" si="31"/>
        <v>7.8599999999999994</v>
      </c>
      <c r="H124" s="417">
        <f t="shared" si="32"/>
        <v>19.122436800000003</v>
      </c>
      <c r="I124" s="417">
        <f t="shared" si="33"/>
        <v>4.5640400000000001E-3</v>
      </c>
      <c r="J124" s="417">
        <f t="shared" si="35"/>
        <v>0.40000000000000008</v>
      </c>
      <c r="K124" s="439">
        <v>2.7</v>
      </c>
      <c r="L124" s="438">
        <f t="shared" si="34"/>
        <v>0.14119539409328835</v>
      </c>
      <c r="M124" s="417">
        <f t="shared" si="36"/>
        <v>2.0408163265306121E-2</v>
      </c>
    </row>
    <row r="125" spans="2:17">
      <c r="B125" s="728"/>
      <c r="C125" s="724"/>
      <c r="D125" s="417">
        <v>1400</v>
      </c>
      <c r="E125" s="417">
        <v>1999</v>
      </c>
      <c r="F125" s="417">
        <v>16</v>
      </c>
      <c r="G125" s="417">
        <f t="shared" si="31"/>
        <v>9.6</v>
      </c>
      <c r="H125" s="417">
        <f t="shared" si="32"/>
        <v>23.355648000000002</v>
      </c>
      <c r="I125" s="417">
        <f t="shared" si="33"/>
        <v>5.5744000000000011E-3</v>
      </c>
      <c r="J125" s="417">
        <f t="shared" si="35"/>
        <v>0.4</v>
      </c>
      <c r="K125" s="439">
        <v>2.7</v>
      </c>
      <c r="L125" s="438">
        <f t="shared" si="34"/>
        <v>0.11560372891387985</v>
      </c>
      <c r="M125" s="417">
        <f t="shared" si="36"/>
        <v>2.0408163265306121E-2</v>
      </c>
    </row>
    <row r="126" spans="2:17">
      <c r="B126" s="728"/>
      <c r="C126" s="724"/>
      <c r="D126" s="417">
        <v>2000</v>
      </c>
      <c r="E126" s="417">
        <v>2999</v>
      </c>
      <c r="F126" s="417">
        <v>21.8</v>
      </c>
      <c r="G126" s="417">
        <f t="shared" si="31"/>
        <v>13.08</v>
      </c>
      <c r="H126" s="417">
        <f t="shared" si="32"/>
        <v>31.822070400000005</v>
      </c>
      <c r="I126" s="417">
        <f t="shared" si="33"/>
        <v>7.5951200000000012E-3</v>
      </c>
      <c r="J126" s="417">
        <f t="shared" si="35"/>
        <v>0.4</v>
      </c>
      <c r="K126" s="439">
        <v>2.7</v>
      </c>
      <c r="L126" s="438">
        <f t="shared" si="34"/>
        <v>8.4846773514774196E-2</v>
      </c>
      <c r="M126" s="417">
        <f t="shared" si="36"/>
        <v>2.0408163265306121E-2</v>
      </c>
    </row>
    <row r="127" spans="2:17">
      <c r="B127" s="728"/>
      <c r="C127" s="725"/>
      <c r="D127" s="417">
        <v>3000</v>
      </c>
      <c r="E127" s="417">
        <v>3299</v>
      </c>
      <c r="F127" s="417">
        <v>28.9</v>
      </c>
      <c r="G127" s="417">
        <f t="shared" si="31"/>
        <v>17.34</v>
      </c>
      <c r="H127" s="417">
        <f t="shared" si="32"/>
        <v>42.1861392</v>
      </c>
      <c r="I127" s="417">
        <f t="shared" si="33"/>
        <v>1.0068760000000001E-2</v>
      </c>
      <c r="J127" s="417">
        <f t="shared" si="35"/>
        <v>0.39999999999999997</v>
      </c>
      <c r="K127" s="439">
        <v>2.7</v>
      </c>
      <c r="L127" s="438">
        <f t="shared" si="34"/>
        <v>6.4002064450590923E-2</v>
      </c>
      <c r="M127" s="417">
        <f t="shared" si="36"/>
        <v>2.0408163265306121E-2</v>
      </c>
    </row>
    <row r="128" spans="2:17">
      <c r="B128" s="727" t="s">
        <v>1218</v>
      </c>
      <c r="C128" s="728" t="s">
        <v>1217</v>
      </c>
      <c r="D128" s="417">
        <v>1100</v>
      </c>
      <c r="E128" s="417">
        <v>1999</v>
      </c>
      <c r="F128" s="417">
        <v>14.7</v>
      </c>
      <c r="G128" s="417">
        <f t="shared" si="31"/>
        <v>8.8199999999999985</v>
      </c>
      <c r="H128" s="417">
        <f t="shared" si="32"/>
        <v>21.458001600000003</v>
      </c>
      <c r="I128" s="417">
        <f t="shared" si="33"/>
        <v>5.1214800000000012E-3</v>
      </c>
      <c r="J128" s="417">
        <f t="shared" si="35"/>
        <v>0.4</v>
      </c>
      <c r="K128" s="439">
        <v>3.4</v>
      </c>
      <c r="L128" s="438">
        <f t="shared" si="34"/>
        <v>0.15844905147178287</v>
      </c>
      <c r="M128" s="417">
        <f t="shared" si="36"/>
        <v>2.0408163265306121E-2</v>
      </c>
    </row>
    <row r="129" spans="2:13">
      <c r="B129" s="727"/>
      <c r="C129" s="728"/>
      <c r="D129" s="417">
        <v>2000</v>
      </c>
      <c r="E129" s="417">
        <v>2700</v>
      </c>
      <c r="F129" s="417">
        <v>22.6</v>
      </c>
      <c r="G129" s="417">
        <f t="shared" si="31"/>
        <v>13.56</v>
      </c>
      <c r="H129" s="417">
        <f t="shared" si="32"/>
        <v>32.989852800000001</v>
      </c>
      <c r="I129" s="417">
        <f t="shared" si="33"/>
        <v>7.8738400000000017E-3</v>
      </c>
      <c r="J129" s="417">
        <f t="shared" si="35"/>
        <v>0.39999999999999997</v>
      </c>
      <c r="K129" s="439">
        <v>3.4</v>
      </c>
      <c r="L129" s="438">
        <f t="shared" si="34"/>
        <v>0.10306199365642515</v>
      </c>
      <c r="M129" s="417">
        <f t="shared" si="36"/>
        <v>2.0408163265306121E-2</v>
      </c>
    </row>
    <row r="130" spans="2:13">
      <c r="B130" s="727"/>
      <c r="C130" s="726" t="s">
        <v>1216</v>
      </c>
      <c r="D130" s="417">
        <v>310</v>
      </c>
      <c r="E130" s="417">
        <v>349</v>
      </c>
      <c r="F130" s="417">
        <v>3</v>
      </c>
      <c r="G130" s="417">
        <f t="shared" si="31"/>
        <v>1.7999999999999998</v>
      </c>
      <c r="H130" s="417">
        <f t="shared" si="32"/>
        <v>4.3791840000000013</v>
      </c>
      <c r="I130" s="417">
        <f t="shared" si="33"/>
        <v>1.0452000000000003E-3</v>
      </c>
      <c r="J130" s="417">
        <f t="shared" si="35"/>
        <v>0.40000000000000013</v>
      </c>
      <c r="K130" s="439">
        <v>3.4</v>
      </c>
      <c r="L130" s="438">
        <f t="shared" si="34"/>
        <v>0.77640035221173598</v>
      </c>
      <c r="M130" s="417">
        <f t="shared" si="36"/>
        <v>2.0408163265306121E-2</v>
      </c>
    </row>
    <row r="131" spans="2:13">
      <c r="B131" s="727"/>
      <c r="C131" s="726"/>
      <c r="D131" s="417">
        <v>350</v>
      </c>
      <c r="E131" s="417">
        <v>499</v>
      </c>
      <c r="F131" s="417">
        <v>4.7</v>
      </c>
      <c r="G131" s="417">
        <f t="shared" si="31"/>
        <v>2.82</v>
      </c>
      <c r="H131" s="417">
        <f t="shared" si="32"/>
        <v>6.8607216000000015</v>
      </c>
      <c r="I131" s="417">
        <f t="shared" si="33"/>
        <v>1.6374800000000004E-3</v>
      </c>
      <c r="J131" s="417">
        <f t="shared" si="35"/>
        <v>0.4</v>
      </c>
      <c r="K131" s="439">
        <v>3.4</v>
      </c>
      <c r="L131" s="438">
        <f t="shared" si="34"/>
        <v>0.49557469290110812</v>
      </c>
      <c r="M131" s="417">
        <f t="shared" si="36"/>
        <v>2.0408163265306121E-2</v>
      </c>
    </row>
    <row r="132" spans="2:13">
      <c r="B132" s="727"/>
      <c r="C132" s="726"/>
      <c r="D132" s="417">
        <v>500</v>
      </c>
      <c r="E132" s="417">
        <v>574</v>
      </c>
      <c r="F132" s="417">
        <v>5.7</v>
      </c>
      <c r="G132" s="417">
        <f t="shared" si="31"/>
        <v>3.42</v>
      </c>
      <c r="H132" s="417">
        <f t="shared" si="32"/>
        <v>8.3204496000000017</v>
      </c>
      <c r="I132" s="417">
        <f t="shared" si="33"/>
        <v>1.9858800000000006E-3</v>
      </c>
      <c r="J132" s="417">
        <f t="shared" si="35"/>
        <v>0.40000000000000008</v>
      </c>
      <c r="K132" s="439">
        <v>3.4</v>
      </c>
      <c r="L132" s="438">
        <f t="shared" si="34"/>
        <v>0.40863176432196635</v>
      </c>
      <c r="M132" s="417">
        <f t="shared" si="36"/>
        <v>2.0408163265306121E-2</v>
      </c>
    </row>
    <row r="133" spans="2:13">
      <c r="B133" s="727"/>
      <c r="C133" s="726"/>
      <c r="D133" s="417">
        <v>575</v>
      </c>
      <c r="E133" s="417">
        <v>649</v>
      </c>
      <c r="F133" s="417">
        <v>6.5</v>
      </c>
      <c r="G133" s="417">
        <f t="shared" si="31"/>
        <v>3.9</v>
      </c>
      <c r="H133" s="417">
        <f t="shared" si="32"/>
        <v>9.488232</v>
      </c>
      <c r="I133" s="417">
        <f t="shared" si="33"/>
        <v>2.2645999999999999E-3</v>
      </c>
      <c r="J133" s="417">
        <f t="shared" si="35"/>
        <v>0.39999999999999997</v>
      </c>
      <c r="K133" s="439">
        <v>3.4</v>
      </c>
      <c r="L133" s="438">
        <f t="shared" si="34"/>
        <v>0.35833862409772443</v>
      </c>
      <c r="M133" s="417">
        <f t="shared" si="36"/>
        <v>2.0408163265306121E-2</v>
      </c>
    </row>
    <row r="134" spans="2:13">
      <c r="B134" s="727"/>
      <c r="C134" s="726"/>
      <c r="D134" s="417">
        <v>650</v>
      </c>
      <c r="E134" s="417">
        <v>1000</v>
      </c>
      <c r="F134" s="417">
        <v>8.1999999999999993</v>
      </c>
      <c r="G134" s="417">
        <f t="shared" si="31"/>
        <v>4.919999999999999</v>
      </c>
      <c r="H134" s="417">
        <f t="shared" si="32"/>
        <v>11.969769600000003</v>
      </c>
      <c r="I134" s="417">
        <f t="shared" si="33"/>
        <v>2.8568800000000004E-3</v>
      </c>
      <c r="J134" s="417">
        <f t="shared" si="35"/>
        <v>0.40000000000000013</v>
      </c>
      <c r="K134" s="439">
        <v>3.4</v>
      </c>
      <c r="L134" s="438">
        <f t="shared" si="34"/>
        <v>0.28404890934575711</v>
      </c>
      <c r="M134" s="417">
        <f t="shared" si="36"/>
        <v>2.0408163265306121E-2</v>
      </c>
    </row>
    <row r="135" spans="2:13">
      <c r="B135" s="727"/>
      <c r="C135" s="726" t="s">
        <v>1215</v>
      </c>
      <c r="D135" s="417">
        <v>310</v>
      </c>
      <c r="E135" s="417">
        <v>349</v>
      </c>
      <c r="F135" s="417">
        <v>3.5</v>
      </c>
      <c r="G135" s="417">
        <f t="shared" si="31"/>
        <v>2.1</v>
      </c>
      <c r="H135" s="417">
        <f t="shared" si="32"/>
        <v>5.1090480000000005</v>
      </c>
      <c r="I135" s="417">
        <f t="shared" si="33"/>
        <v>1.2194E-3</v>
      </c>
      <c r="J135" s="417">
        <f t="shared" si="35"/>
        <v>0.39999999999999997</v>
      </c>
      <c r="K135" s="439">
        <v>3.4</v>
      </c>
      <c r="L135" s="438">
        <f t="shared" si="34"/>
        <v>0.66548601618148817</v>
      </c>
      <c r="M135" s="417">
        <f t="shared" si="36"/>
        <v>2.0408163265306121E-2</v>
      </c>
    </row>
    <row r="136" spans="2:13">
      <c r="B136" s="727"/>
      <c r="C136" s="726"/>
      <c r="D136" s="417">
        <v>350</v>
      </c>
      <c r="E136" s="417">
        <v>499</v>
      </c>
      <c r="F136" s="417">
        <v>4.4000000000000004</v>
      </c>
      <c r="G136" s="417">
        <f t="shared" si="31"/>
        <v>2.64</v>
      </c>
      <c r="H136" s="417">
        <f t="shared" si="32"/>
        <v>6.4228032000000015</v>
      </c>
      <c r="I136" s="417">
        <f t="shared" si="33"/>
        <v>1.5329600000000005E-3</v>
      </c>
      <c r="J136" s="417">
        <f t="shared" si="35"/>
        <v>0.4</v>
      </c>
      <c r="K136" s="439">
        <v>3.4</v>
      </c>
      <c r="L136" s="438">
        <f t="shared" si="34"/>
        <v>0.52936387650800187</v>
      </c>
      <c r="M136" s="417">
        <f t="shared" si="36"/>
        <v>2.0408163265306121E-2</v>
      </c>
    </row>
    <row r="137" spans="2:13">
      <c r="B137" s="727"/>
      <c r="C137" s="726"/>
      <c r="D137" s="417">
        <v>500</v>
      </c>
      <c r="E137" s="417">
        <v>574</v>
      </c>
      <c r="F137" s="417">
        <v>5.5</v>
      </c>
      <c r="G137" s="417">
        <f t="shared" si="31"/>
        <v>3.3</v>
      </c>
      <c r="H137" s="417">
        <f t="shared" si="32"/>
        <v>8.0285040000000016</v>
      </c>
      <c r="I137" s="417">
        <f t="shared" si="33"/>
        <v>1.9162000000000003E-3</v>
      </c>
      <c r="J137" s="417">
        <f t="shared" si="35"/>
        <v>0.40000000000000013</v>
      </c>
      <c r="K137" s="439">
        <v>3.4</v>
      </c>
      <c r="L137" s="438">
        <f t="shared" si="34"/>
        <v>0.42349110120640149</v>
      </c>
      <c r="M137" s="417">
        <f t="shared" si="36"/>
        <v>2.0408163265306121E-2</v>
      </c>
    </row>
    <row r="138" spans="2:13">
      <c r="B138" s="727"/>
      <c r="C138" s="726" t="s">
        <v>1214</v>
      </c>
      <c r="D138" s="417">
        <v>310</v>
      </c>
      <c r="E138" s="417">
        <v>499</v>
      </c>
      <c r="F138" s="417">
        <v>4.3</v>
      </c>
      <c r="G138" s="417">
        <f t="shared" si="31"/>
        <v>2.5799999999999996</v>
      </c>
      <c r="H138" s="417">
        <f t="shared" si="32"/>
        <v>6.2768304000000006</v>
      </c>
      <c r="I138" s="417">
        <f t="shared" si="33"/>
        <v>1.4981200000000001E-3</v>
      </c>
      <c r="J138" s="417">
        <f t="shared" si="35"/>
        <v>0.39999999999999997</v>
      </c>
      <c r="K138" s="439">
        <v>3.4</v>
      </c>
      <c r="L138" s="438">
        <f t="shared" si="34"/>
        <v>0.54167466433376943</v>
      </c>
      <c r="M138" s="417">
        <f t="shared" si="36"/>
        <v>2.0408163265306121E-2</v>
      </c>
    </row>
    <row r="139" spans="2:13">
      <c r="B139" s="727"/>
      <c r="C139" s="726"/>
      <c r="D139" s="417">
        <v>500</v>
      </c>
      <c r="E139" s="417">
        <v>800</v>
      </c>
      <c r="F139" s="417">
        <v>5.8</v>
      </c>
      <c r="G139" s="417">
        <f t="shared" si="31"/>
        <v>3.48</v>
      </c>
      <c r="H139" s="417">
        <f t="shared" si="32"/>
        <v>8.4664224000000008</v>
      </c>
      <c r="I139" s="417">
        <f t="shared" si="33"/>
        <v>2.0207200000000002E-3</v>
      </c>
      <c r="J139" s="417">
        <f t="shared" si="35"/>
        <v>0.40000000000000008</v>
      </c>
      <c r="K139" s="439">
        <v>3.4</v>
      </c>
      <c r="L139" s="438">
        <f t="shared" si="34"/>
        <v>0.40158638907503597</v>
      </c>
      <c r="M139" s="417">
        <f t="shared" si="36"/>
        <v>2.0408163265306121E-2</v>
      </c>
    </row>
    <row r="140" spans="2:13">
      <c r="B140" s="727"/>
      <c r="C140" s="726" t="s">
        <v>1213</v>
      </c>
      <c r="D140" s="417">
        <v>310</v>
      </c>
      <c r="E140" s="417">
        <v>499</v>
      </c>
      <c r="F140" s="417">
        <v>4.2</v>
      </c>
      <c r="G140" s="417">
        <f t="shared" si="31"/>
        <v>2.52</v>
      </c>
      <c r="H140" s="417">
        <f t="shared" si="32"/>
        <v>6.1308576000000006</v>
      </c>
      <c r="I140" s="417">
        <f t="shared" si="33"/>
        <v>1.4632800000000002E-3</v>
      </c>
      <c r="J140" s="417">
        <f t="shared" si="35"/>
        <v>0.39999999999999991</v>
      </c>
      <c r="K140" s="439">
        <v>3.4</v>
      </c>
      <c r="L140" s="438">
        <f t="shared" si="34"/>
        <v>0.55457168015124014</v>
      </c>
      <c r="M140" s="417">
        <f t="shared" si="36"/>
        <v>2.0408163265306121E-2</v>
      </c>
    </row>
    <row r="141" spans="2:13">
      <c r="B141" s="727"/>
      <c r="C141" s="726"/>
      <c r="D141" s="417">
        <v>500</v>
      </c>
      <c r="E141" s="417">
        <v>650</v>
      </c>
      <c r="F141" s="417">
        <v>5.5</v>
      </c>
      <c r="G141" s="417">
        <f t="shared" si="31"/>
        <v>3.3</v>
      </c>
      <c r="H141" s="417">
        <f t="shared" si="32"/>
        <v>8.0285040000000016</v>
      </c>
      <c r="I141" s="417">
        <f t="shared" si="33"/>
        <v>1.9162000000000003E-3</v>
      </c>
      <c r="J141" s="417">
        <f t="shared" si="35"/>
        <v>0.40000000000000013</v>
      </c>
      <c r="K141" s="439">
        <v>3.4</v>
      </c>
      <c r="L141" s="438">
        <f t="shared" si="34"/>
        <v>0.42349110120640149</v>
      </c>
      <c r="M141" s="417">
        <f t="shared" si="36"/>
        <v>2.0408163265306121E-2</v>
      </c>
    </row>
    <row r="142" spans="2:13">
      <c r="B142" s="727"/>
      <c r="C142" s="726" t="s">
        <v>1212</v>
      </c>
      <c r="D142" s="417">
        <v>310</v>
      </c>
      <c r="E142" s="417">
        <v>499</v>
      </c>
      <c r="F142" s="417">
        <v>6.5</v>
      </c>
      <c r="G142" s="417">
        <f t="shared" si="31"/>
        <v>3.9</v>
      </c>
      <c r="H142" s="417">
        <f t="shared" si="32"/>
        <v>9.488232</v>
      </c>
      <c r="I142" s="417">
        <f t="shared" si="33"/>
        <v>2.2645999999999999E-3</v>
      </c>
      <c r="J142" s="417">
        <f t="shared" si="35"/>
        <v>0.39999999999999997</v>
      </c>
      <c r="K142" s="439">
        <v>3.4</v>
      </c>
      <c r="L142" s="438">
        <f t="shared" si="34"/>
        <v>0.35833862409772443</v>
      </c>
      <c r="M142" s="417">
        <f t="shared" si="36"/>
        <v>2.0408163265306121E-2</v>
      </c>
    </row>
    <row r="143" spans="2:13">
      <c r="B143" s="727"/>
      <c r="C143" s="726"/>
      <c r="D143" s="417">
        <v>500</v>
      </c>
      <c r="E143" s="417">
        <v>999</v>
      </c>
      <c r="F143" s="417">
        <v>8.8000000000000007</v>
      </c>
      <c r="G143" s="417">
        <f t="shared" si="31"/>
        <v>5.28</v>
      </c>
      <c r="H143" s="417">
        <f t="shared" si="32"/>
        <v>12.845606400000003</v>
      </c>
      <c r="I143" s="417">
        <f t="shared" si="33"/>
        <v>3.0659200000000011E-3</v>
      </c>
      <c r="J143" s="417">
        <f t="shared" si="35"/>
        <v>0.4</v>
      </c>
      <c r="K143" s="439">
        <v>3.4</v>
      </c>
      <c r="L143" s="438">
        <f t="shared" si="34"/>
        <v>0.26468193825400094</v>
      </c>
      <c r="M143" s="417">
        <f t="shared" si="36"/>
        <v>2.0408163265306121E-2</v>
      </c>
    </row>
    <row r="144" spans="2:13">
      <c r="B144" s="727"/>
      <c r="C144" s="726"/>
      <c r="D144" s="417">
        <v>1000</v>
      </c>
      <c r="E144" s="417">
        <v>1500</v>
      </c>
      <c r="F144" s="417">
        <v>10</v>
      </c>
      <c r="G144" s="417">
        <f t="shared" si="31"/>
        <v>6</v>
      </c>
      <c r="H144" s="417">
        <f t="shared" si="32"/>
        <v>14.59728</v>
      </c>
      <c r="I144" s="417">
        <f t="shared" si="33"/>
        <v>3.4840000000000006E-3</v>
      </c>
      <c r="J144" s="417">
        <f t="shared" si="35"/>
        <v>0.39999999999999997</v>
      </c>
      <c r="K144" s="439">
        <v>3.4</v>
      </c>
      <c r="L144" s="438">
        <f t="shared" si="34"/>
        <v>0.23292010566352087</v>
      </c>
      <c r="M144" s="417">
        <f t="shared" si="36"/>
        <v>2.0408163265306121E-2</v>
      </c>
    </row>
    <row r="145" spans="2:13">
      <c r="B145" s="727"/>
      <c r="C145" s="440" t="s">
        <v>1211</v>
      </c>
      <c r="D145" s="417">
        <v>310</v>
      </c>
      <c r="E145" s="417">
        <v>340</v>
      </c>
      <c r="F145" s="417">
        <v>2.25</v>
      </c>
      <c r="G145" s="417">
        <f t="shared" si="31"/>
        <v>1.3499999999999999</v>
      </c>
      <c r="H145" s="417">
        <f t="shared" si="32"/>
        <v>3.2843880000000008</v>
      </c>
      <c r="I145" s="417">
        <f t="shared" si="33"/>
        <v>7.8390000000000024E-4</v>
      </c>
      <c r="J145" s="417">
        <f t="shared" si="35"/>
        <v>0.40000000000000013</v>
      </c>
      <c r="K145" s="439">
        <v>3.4</v>
      </c>
      <c r="L145" s="438">
        <f t="shared" si="34"/>
        <v>1.035200469615648</v>
      </c>
      <c r="M145" s="417">
        <f t="shared" si="36"/>
        <v>2.0408163265306121E-2</v>
      </c>
    </row>
    <row r="146" spans="2:13">
      <c r="B146" s="727" t="s">
        <v>1210</v>
      </c>
      <c r="C146" s="726" t="s">
        <v>1209</v>
      </c>
      <c r="D146" s="417">
        <v>400</v>
      </c>
      <c r="E146" s="417">
        <v>649</v>
      </c>
      <c r="F146" s="417">
        <v>7</v>
      </c>
      <c r="G146" s="417">
        <f t="shared" si="31"/>
        <v>4.2</v>
      </c>
      <c r="H146" s="417">
        <f t="shared" si="32"/>
        <v>10.218096000000001</v>
      </c>
      <c r="I146" s="417">
        <f t="shared" si="33"/>
        <v>2.4388000000000001E-3</v>
      </c>
      <c r="J146" s="417">
        <f t="shared" si="35"/>
        <v>0.39999999999999997</v>
      </c>
      <c r="K146" s="439">
        <v>5.18</v>
      </c>
      <c r="L146" s="438">
        <f t="shared" si="34"/>
        <v>0.50694375938531011</v>
      </c>
      <c r="M146" s="417">
        <f t="shared" si="36"/>
        <v>2.0408163265306121E-2</v>
      </c>
    </row>
    <row r="147" spans="2:13">
      <c r="B147" s="727"/>
      <c r="C147" s="726"/>
      <c r="D147" s="417">
        <v>650</v>
      </c>
      <c r="E147" s="417">
        <v>899</v>
      </c>
      <c r="F147" s="417">
        <v>10.7</v>
      </c>
      <c r="G147" s="417">
        <f t="shared" si="31"/>
        <v>6.419999999999999</v>
      </c>
      <c r="H147" s="417">
        <f t="shared" si="32"/>
        <v>15.619089600000002</v>
      </c>
      <c r="I147" s="417">
        <f t="shared" si="33"/>
        <v>3.7278800000000003E-3</v>
      </c>
      <c r="J147" s="417">
        <f t="shared" si="35"/>
        <v>0.4</v>
      </c>
      <c r="K147" s="439">
        <v>5.18</v>
      </c>
      <c r="L147" s="438">
        <f t="shared" si="34"/>
        <v>0.33164545006515611</v>
      </c>
      <c r="M147" s="417">
        <f t="shared" si="36"/>
        <v>2.0408163265306121E-2</v>
      </c>
    </row>
    <row r="148" spans="2:13">
      <c r="B148" s="727"/>
      <c r="C148" s="726"/>
      <c r="D148" s="417">
        <v>900</v>
      </c>
      <c r="E148" s="417">
        <v>1049</v>
      </c>
      <c r="F148" s="417">
        <v>13.9</v>
      </c>
      <c r="G148" s="417">
        <f t="shared" si="31"/>
        <v>8.34</v>
      </c>
      <c r="H148" s="417">
        <f t="shared" si="32"/>
        <v>20.290219200000003</v>
      </c>
      <c r="I148" s="417">
        <f t="shared" si="33"/>
        <v>4.8427600000000006E-3</v>
      </c>
      <c r="J148" s="417">
        <f t="shared" si="35"/>
        <v>0.39999999999999997</v>
      </c>
      <c r="K148" s="439">
        <v>5.18</v>
      </c>
      <c r="L148" s="438">
        <f t="shared" si="34"/>
        <v>0.25529541839547987</v>
      </c>
      <c r="M148" s="417">
        <f t="shared" si="36"/>
        <v>2.0408163265306121E-2</v>
      </c>
    </row>
    <row r="149" spans="2:13">
      <c r="B149" s="727"/>
      <c r="C149" s="726"/>
      <c r="D149" s="417">
        <v>1050</v>
      </c>
      <c r="E149" s="417">
        <v>1199</v>
      </c>
      <c r="F149" s="417">
        <v>13.8</v>
      </c>
      <c r="G149" s="417">
        <f t="shared" si="31"/>
        <v>8.2799999999999994</v>
      </c>
      <c r="H149" s="417">
        <f t="shared" si="32"/>
        <v>20.144246400000007</v>
      </c>
      <c r="I149" s="417">
        <f t="shared" si="33"/>
        <v>4.8079200000000011E-3</v>
      </c>
      <c r="J149" s="417">
        <f t="shared" si="35"/>
        <v>0.40000000000000008</v>
      </c>
      <c r="K149" s="439">
        <v>5.18</v>
      </c>
      <c r="L149" s="438">
        <f t="shared" si="34"/>
        <v>0.25714538519544705</v>
      </c>
      <c r="M149" s="417">
        <f t="shared" si="36"/>
        <v>2.0408163265306121E-2</v>
      </c>
    </row>
    <row r="150" spans="2:13">
      <c r="B150" s="727"/>
      <c r="C150" s="726"/>
      <c r="D150" s="417">
        <v>1200</v>
      </c>
      <c r="E150" s="417">
        <v>1499</v>
      </c>
      <c r="F150" s="417">
        <v>15.9</v>
      </c>
      <c r="G150" s="417">
        <f t="shared" si="31"/>
        <v>9.5399999999999991</v>
      </c>
      <c r="H150" s="417">
        <f t="shared" si="32"/>
        <v>23.209675200000003</v>
      </c>
      <c r="I150" s="417">
        <f t="shared" si="33"/>
        <v>5.5395600000000007E-3</v>
      </c>
      <c r="J150" s="417">
        <f t="shared" si="35"/>
        <v>0.39999999999999997</v>
      </c>
      <c r="K150" s="439">
        <v>5.18</v>
      </c>
      <c r="L150" s="438">
        <f t="shared" si="34"/>
        <v>0.22318278715076542</v>
      </c>
      <c r="M150" s="417">
        <f t="shared" si="36"/>
        <v>2.0408163265306121E-2</v>
      </c>
    </row>
    <row r="151" spans="2:13">
      <c r="B151" s="727"/>
      <c r="C151" s="726"/>
      <c r="D151" s="417">
        <v>1500</v>
      </c>
      <c r="E151" s="417">
        <v>1999</v>
      </c>
      <c r="F151" s="417">
        <v>18.899999999999999</v>
      </c>
      <c r="G151" s="417">
        <f t="shared" si="31"/>
        <v>11.339999999999998</v>
      </c>
      <c r="H151" s="417">
        <f t="shared" si="32"/>
        <v>27.588859200000005</v>
      </c>
      <c r="I151" s="417">
        <f t="shared" si="33"/>
        <v>6.5847600000000011E-3</v>
      </c>
      <c r="J151" s="417">
        <f t="shared" si="35"/>
        <v>0.40000000000000008</v>
      </c>
      <c r="K151" s="439">
        <v>5.18</v>
      </c>
      <c r="L151" s="438">
        <f t="shared" si="34"/>
        <v>0.1877569479204852</v>
      </c>
      <c r="M151" s="417">
        <f t="shared" si="36"/>
        <v>2.0408163265306121E-2</v>
      </c>
    </row>
    <row r="152" spans="2:13">
      <c r="B152" s="727"/>
      <c r="C152" s="726"/>
      <c r="D152" s="417">
        <v>2000</v>
      </c>
      <c r="E152" s="417">
        <v>3299</v>
      </c>
      <c r="F152" s="417">
        <v>27.3</v>
      </c>
      <c r="G152" s="417">
        <f t="shared" si="31"/>
        <v>16.38</v>
      </c>
      <c r="H152" s="417">
        <f t="shared" si="32"/>
        <v>39.850574400000006</v>
      </c>
      <c r="I152" s="417">
        <f t="shared" si="33"/>
        <v>9.5113200000000019E-3</v>
      </c>
      <c r="J152" s="417">
        <f t="shared" si="35"/>
        <v>0.4</v>
      </c>
      <c r="K152" s="439">
        <v>5.18</v>
      </c>
      <c r="L152" s="438">
        <f t="shared" si="34"/>
        <v>0.12998557932956667</v>
      </c>
      <c r="M152" s="417">
        <f t="shared" si="36"/>
        <v>2.0408163265306121E-2</v>
      </c>
    </row>
    <row r="153" spans="2:13">
      <c r="B153" s="727"/>
      <c r="C153" s="730" t="s">
        <v>1208</v>
      </c>
      <c r="D153" s="417">
        <v>310</v>
      </c>
      <c r="E153" s="417">
        <v>374</v>
      </c>
      <c r="F153" s="417">
        <v>4.5999999999999996</v>
      </c>
      <c r="G153" s="417">
        <f t="shared" ref="G153:G169" si="37">F153*0.6</f>
        <v>2.76</v>
      </c>
      <c r="H153" s="417">
        <f t="shared" ref="H153:H169" si="38">((F153-G153)/1000)*$C$112*$C$114</f>
        <v>6.7147488000000006</v>
      </c>
      <c r="I153" s="417">
        <f t="shared" ref="I153:I169" si="39">((F153-G153)/1000)*$C$113*$C$115</f>
        <v>1.60264E-3</v>
      </c>
      <c r="J153" s="417">
        <f t="shared" ref="J153:J169" si="40">H153/((F153/1000)*$C$112*$C$114)</f>
        <v>0.40000000000000008</v>
      </c>
      <c r="K153" s="439">
        <v>5.18</v>
      </c>
      <c r="L153" s="438">
        <f t="shared" ref="L153:L169" si="41">K153/H153</f>
        <v>0.77143615558634138</v>
      </c>
      <c r="M153" s="417">
        <f t="shared" si="36"/>
        <v>2.0408163265306121E-2</v>
      </c>
    </row>
    <row r="154" spans="2:13">
      <c r="B154" s="727"/>
      <c r="C154" s="730"/>
      <c r="D154" s="417">
        <v>375</v>
      </c>
      <c r="E154" s="417">
        <v>600</v>
      </c>
      <c r="F154" s="417">
        <v>6.4</v>
      </c>
      <c r="G154" s="417">
        <f t="shared" si="37"/>
        <v>3.84</v>
      </c>
      <c r="H154" s="417">
        <f t="shared" si="38"/>
        <v>9.3422592000000027</v>
      </c>
      <c r="I154" s="417">
        <f t="shared" si="39"/>
        <v>2.2297600000000008E-3</v>
      </c>
      <c r="J154" s="417">
        <f t="shared" si="40"/>
        <v>0.40000000000000008</v>
      </c>
      <c r="K154" s="439">
        <v>5.18</v>
      </c>
      <c r="L154" s="438">
        <f t="shared" si="41"/>
        <v>0.55446973682768275</v>
      </c>
      <c r="M154" s="417">
        <f t="shared" si="36"/>
        <v>2.0408163265306121E-2</v>
      </c>
    </row>
    <row r="155" spans="2:13">
      <c r="B155" s="727"/>
      <c r="C155" s="726" t="s">
        <v>1207</v>
      </c>
      <c r="D155" s="417">
        <v>650</v>
      </c>
      <c r="E155" s="417">
        <v>949</v>
      </c>
      <c r="F155" s="417">
        <v>9.3000000000000007</v>
      </c>
      <c r="G155" s="417">
        <f t="shared" si="37"/>
        <v>5.58</v>
      </c>
      <c r="H155" s="417">
        <f t="shared" si="38"/>
        <v>13.575470400000004</v>
      </c>
      <c r="I155" s="417">
        <f t="shared" si="39"/>
        <v>3.2401200000000008E-3</v>
      </c>
      <c r="J155" s="417">
        <f t="shared" si="40"/>
        <v>0.4</v>
      </c>
      <c r="K155" s="439">
        <v>5.18</v>
      </c>
      <c r="L155" s="438">
        <f t="shared" si="41"/>
        <v>0.38157057158034086</v>
      </c>
      <c r="M155" s="417">
        <f t="shared" si="36"/>
        <v>2.0408163265306121E-2</v>
      </c>
    </row>
    <row r="156" spans="2:13">
      <c r="B156" s="727"/>
      <c r="C156" s="726"/>
      <c r="D156" s="417">
        <v>950</v>
      </c>
      <c r="E156" s="417">
        <v>1099</v>
      </c>
      <c r="F156" s="417">
        <v>12.7</v>
      </c>
      <c r="G156" s="417">
        <f t="shared" si="37"/>
        <v>7.6199999999999992</v>
      </c>
      <c r="H156" s="417">
        <f t="shared" si="38"/>
        <v>18.538545600000003</v>
      </c>
      <c r="I156" s="417">
        <f t="shared" si="39"/>
        <v>4.4246800000000003E-3</v>
      </c>
      <c r="J156" s="417">
        <f t="shared" si="40"/>
        <v>0.4</v>
      </c>
      <c r="K156" s="439">
        <v>5.18</v>
      </c>
      <c r="L156" s="438">
        <f t="shared" si="41"/>
        <v>0.27941782013363547</v>
      </c>
      <c r="M156" s="417">
        <f t="shared" si="36"/>
        <v>2.0408163265306121E-2</v>
      </c>
    </row>
    <row r="157" spans="2:13">
      <c r="B157" s="727"/>
      <c r="C157" s="726"/>
      <c r="D157" s="417">
        <v>1100</v>
      </c>
      <c r="E157" s="417">
        <v>1399</v>
      </c>
      <c r="F157" s="417">
        <v>14.4</v>
      </c>
      <c r="G157" s="417">
        <f t="shared" si="37"/>
        <v>8.64</v>
      </c>
      <c r="H157" s="417">
        <f t="shared" si="38"/>
        <v>21.020083200000002</v>
      </c>
      <c r="I157" s="417">
        <f t="shared" si="39"/>
        <v>5.01696E-3</v>
      </c>
      <c r="J157" s="417">
        <f t="shared" si="40"/>
        <v>0.40000000000000008</v>
      </c>
      <c r="K157" s="439">
        <v>5.18</v>
      </c>
      <c r="L157" s="438">
        <f t="shared" si="41"/>
        <v>0.24643099414563685</v>
      </c>
      <c r="M157" s="417">
        <f t="shared" si="36"/>
        <v>2.0408163265306121E-2</v>
      </c>
    </row>
    <row r="158" spans="2:13">
      <c r="B158" s="727"/>
      <c r="C158" s="726"/>
      <c r="D158" s="417">
        <v>1400</v>
      </c>
      <c r="E158" s="417">
        <v>1600</v>
      </c>
      <c r="F158" s="417">
        <v>16.600000000000001</v>
      </c>
      <c r="G158" s="417">
        <f t="shared" si="37"/>
        <v>9.9600000000000009</v>
      </c>
      <c r="H158" s="417">
        <f t="shared" si="38"/>
        <v>24.231484800000004</v>
      </c>
      <c r="I158" s="417">
        <f t="shared" si="39"/>
        <v>5.7834400000000008E-3</v>
      </c>
      <c r="J158" s="417">
        <f t="shared" si="40"/>
        <v>0.4</v>
      </c>
      <c r="K158" s="439">
        <v>5.18</v>
      </c>
      <c r="L158" s="438">
        <f t="shared" si="41"/>
        <v>0.21377146480103434</v>
      </c>
      <c r="M158" s="417">
        <f t="shared" si="36"/>
        <v>2.0408163265306121E-2</v>
      </c>
    </row>
    <row r="159" spans="2:13">
      <c r="B159" s="727"/>
      <c r="C159" s="726"/>
      <c r="D159" s="417">
        <v>1601</v>
      </c>
      <c r="E159" s="417">
        <v>1800</v>
      </c>
      <c r="F159" s="417">
        <v>22.2</v>
      </c>
      <c r="G159" s="417">
        <f t="shared" si="37"/>
        <v>13.319999999999999</v>
      </c>
      <c r="H159" s="417">
        <f t="shared" si="38"/>
        <v>32.405961600000005</v>
      </c>
      <c r="I159" s="417">
        <f t="shared" si="39"/>
        <v>7.7344800000000019E-3</v>
      </c>
      <c r="J159" s="417">
        <f t="shared" si="40"/>
        <v>0.39999999999999997</v>
      </c>
      <c r="K159" s="439">
        <v>5.18</v>
      </c>
      <c r="L159" s="438">
        <f t="shared" si="41"/>
        <v>0.15984713133771036</v>
      </c>
      <c r="M159" s="417">
        <f t="shared" si="36"/>
        <v>2.0408163265306121E-2</v>
      </c>
    </row>
    <row r="160" spans="2:13">
      <c r="B160" s="727"/>
      <c r="C160" s="729" t="s">
        <v>1206</v>
      </c>
      <c r="D160" s="417">
        <v>450</v>
      </c>
      <c r="E160" s="417">
        <v>524</v>
      </c>
      <c r="F160" s="417">
        <v>6</v>
      </c>
      <c r="G160" s="417">
        <f t="shared" si="37"/>
        <v>3.5999999999999996</v>
      </c>
      <c r="H160" s="417">
        <f t="shared" si="38"/>
        <v>8.7583680000000026</v>
      </c>
      <c r="I160" s="417">
        <f t="shared" si="39"/>
        <v>2.0904000000000005E-3</v>
      </c>
      <c r="J160" s="417">
        <f t="shared" si="40"/>
        <v>0.40000000000000013</v>
      </c>
      <c r="K160" s="439">
        <v>5.18</v>
      </c>
      <c r="L160" s="438">
        <f t="shared" si="41"/>
        <v>0.59143438594952824</v>
      </c>
      <c r="M160" s="417">
        <f t="shared" si="36"/>
        <v>2.0408163265306121E-2</v>
      </c>
    </row>
    <row r="161" spans="2:13">
      <c r="B161" s="727"/>
      <c r="C161" s="729"/>
      <c r="D161" s="417">
        <v>525</v>
      </c>
      <c r="E161" s="417">
        <v>750</v>
      </c>
      <c r="F161" s="417">
        <v>7.1</v>
      </c>
      <c r="G161" s="417">
        <f t="shared" si="37"/>
        <v>4.26</v>
      </c>
      <c r="H161" s="417">
        <f t="shared" si="38"/>
        <v>10.3640688</v>
      </c>
      <c r="I161" s="417">
        <f t="shared" si="39"/>
        <v>2.47364E-3</v>
      </c>
      <c r="J161" s="417">
        <f t="shared" si="40"/>
        <v>0.39999999999999997</v>
      </c>
      <c r="K161" s="439">
        <v>5.18</v>
      </c>
      <c r="L161" s="438">
        <f t="shared" si="41"/>
        <v>0.49980370643622124</v>
      </c>
      <c r="M161" s="417">
        <f t="shared" si="36"/>
        <v>2.0408163265306121E-2</v>
      </c>
    </row>
    <row r="162" spans="2:13">
      <c r="B162" s="727"/>
      <c r="C162" s="729" t="s">
        <v>1205</v>
      </c>
      <c r="D162" s="417">
        <v>310</v>
      </c>
      <c r="E162" s="417">
        <v>324</v>
      </c>
      <c r="F162" s="417">
        <v>3.8</v>
      </c>
      <c r="G162" s="417">
        <f t="shared" si="37"/>
        <v>2.2799999999999998</v>
      </c>
      <c r="H162" s="417">
        <f t="shared" si="38"/>
        <v>5.5469664000000005</v>
      </c>
      <c r="I162" s="417">
        <f t="shared" si="39"/>
        <v>1.3239200000000003E-3</v>
      </c>
      <c r="J162" s="417">
        <f t="shared" si="40"/>
        <v>0.4</v>
      </c>
      <c r="K162" s="439">
        <v>5.18</v>
      </c>
      <c r="L162" s="438">
        <f t="shared" si="41"/>
        <v>0.93384376728872909</v>
      </c>
      <c r="M162" s="417">
        <f t="shared" si="36"/>
        <v>2.0408163265306121E-2</v>
      </c>
    </row>
    <row r="163" spans="2:13">
      <c r="B163" s="727"/>
      <c r="C163" s="729"/>
      <c r="D163" s="417">
        <v>325</v>
      </c>
      <c r="E163" s="417">
        <v>369</v>
      </c>
      <c r="F163" s="417">
        <v>4.8</v>
      </c>
      <c r="G163" s="417">
        <f t="shared" si="37"/>
        <v>2.88</v>
      </c>
      <c r="H163" s="417">
        <f t="shared" si="38"/>
        <v>7.0066944000000007</v>
      </c>
      <c r="I163" s="417">
        <f t="shared" si="39"/>
        <v>1.6723200000000001E-3</v>
      </c>
      <c r="J163" s="417">
        <f t="shared" si="40"/>
        <v>0.4</v>
      </c>
      <c r="K163" s="439">
        <v>5.18</v>
      </c>
      <c r="L163" s="438">
        <f t="shared" si="41"/>
        <v>0.73929298243691055</v>
      </c>
      <c r="M163" s="417">
        <f t="shared" si="36"/>
        <v>2.0408163265306121E-2</v>
      </c>
    </row>
    <row r="164" spans="2:13">
      <c r="B164" s="727"/>
      <c r="C164" s="729"/>
      <c r="D164" s="417">
        <v>370</v>
      </c>
      <c r="E164" s="417">
        <v>400</v>
      </c>
      <c r="F164" s="417">
        <v>4.9000000000000004</v>
      </c>
      <c r="G164" s="417">
        <f t="shared" si="37"/>
        <v>2.94</v>
      </c>
      <c r="H164" s="417">
        <f t="shared" si="38"/>
        <v>7.1526672000000024</v>
      </c>
      <c r="I164" s="417">
        <f t="shared" si="39"/>
        <v>1.7071600000000005E-3</v>
      </c>
      <c r="J164" s="417">
        <f t="shared" si="40"/>
        <v>0.40000000000000013</v>
      </c>
      <c r="K164" s="439">
        <v>5.18</v>
      </c>
      <c r="L164" s="438">
        <f t="shared" si="41"/>
        <v>0.72420537055044276</v>
      </c>
      <c r="M164" s="417">
        <f t="shared" si="36"/>
        <v>2.0408163265306121E-2</v>
      </c>
    </row>
    <row r="165" spans="2:13">
      <c r="B165" s="726" t="s">
        <v>1204</v>
      </c>
      <c r="C165" s="730" t="s">
        <v>1203</v>
      </c>
      <c r="D165" s="417">
        <v>310</v>
      </c>
      <c r="E165" s="417">
        <v>399</v>
      </c>
      <c r="F165" s="417">
        <v>4</v>
      </c>
      <c r="G165" s="417">
        <f t="shared" si="37"/>
        <v>2.4</v>
      </c>
      <c r="H165" s="417">
        <f t="shared" si="38"/>
        <v>5.8389120000000005</v>
      </c>
      <c r="I165" s="417">
        <f t="shared" si="39"/>
        <v>1.3936000000000003E-3</v>
      </c>
      <c r="J165" s="417">
        <f t="shared" si="40"/>
        <v>0.4</v>
      </c>
      <c r="K165" s="439">
        <v>3.4</v>
      </c>
      <c r="L165" s="438">
        <f t="shared" si="41"/>
        <v>0.58230026415880209</v>
      </c>
      <c r="M165" s="417">
        <f t="shared" si="36"/>
        <v>2.0408163265306121E-2</v>
      </c>
    </row>
    <row r="166" spans="2:13">
      <c r="B166" s="726"/>
      <c r="C166" s="730"/>
      <c r="D166" s="417">
        <v>400</v>
      </c>
      <c r="E166" s="417">
        <v>749</v>
      </c>
      <c r="F166" s="417">
        <v>6.6</v>
      </c>
      <c r="G166" s="417">
        <f t="shared" si="37"/>
        <v>3.9599999999999995</v>
      </c>
      <c r="H166" s="417">
        <f t="shared" si="38"/>
        <v>9.6342048000000009</v>
      </c>
      <c r="I166" s="417">
        <f t="shared" si="39"/>
        <v>2.2994400000000003E-3</v>
      </c>
      <c r="J166" s="417">
        <f t="shared" si="40"/>
        <v>0.4</v>
      </c>
      <c r="K166" s="439">
        <v>3.4</v>
      </c>
      <c r="L166" s="438">
        <f t="shared" si="41"/>
        <v>0.3529092510053346</v>
      </c>
      <c r="M166" s="417">
        <f t="shared" si="36"/>
        <v>2.0408163265306121E-2</v>
      </c>
    </row>
    <row r="167" spans="2:13">
      <c r="B167" s="726"/>
      <c r="C167" s="730"/>
      <c r="D167" s="417">
        <v>750</v>
      </c>
      <c r="E167" s="417">
        <v>899</v>
      </c>
      <c r="F167" s="417">
        <v>9.6</v>
      </c>
      <c r="G167" s="417">
        <f t="shared" si="37"/>
        <v>5.76</v>
      </c>
      <c r="H167" s="417">
        <f t="shared" si="38"/>
        <v>14.013388800000001</v>
      </c>
      <c r="I167" s="417">
        <f t="shared" si="39"/>
        <v>3.3446400000000003E-3</v>
      </c>
      <c r="J167" s="417">
        <f t="shared" si="40"/>
        <v>0.4</v>
      </c>
      <c r="K167" s="439">
        <v>3.4</v>
      </c>
      <c r="L167" s="438">
        <f t="shared" si="41"/>
        <v>0.24262511006616755</v>
      </c>
      <c r="M167" s="417">
        <f t="shared" si="36"/>
        <v>2.0408163265306121E-2</v>
      </c>
    </row>
    <row r="168" spans="2:13">
      <c r="B168" s="726"/>
      <c r="C168" s="730"/>
      <c r="D168" s="417">
        <v>900</v>
      </c>
      <c r="E168" s="417">
        <v>1399</v>
      </c>
      <c r="F168" s="417">
        <v>13.1</v>
      </c>
      <c r="G168" s="417">
        <f t="shared" si="37"/>
        <v>7.8599999999999994</v>
      </c>
      <c r="H168" s="417">
        <f t="shared" si="38"/>
        <v>19.122436800000003</v>
      </c>
      <c r="I168" s="417">
        <f t="shared" si="39"/>
        <v>4.5640400000000001E-3</v>
      </c>
      <c r="J168" s="417">
        <f t="shared" si="40"/>
        <v>0.40000000000000008</v>
      </c>
      <c r="K168" s="439">
        <v>3.4</v>
      </c>
      <c r="L168" s="438">
        <f t="shared" si="41"/>
        <v>0.17780160737673345</v>
      </c>
      <c r="M168" s="417">
        <f t="shared" si="36"/>
        <v>2.0408163265306121E-2</v>
      </c>
    </row>
    <row r="169" spans="2:13">
      <c r="B169" s="726"/>
      <c r="C169" s="730"/>
      <c r="D169" s="417">
        <v>1400</v>
      </c>
      <c r="E169" s="417">
        <v>1999</v>
      </c>
      <c r="F169" s="417">
        <v>16</v>
      </c>
      <c r="G169" s="417">
        <f t="shared" si="37"/>
        <v>9.6</v>
      </c>
      <c r="H169" s="417">
        <f t="shared" si="38"/>
        <v>23.355648000000002</v>
      </c>
      <c r="I169" s="417">
        <f t="shared" si="39"/>
        <v>5.5744000000000011E-3</v>
      </c>
      <c r="J169" s="417">
        <f t="shared" si="40"/>
        <v>0.4</v>
      </c>
      <c r="K169" s="439">
        <v>3.4</v>
      </c>
      <c r="L169" s="438">
        <f t="shared" si="41"/>
        <v>0.14557506603970052</v>
      </c>
      <c r="M169" s="417">
        <f t="shared" si="36"/>
        <v>2.0408163265306121E-2</v>
      </c>
    </row>
    <row r="170" spans="2:13">
      <c r="B170" s="7" t="s">
        <v>0</v>
      </c>
      <c r="C170" s="7"/>
      <c r="D170" s="7"/>
      <c r="E170" s="7"/>
      <c r="F170" s="7"/>
      <c r="G170" s="7"/>
      <c r="H170" s="7">
        <f>SUMPRODUCT(H121:H169,$M$121:$M$169)</f>
        <v>14.768574612244903</v>
      </c>
      <c r="I170" s="7">
        <f>SUMPRODUCT(I121:I169,$M$121:$M$169)</f>
        <v>3.5248836734693883E-3</v>
      </c>
      <c r="J170" s="7">
        <f>SUMPRODUCT(J121:J169,$M$121:$M$169)</f>
        <v>0.39999999999999963</v>
      </c>
      <c r="K170" s="7">
        <f>SUMPRODUCT(K121:K169,$M$121:$M$169)</f>
        <v>3.9902040816326543</v>
      </c>
      <c r="L170" s="7">
        <f>SUMPRODUCT(L121:L169,$M$121:$M$169)</f>
        <v>0.38459161815607601</v>
      </c>
      <c r="M170" s="417"/>
    </row>
  </sheetData>
  <mergeCells count="17">
    <mergeCell ref="C160:C161"/>
    <mergeCell ref="C162:C164"/>
    <mergeCell ref="B146:B164"/>
    <mergeCell ref="C165:C169"/>
    <mergeCell ref="B165:B169"/>
    <mergeCell ref="C153:C154"/>
    <mergeCell ref="C155:C159"/>
    <mergeCell ref="C121:C127"/>
    <mergeCell ref="C140:C141"/>
    <mergeCell ref="C142:C144"/>
    <mergeCell ref="B128:B145"/>
    <mergeCell ref="C146:C152"/>
    <mergeCell ref="B121:B127"/>
    <mergeCell ref="C128:C129"/>
    <mergeCell ref="C130:C134"/>
    <mergeCell ref="C135:C137"/>
    <mergeCell ref="C138:C139"/>
  </mergeCells>
  <dataValidations count="5">
    <dataValidation type="list" allowBlank="1" showInputMessage="1" showErrorMessage="1" sqref="D7" xr:uid="{76890ABD-D3E5-441C-BD5E-75E2C56A8419}">
      <formula1>$N$11:$O$11</formula1>
    </dataValidation>
    <dataValidation type="list" allowBlank="1" showInputMessage="1" showErrorMessage="1" sqref="B11:C20" xr:uid="{ACA2E6A0-B6B3-47D9-9CF7-4825A745FB95}">
      <formula1>$N$7:$Q$7</formula1>
    </dataValidation>
    <dataValidation type="list" allowBlank="1" showInputMessage="1" showErrorMessage="1" sqref="D11:D20" xr:uid="{47CAE7A2-5D47-48DF-94BC-066FDAAD8589}">
      <formula1>$N$22:$AE$22</formula1>
    </dataValidation>
    <dataValidation type="list" allowBlank="1" showInputMessage="1" showErrorMessage="1" sqref="E11:E20" xr:uid="{FDCE5FBC-5DEF-4D32-AF97-3CD504A44115}">
      <formula1>$N$16:$O$16</formula1>
    </dataValidation>
    <dataValidation type="list" allowBlank="1" showInputMessage="1" showErrorMessage="1" sqref="C59:L59" xr:uid="{3D51B8D1-E569-4CB7-B9CF-A0CF6D1A07E6}">
      <formula1>$N$19:$AQ$19</formula1>
    </dataValidation>
  </dataValidations>
  <pageMargins left="0.7" right="0.7" top="0.75" bottom="0.75" header="0.3" footer="0.3"/>
  <pageSetup orientation="portrait"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87DF-F5FE-493F-9133-507B8B2378CD}">
  <sheetPr codeName="Sheet125">
    <tabColor indexed="13"/>
  </sheetPr>
  <dimension ref="A1:AQ133"/>
  <sheetViews>
    <sheetView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18.140625" style="414" customWidth="1"/>
    <col min="4" max="4" width="21.42578125" style="414" customWidth="1"/>
    <col min="5" max="5" width="18.140625" style="414" customWidth="1"/>
    <col min="6" max="6" width="21.42578125" style="414" customWidth="1"/>
    <col min="7" max="7" width="19.85546875" style="414" customWidth="1"/>
    <col min="8" max="8" width="16.42578125" style="414" customWidth="1"/>
    <col min="9" max="9" width="48.42578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Fluorescent Delamping</v>
      </c>
      <c r="C7" s="433" t="s">
        <v>1202</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Fluorescent Delamping_CI, E - IntL [No Heat] (RET)</v>
      </c>
      <c r="J11" s="408" t="str">
        <f t="shared" ref="J11:J20" si="3">IF(B11="","",CONCATENATE($C$7,IF(C11="","",CONCATENATE(" with ",C11," Secondary Fuel"))))</f>
        <v>Fluorescent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Fluorescent Delamping_CI,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Fluorescent Delamping_CI,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Fluorescent Delamping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Fluorescent Delamping_CI,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Fluorescent Delamping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11</v>
      </c>
      <c r="D39" s="408"/>
      <c r="E39" s="408"/>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Fluorescent Delamping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t="s">
        <v>1200</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t="s">
        <v>1199</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f>E133</f>
        <v>75.175992000000008</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f>G133</f>
        <v>1</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f>H133</f>
        <v>26.6</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f>I133</f>
        <v>0.40848234261423599</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Fluorescent Delamping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0">
      <c r="B113" s="93" t="s">
        <v>367</v>
      </c>
      <c r="C113" s="97">
        <v>1.3</v>
      </c>
      <c r="D113" s="93" t="s">
        <v>1084</v>
      </c>
      <c r="E113" s="286" t="s">
        <v>1107</v>
      </c>
    </row>
    <row r="114" spans="2:10">
      <c r="B114" s="93" t="s">
        <v>309</v>
      </c>
      <c r="C114" s="97">
        <v>3379</v>
      </c>
      <c r="D114" s="93" t="s">
        <v>1084</v>
      </c>
      <c r="E114" s="93" t="s">
        <v>1106</v>
      </c>
    </row>
    <row r="115" spans="2:10">
      <c r="B115" s="93" t="s">
        <v>34</v>
      </c>
      <c r="C115" s="97">
        <v>0.67</v>
      </c>
      <c r="D115" s="93" t="s">
        <v>1084</v>
      </c>
      <c r="E115" s="93"/>
    </row>
    <row r="116" spans="2:10">
      <c r="B116" s="97" t="s">
        <v>9</v>
      </c>
      <c r="C116" s="93" t="s">
        <v>35</v>
      </c>
      <c r="D116" s="93" t="s">
        <v>1192</v>
      </c>
      <c r="E116" s="93"/>
    </row>
    <row r="117" spans="2:10">
      <c r="B117" s="93" t="s">
        <v>518</v>
      </c>
      <c r="C117" s="93">
        <v>11</v>
      </c>
      <c r="D117" s="93" t="s">
        <v>1192</v>
      </c>
      <c r="E117" s="93"/>
    </row>
    <row r="119" spans="2:10">
      <c r="B119" s="415"/>
      <c r="C119" s="731" t="s">
        <v>1191</v>
      </c>
      <c r="D119" s="731"/>
      <c r="E119" s="415" t="s">
        <v>1190</v>
      </c>
      <c r="F119" s="417"/>
    </row>
    <row r="120" spans="2:10">
      <c r="B120" s="415" t="s">
        <v>1186</v>
      </c>
      <c r="C120" s="415" t="s">
        <v>1189</v>
      </c>
      <c r="D120" s="415" t="s">
        <v>1188</v>
      </c>
      <c r="E120" s="415" t="s">
        <v>1187</v>
      </c>
      <c r="F120" s="415" t="s">
        <v>9</v>
      </c>
    </row>
    <row r="121" spans="2:10">
      <c r="B121" s="415" t="s">
        <v>1185</v>
      </c>
      <c r="C121" s="417">
        <v>38.6</v>
      </c>
      <c r="D121" s="417">
        <v>60.3</v>
      </c>
      <c r="E121" s="417">
        <v>47.3</v>
      </c>
      <c r="F121" s="416">
        <v>30</v>
      </c>
    </row>
    <row r="122" spans="2:10">
      <c r="B122" s="415" t="s">
        <v>1184</v>
      </c>
      <c r="C122" s="417">
        <v>19.399999999999999</v>
      </c>
      <c r="D122" s="417">
        <v>33.700000000000003</v>
      </c>
      <c r="E122" s="417">
        <v>25.1</v>
      </c>
      <c r="F122" s="416">
        <v>25</v>
      </c>
    </row>
    <row r="123" spans="2:10">
      <c r="B123" s="415" t="s">
        <v>1183</v>
      </c>
      <c r="C123" s="417">
        <v>14.6</v>
      </c>
      <c r="D123" s="417">
        <v>40</v>
      </c>
      <c r="E123" s="417">
        <v>24.8</v>
      </c>
      <c r="F123" s="416">
        <v>25.7</v>
      </c>
    </row>
    <row r="124" spans="2:10">
      <c r="B124" s="415" t="s">
        <v>1182</v>
      </c>
      <c r="C124" s="417">
        <v>9.8000000000000007</v>
      </c>
      <c r="D124" s="417">
        <v>28</v>
      </c>
      <c r="E124" s="417">
        <v>17.100000000000001</v>
      </c>
      <c r="F124" s="416">
        <v>25.7</v>
      </c>
    </row>
    <row r="127" spans="2:10">
      <c r="B127" s="94" t="s">
        <v>533</v>
      </c>
      <c r="C127" s="93"/>
      <c r="D127" s="93"/>
      <c r="E127" s="93"/>
      <c r="F127" s="93"/>
      <c r="G127" s="93"/>
      <c r="H127" s="93"/>
      <c r="I127" s="93"/>
      <c r="J127" s="93"/>
    </row>
    <row r="128" spans="2:10">
      <c r="B128" s="415" t="s">
        <v>1186</v>
      </c>
      <c r="C128" s="94" t="s">
        <v>627</v>
      </c>
      <c r="D128" s="94" t="s">
        <v>624</v>
      </c>
      <c r="E128" s="94" t="s">
        <v>500</v>
      </c>
      <c r="F128" s="94" t="s">
        <v>499</v>
      </c>
      <c r="G128" s="94" t="s">
        <v>244</v>
      </c>
      <c r="H128" s="94" t="s">
        <v>9</v>
      </c>
      <c r="I128" s="94" t="s">
        <v>8</v>
      </c>
      <c r="J128" s="94" t="s">
        <v>7</v>
      </c>
    </row>
    <row r="129" spans="2:10">
      <c r="B129" s="415" t="s">
        <v>1185</v>
      </c>
      <c r="C129" s="93">
        <f>VLOOKUP(B129,$B$119:$E$124,2,FALSE)</f>
        <v>38.6</v>
      </c>
      <c r="D129" s="93">
        <f>$C$111</f>
        <v>0</v>
      </c>
      <c r="E129" s="93">
        <f>((C129-D129)*$C$114*$C$112/1000)</f>
        <v>140.86375200000001</v>
      </c>
      <c r="F129" s="93">
        <f>((C129-D129)*$C$113*$C$115)/1000</f>
        <v>3.36206E-2</v>
      </c>
      <c r="G129" s="285">
        <f>E129/(C129*$C$114*$C$112/1000)</f>
        <v>1</v>
      </c>
      <c r="H129" s="312">
        <f>F121</f>
        <v>30</v>
      </c>
      <c r="I129" s="93">
        <f>VLOOKUP(B129,$B$119:$E$124,4,FALSE)/E129</f>
        <v>0.33578546168499046</v>
      </c>
      <c r="J129" s="93">
        <f>1/COUNT($I$129:$I$132)</f>
        <v>0.25</v>
      </c>
    </row>
    <row r="130" spans="2:10">
      <c r="B130" s="415" t="s">
        <v>1184</v>
      </c>
      <c r="C130" s="93">
        <f>VLOOKUP(B130,$B$119:$E$124,2,FALSE)</f>
        <v>19.399999999999999</v>
      </c>
      <c r="D130" s="93">
        <f>$C$111</f>
        <v>0</v>
      </c>
      <c r="E130" s="93">
        <f>((C130-D130)*$C$114*$C$112/1000)</f>
        <v>70.796807999999984</v>
      </c>
      <c r="F130" s="93">
        <f>((C130-D130)*$C$113*$C$115)/1000</f>
        <v>1.68974E-2</v>
      </c>
      <c r="G130" s="285">
        <f>((C130-D130)*$C$114*$C$112/1000)/(C130*$C$114*$C$112/1000)</f>
        <v>1</v>
      </c>
      <c r="H130" s="312">
        <f>F122</f>
        <v>25</v>
      </c>
      <c r="I130" s="93">
        <f>VLOOKUP(B130,$B$119:$E$124,4,FALSE)/E130</f>
        <v>0.35453575816582023</v>
      </c>
      <c r="J130" s="93">
        <f>1/COUNT($I$129:$I$132)</f>
        <v>0.25</v>
      </c>
    </row>
    <row r="131" spans="2:10">
      <c r="B131" s="415" t="s">
        <v>1183</v>
      </c>
      <c r="C131" s="93">
        <f>VLOOKUP(B131,$B$119:$E$124,2,FALSE)</f>
        <v>14.6</v>
      </c>
      <c r="D131" s="93">
        <f>$C$111</f>
        <v>0</v>
      </c>
      <c r="E131" s="93">
        <f>((C131-D131)*$C$114*$C$112/1000)</f>
        <v>53.280072000000004</v>
      </c>
      <c r="F131" s="93">
        <f>((C131-D131)*$C$113*$C$115)/1000</f>
        <v>1.2716600000000002E-2</v>
      </c>
      <c r="G131" s="285">
        <f>((C131-D131)*$C$114*$C$112/1000)/(C131*$C$114*$C$112/1000)</f>
        <v>1</v>
      </c>
      <c r="H131" s="312">
        <f>F123</f>
        <v>25.7</v>
      </c>
      <c r="I131" s="93">
        <f>VLOOKUP(B131,$B$119:$E$124,4,FALSE)/E131</f>
        <v>0.46546483645892966</v>
      </c>
      <c r="J131" s="93">
        <f>1/COUNT($I$129:$I$132)</f>
        <v>0.25</v>
      </c>
    </row>
    <row r="132" spans="2:10">
      <c r="B132" s="415" t="s">
        <v>1182</v>
      </c>
      <c r="C132" s="93">
        <f>VLOOKUP(B132,$B$119:$E$124,2,FALSE)</f>
        <v>9.8000000000000007</v>
      </c>
      <c r="D132" s="93">
        <f>$C$111</f>
        <v>0</v>
      </c>
      <c r="E132" s="93">
        <f>((C132-D132)*$C$114*$C$112/1000)</f>
        <v>35.76333600000001</v>
      </c>
      <c r="F132" s="93">
        <f>((C132-D132)*$C$113*$C$115)/1000</f>
        <v>8.5358000000000014E-3</v>
      </c>
      <c r="G132" s="285">
        <f>((C132-D132)*$C$114*$C$112/1000)/(C132*$C$114*$C$112/1000)</f>
        <v>1</v>
      </c>
      <c r="H132" s="312">
        <f>F124</f>
        <v>25.7</v>
      </c>
      <c r="I132" s="93">
        <f>VLOOKUP(B132,$B$119:$E$124,4,FALSE)/E132</f>
        <v>0.47814331414720362</v>
      </c>
      <c r="J132" s="93">
        <f>1/COUNT($I$129:$I$132)</f>
        <v>0.25</v>
      </c>
    </row>
    <row r="133" spans="2:10">
      <c r="B133" s="7" t="s">
        <v>0</v>
      </c>
      <c r="C133" s="7"/>
      <c r="D133" s="7"/>
      <c r="E133" s="7">
        <f>SUMPRODUCT(E129:E132,$J$129:$J$132)</f>
        <v>75.175992000000008</v>
      </c>
      <c r="F133" s="7">
        <f>SUMPRODUCT(F129:F132,$J$129:$J$132)</f>
        <v>1.79426E-2</v>
      </c>
      <c r="G133" s="7">
        <f>SUMPRODUCT(G129:G132,$J$129:$J$132)</f>
        <v>1</v>
      </c>
      <c r="H133" s="7">
        <f>SUMPRODUCT(H129:H132,$J$129:$J$132)</f>
        <v>26.6</v>
      </c>
      <c r="I133" s="7">
        <f>SUMPRODUCT(I129:I132,$J$129:$J$132)</f>
        <v>0.40848234261423599</v>
      </c>
      <c r="J133" s="93"/>
    </row>
  </sheetData>
  <mergeCells count="1">
    <mergeCell ref="C119:D119"/>
  </mergeCells>
  <dataValidations count="5">
    <dataValidation type="list" allowBlank="1" showInputMessage="1" showErrorMessage="1" sqref="C59:L59" xr:uid="{00000000-0002-0000-8900-000004000000}">
      <formula1>$N$19:$AQ$19</formula1>
    </dataValidation>
    <dataValidation type="list" allowBlank="1" showInputMessage="1" showErrorMessage="1" sqref="E11:E20" xr:uid="{00000000-0002-0000-8900-000003000000}">
      <formula1>$N$16:$O$16</formula1>
    </dataValidation>
    <dataValidation type="list" allowBlank="1" showInputMessage="1" showErrorMessage="1" sqref="D11:D20" xr:uid="{00000000-0002-0000-8900-000002000000}">
      <formula1>$N$22:$AE$22</formula1>
    </dataValidation>
    <dataValidation type="list" allowBlank="1" showInputMessage="1" showErrorMessage="1" sqref="B11:C20" xr:uid="{00000000-0002-0000-8900-000001000000}">
      <formula1>$N$7:$Q$7</formula1>
    </dataValidation>
    <dataValidation type="list" allowBlank="1" showInputMessage="1" showErrorMessage="1" sqref="D7" xr:uid="{00000000-0002-0000-8900-000000000000}">
      <formula1>$N$11:$O$11</formula1>
    </dataValidation>
  </dataValidations>
  <pageMargins left="0.7" right="0.7" top="0.75" bottom="0.75" header="0.3" footer="0.3"/>
  <pageSetup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05B4A-1CAD-4FA5-BFE5-712BDAE665D4}">
  <sheetPr codeName="Sheet152">
    <tabColor indexed="13"/>
  </sheetPr>
  <dimension ref="A1:AQ190"/>
  <sheetViews>
    <sheetView topLeftCell="A30" zoomScale="90" zoomScaleNormal="90" workbookViewId="0">
      <selection activeCell="C57" sqref="C57:C58"/>
    </sheetView>
  </sheetViews>
  <sheetFormatPr defaultColWidth="8.85546875" defaultRowHeight="15"/>
  <cols>
    <col min="1" max="1" width="3.5703125" style="1" customWidth="1"/>
    <col min="2" max="2" width="5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20.8554687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Lighting Controls</v>
      </c>
      <c r="C7" s="97" t="s">
        <v>1181</v>
      </c>
      <c r="D7" s="97" t="s">
        <v>211</v>
      </c>
      <c r="E7" s="97">
        <f>C120</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CI Lighting Controls_CI, E - IntL [No Heat] (RET)</v>
      </c>
      <c r="J11" s="83" t="str">
        <f t="shared" ref="J11:J20" si="3">IF(B11="","",CONCATENATE($C$7,IF(C11="","",CONCATENATE(" with ",C11," Secondary Fuel"))))</f>
        <v>Lighting Controls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Lighting Controls_CI,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Lighting Controls_CI,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Lighting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CI Lighting Controls_CI,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Lighting Controls</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Lighting Controls</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2063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2064</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Lighting Controls</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Lighting Controls</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1180</v>
      </c>
    </row>
    <row r="107" spans="1:22" s="63" customFormat="1" ht="15.75" thickBot="1">
      <c r="B107" s="63" t="s">
        <v>50</v>
      </c>
    </row>
    <row r="109" spans="1:22">
      <c r="B109" s="94" t="s">
        <v>520</v>
      </c>
      <c r="C109" s="94" t="s">
        <v>410</v>
      </c>
      <c r="D109" s="94" t="s">
        <v>409</v>
      </c>
      <c r="E109" s="94" t="s">
        <v>122</v>
      </c>
    </row>
    <row r="110" spans="1:22">
      <c r="B110" s="93" t="s">
        <v>1132</v>
      </c>
      <c r="C110" s="93" t="s">
        <v>35</v>
      </c>
      <c r="D110" s="93" t="s">
        <v>1170</v>
      </c>
      <c r="E110" s="286" t="s">
        <v>1179</v>
      </c>
    </row>
    <row r="111" spans="1:22">
      <c r="B111" s="93" t="s">
        <v>309</v>
      </c>
      <c r="C111" s="93" t="s">
        <v>35</v>
      </c>
      <c r="D111" s="93" t="s">
        <v>1170</v>
      </c>
      <c r="E111" s="286" t="s">
        <v>1109</v>
      </c>
    </row>
    <row r="112" spans="1:22">
      <c r="B112" s="93" t="s">
        <v>1133</v>
      </c>
      <c r="C112" s="93" t="s">
        <v>35</v>
      </c>
      <c r="D112" s="93" t="s">
        <v>1170</v>
      </c>
      <c r="E112" s="286" t="s">
        <v>1178</v>
      </c>
    </row>
    <row r="113" spans="2:5">
      <c r="B113" s="93" t="s">
        <v>1177</v>
      </c>
      <c r="C113" s="93">
        <v>0</v>
      </c>
      <c r="D113" s="93" t="s">
        <v>1170</v>
      </c>
      <c r="E113" s="286" t="s">
        <v>1176</v>
      </c>
    </row>
    <row r="114" spans="2:5">
      <c r="B114" s="93" t="s">
        <v>1086</v>
      </c>
      <c r="C114" s="97">
        <v>1.08</v>
      </c>
      <c r="D114" s="93" t="s">
        <v>1084</v>
      </c>
      <c r="E114" s="93" t="s">
        <v>1175</v>
      </c>
    </row>
    <row r="115" spans="2:5">
      <c r="B115" s="93" t="s">
        <v>367</v>
      </c>
      <c r="C115" s="97">
        <v>1.3</v>
      </c>
      <c r="D115" s="93" t="s">
        <v>1084</v>
      </c>
      <c r="E115" s="93" t="s">
        <v>1174</v>
      </c>
    </row>
    <row r="116" spans="2:5">
      <c r="B116" s="93" t="s">
        <v>1173</v>
      </c>
      <c r="C116" s="97">
        <v>0.66</v>
      </c>
      <c r="D116" s="93" t="s">
        <v>1084</v>
      </c>
      <c r="E116" s="93"/>
    </row>
    <row r="117" spans="2:5">
      <c r="B117" s="93" t="s">
        <v>1172</v>
      </c>
      <c r="C117" s="97">
        <v>0.15</v>
      </c>
      <c r="D117" s="93"/>
      <c r="E117" s="93"/>
    </row>
    <row r="118" spans="2:5">
      <c r="B118" s="93" t="s">
        <v>1171</v>
      </c>
      <c r="C118" s="97">
        <v>1</v>
      </c>
      <c r="D118" s="93"/>
      <c r="E118" s="93"/>
    </row>
    <row r="119" spans="2:5">
      <c r="B119" s="97" t="s">
        <v>9</v>
      </c>
      <c r="C119" s="93" t="s">
        <v>35</v>
      </c>
      <c r="D119" s="93" t="s">
        <v>1170</v>
      </c>
      <c r="E119" s="93"/>
    </row>
    <row r="120" spans="2:5">
      <c r="B120" s="93" t="s">
        <v>518</v>
      </c>
      <c r="C120" s="93">
        <v>15</v>
      </c>
      <c r="D120" s="93" t="s">
        <v>1170</v>
      </c>
      <c r="E120" s="93"/>
    </row>
    <row r="122" spans="2:5">
      <c r="B122" s="94" t="s">
        <v>1134</v>
      </c>
      <c r="C122" s="94" t="s">
        <v>438</v>
      </c>
      <c r="D122" s="94" t="s">
        <v>1169</v>
      </c>
      <c r="E122" s="94" t="s">
        <v>1168</v>
      </c>
    </row>
    <row r="123" spans="2:5">
      <c r="B123" s="286" t="s">
        <v>1131</v>
      </c>
      <c r="C123" s="93">
        <v>55</v>
      </c>
      <c r="D123" s="93" t="s">
        <v>1167</v>
      </c>
      <c r="E123" s="93">
        <v>8.4000000000000005E-2</v>
      </c>
    </row>
    <row r="124" spans="2:5">
      <c r="B124" s="286" t="s">
        <v>1130</v>
      </c>
      <c r="C124" s="93">
        <v>67</v>
      </c>
      <c r="D124" s="93" t="s">
        <v>1166</v>
      </c>
      <c r="E124" s="93">
        <v>8.1000000000000003E-2</v>
      </c>
    </row>
    <row r="125" spans="2:5">
      <c r="B125" s="286" t="s">
        <v>1129</v>
      </c>
      <c r="C125" s="93">
        <v>125</v>
      </c>
      <c r="D125" s="93" t="s">
        <v>1167</v>
      </c>
      <c r="E125" s="93">
        <v>0.33800000000000002</v>
      </c>
    </row>
    <row r="126" spans="2:5">
      <c r="B126" s="286" t="s">
        <v>1128</v>
      </c>
      <c r="C126" s="93">
        <v>50</v>
      </c>
      <c r="D126" s="93" t="s">
        <v>1166</v>
      </c>
      <c r="E126" s="93">
        <v>9.5000000000000001E-2</v>
      </c>
    </row>
    <row r="127" spans="2:5">
      <c r="B127" s="286" t="s">
        <v>1127</v>
      </c>
      <c r="C127" s="93">
        <v>65</v>
      </c>
      <c r="D127" s="93" t="s">
        <v>1167</v>
      </c>
      <c r="E127" s="93">
        <v>0.23899999999999999</v>
      </c>
    </row>
    <row r="128" spans="2:5">
      <c r="B128" s="286" t="s">
        <v>1126</v>
      </c>
      <c r="C128" s="93">
        <v>40</v>
      </c>
      <c r="D128" s="93" t="s">
        <v>1166</v>
      </c>
      <c r="E128" s="93">
        <v>3.1E-2</v>
      </c>
    </row>
    <row r="129" spans="2:5">
      <c r="B129" s="286" t="s">
        <v>1125</v>
      </c>
      <c r="C129" s="93">
        <v>40</v>
      </c>
      <c r="D129" s="93" t="s">
        <v>1166</v>
      </c>
      <c r="E129" s="93">
        <v>0.11799999999999999</v>
      </c>
    </row>
    <row r="130" spans="2:5">
      <c r="B130" s="286" t="s">
        <v>1124</v>
      </c>
      <c r="C130" s="93">
        <v>50</v>
      </c>
      <c r="D130" s="93" t="s">
        <v>1167</v>
      </c>
      <c r="E130" s="93">
        <v>3.1E-2</v>
      </c>
    </row>
    <row r="131" spans="2:5">
      <c r="B131" s="286" t="s">
        <v>1123</v>
      </c>
      <c r="C131" s="93">
        <v>50</v>
      </c>
      <c r="D131" s="93" t="s">
        <v>1167</v>
      </c>
      <c r="E131" s="93">
        <v>0.11799999999999999</v>
      </c>
    </row>
    <row r="132" spans="2:5">
      <c r="B132" s="286" t="s">
        <v>1122</v>
      </c>
      <c r="C132" s="93">
        <v>100</v>
      </c>
      <c r="D132" s="93" t="s">
        <v>1167</v>
      </c>
      <c r="E132" s="93">
        <v>3.1E-2</v>
      </c>
    </row>
    <row r="133" spans="2:5">
      <c r="B133" s="286" t="s">
        <v>1121</v>
      </c>
      <c r="C133" s="93">
        <v>100</v>
      </c>
      <c r="D133" s="93" t="s">
        <v>1167</v>
      </c>
      <c r="E133" s="93">
        <v>0.11799999999999999</v>
      </c>
    </row>
    <row r="134" spans="2:5">
      <c r="B134" s="286" t="s">
        <v>1120</v>
      </c>
      <c r="C134" s="93">
        <v>56</v>
      </c>
      <c r="D134" s="93" t="s">
        <v>1167</v>
      </c>
      <c r="E134" s="93">
        <v>3.1E-2</v>
      </c>
    </row>
    <row r="135" spans="2:5" ht="15.75" thickBot="1">
      <c r="B135" s="286" t="s">
        <v>1119</v>
      </c>
      <c r="C135" s="93">
        <v>56</v>
      </c>
      <c r="D135" s="93" t="s">
        <v>1167</v>
      </c>
      <c r="E135" s="93">
        <v>0.11799999999999999</v>
      </c>
    </row>
    <row r="136" spans="2:5">
      <c r="B136" s="286" t="s">
        <v>1118</v>
      </c>
      <c r="C136" s="413">
        <v>0.86</v>
      </c>
      <c r="D136" s="93" t="s">
        <v>1165</v>
      </c>
      <c r="E136" s="93">
        <v>6.0999999999999997E-4</v>
      </c>
    </row>
    <row r="137" spans="2:5">
      <c r="B137" s="286" t="s">
        <v>1117</v>
      </c>
      <c r="C137" s="412">
        <v>0.59</v>
      </c>
      <c r="D137" s="93" t="s">
        <v>1165</v>
      </c>
      <c r="E137" s="93">
        <v>6.0999999999999997E-4</v>
      </c>
    </row>
    <row r="138" spans="2:5">
      <c r="B138" s="286" t="s">
        <v>1116</v>
      </c>
      <c r="C138" s="412">
        <v>0.4</v>
      </c>
      <c r="D138" s="93" t="s">
        <v>1165</v>
      </c>
      <c r="E138" s="93">
        <v>6.0999999999999997E-4</v>
      </c>
    </row>
    <row r="139" spans="2:5" ht="15.75" thickBot="1">
      <c r="B139" s="286" t="s">
        <v>1115</v>
      </c>
      <c r="C139" s="411">
        <v>0.06</v>
      </c>
      <c r="D139" s="93"/>
      <c r="E139" s="93">
        <f>E135</f>
        <v>0.11799999999999999</v>
      </c>
    </row>
    <row r="140" spans="2:5">
      <c r="B140" s="286" t="s">
        <v>1114</v>
      </c>
      <c r="C140" s="93">
        <v>82</v>
      </c>
      <c r="D140" s="93" t="s">
        <v>1166</v>
      </c>
      <c r="E140" s="93">
        <v>8.5999999999999993E-2</v>
      </c>
    </row>
    <row r="141" spans="2:5">
      <c r="B141" s="93" t="s">
        <v>1113</v>
      </c>
      <c r="C141" s="93">
        <f>C140</f>
        <v>82</v>
      </c>
      <c r="D141" s="93" t="s">
        <v>1165</v>
      </c>
      <c r="E141" s="93" t="s">
        <v>555</v>
      </c>
    </row>
    <row r="144" spans="2:5">
      <c r="B144" s="94" t="s">
        <v>1164</v>
      </c>
      <c r="C144" s="94" t="s">
        <v>1163</v>
      </c>
      <c r="D144" s="94" t="s">
        <v>1162</v>
      </c>
      <c r="E144" s="94" t="s">
        <v>309</v>
      </c>
    </row>
    <row r="145" spans="2:5">
      <c r="B145" s="732" t="s">
        <v>1161</v>
      </c>
      <c r="C145" s="93" t="s">
        <v>1160</v>
      </c>
      <c r="D145" s="286" t="s">
        <v>1159</v>
      </c>
      <c r="E145" s="93">
        <v>4231</v>
      </c>
    </row>
    <row r="146" spans="2:5">
      <c r="B146" s="732"/>
      <c r="C146" s="93" t="s">
        <v>1158</v>
      </c>
      <c r="D146" s="286" t="s">
        <v>1157</v>
      </c>
      <c r="E146" s="93">
        <v>5365</v>
      </c>
    </row>
    <row r="147" spans="2:5">
      <c r="B147" s="732"/>
      <c r="C147" s="93" t="s">
        <v>1156</v>
      </c>
      <c r="D147" s="286" t="s">
        <v>1155</v>
      </c>
      <c r="E147" s="93">
        <v>4453</v>
      </c>
    </row>
    <row r="148" spans="2:5">
      <c r="B148" s="732"/>
      <c r="C148" s="93" t="s">
        <v>1154</v>
      </c>
      <c r="D148" s="286" t="s">
        <v>1153</v>
      </c>
      <c r="E148" s="93">
        <v>6936</v>
      </c>
    </row>
    <row r="149" spans="2:5">
      <c r="B149" s="732"/>
      <c r="C149" s="93" t="s">
        <v>1152</v>
      </c>
      <c r="D149" s="286" t="s">
        <v>1152</v>
      </c>
      <c r="E149" s="93">
        <v>5116</v>
      </c>
    </row>
    <row r="150" spans="2:5">
      <c r="B150" s="733"/>
      <c r="C150" s="409" t="s">
        <v>1151</v>
      </c>
      <c r="D150" s="410" t="s">
        <v>1150</v>
      </c>
      <c r="E150" s="409"/>
    </row>
    <row r="151" spans="2:5">
      <c r="B151" s="277" t="s">
        <v>1149</v>
      </c>
      <c r="C151" s="93" t="s">
        <v>1148</v>
      </c>
      <c r="D151" s="93" t="s">
        <v>1148</v>
      </c>
      <c r="E151" s="93">
        <v>3379</v>
      </c>
    </row>
    <row r="154" spans="2:5">
      <c r="B154" s="94" t="s">
        <v>1134</v>
      </c>
      <c r="C154" s="94" t="s">
        <v>1147</v>
      </c>
      <c r="D154" s="94" t="s">
        <v>1146</v>
      </c>
    </row>
    <row r="155" spans="2:5">
      <c r="B155" s="286" t="s">
        <v>1145</v>
      </c>
      <c r="C155" s="93" t="s">
        <v>600</v>
      </c>
      <c r="D155" s="93" t="s">
        <v>1135</v>
      </c>
    </row>
    <row r="156" spans="2:5">
      <c r="B156" s="286" t="s">
        <v>1144</v>
      </c>
      <c r="C156" s="93">
        <v>0.24</v>
      </c>
      <c r="D156" s="93">
        <v>0.37</v>
      </c>
    </row>
    <row r="157" spans="2:5">
      <c r="B157" s="286" t="s">
        <v>1143</v>
      </c>
      <c r="C157" s="93">
        <v>0.31</v>
      </c>
      <c r="D157" s="93">
        <v>0.44</v>
      </c>
    </row>
    <row r="158" spans="2:5">
      <c r="B158" s="286" t="s">
        <v>1142</v>
      </c>
      <c r="C158" s="93">
        <v>0.28000000000000003</v>
      </c>
      <c r="D158" s="93">
        <v>0.41</v>
      </c>
    </row>
    <row r="159" spans="2:5">
      <c r="B159" s="286" t="s">
        <v>1141</v>
      </c>
      <c r="C159" s="93">
        <v>0.38</v>
      </c>
      <c r="D159" s="93">
        <v>0.51</v>
      </c>
    </row>
    <row r="160" spans="2:5">
      <c r="B160" s="286" t="s">
        <v>1140</v>
      </c>
      <c r="C160" s="93">
        <v>0.61</v>
      </c>
      <c r="D160" s="93" t="s">
        <v>1135</v>
      </c>
    </row>
    <row r="161" spans="2:11">
      <c r="B161" s="93" t="s">
        <v>1139</v>
      </c>
      <c r="C161" s="93">
        <v>0.35</v>
      </c>
      <c r="D161" s="93" t="s">
        <v>1135</v>
      </c>
    </row>
    <row r="162" spans="2:11">
      <c r="B162" s="93" t="s">
        <v>1138</v>
      </c>
      <c r="C162" s="93">
        <v>0.49</v>
      </c>
      <c r="D162" s="93" t="s">
        <v>1135</v>
      </c>
    </row>
    <row r="163" spans="2:11">
      <c r="B163" s="93" t="s">
        <v>1137</v>
      </c>
      <c r="C163" s="93">
        <v>0.27</v>
      </c>
      <c r="D163" s="93" t="s">
        <v>1135</v>
      </c>
    </row>
    <row r="164" spans="2:11">
      <c r="B164" s="93" t="s">
        <v>1114</v>
      </c>
      <c r="C164" s="93">
        <v>0.41</v>
      </c>
      <c r="D164" s="93" t="s">
        <v>1135</v>
      </c>
    </row>
    <row r="165" spans="2:11">
      <c r="B165" s="93" t="s">
        <v>1113</v>
      </c>
      <c r="C165" s="93">
        <v>0.48</v>
      </c>
      <c r="D165" s="93" t="s">
        <v>1135</v>
      </c>
    </row>
    <row r="166" spans="2:11">
      <c r="B166" s="93" t="s">
        <v>1136</v>
      </c>
      <c r="C166" s="93">
        <v>0</v>
      </c>
      <c r="D166" s="93" t="s">
        <v>1135</v>
      </c>
    </row>
    <row r="169" spans="2:11">
      <c r="B169" s="94" t="s">
        <v>533</v>
      </c>
      <c r="C169" s="93"/>
      <c r="D169" s="93"/>
      <c r="E169" s="93"/>
      <c r="F169" s="93"/>
      <c r="G169" s="93"/>
      <c r="H169" s="93"/>
      <c r="I169" s="93"/>
      <c r="J169" s="93"/>
      <c r="K169" s="93"/>
    </row>
    <row r="170" spans="2:11">
      <c r="B170" s="94" t="s">
        <v>1134</v>
      </c>
      <c r="C170" s="94" t="s">
        <v>1133</v>
      </c>
      <c r="D170" s="94" t="s">
        <v>309</v>
      </c>
      <c r="E170" s="94" t="s">
        <v>1132</v>
      </c>
      <c r="F170" s="94" t="s">
        <v>500</v>
      </c>
      <c r="G170" s="94" t="s">
        <v>499</v>
      </c>
      <c r="H170" s="94" t="s">
        <v>244</v>
      </c>
      <c r="I170" s="94" t="s">
        <v>9</v>
      </c>
      <c r="J170" s="94" t="s">
        <v>8</v>
      </c>
      <c r="K170" s="94" t="s">
        <v>7</v>
      </c>
    </row>
    <row r="171" spans="2:11">
      <c r="B171" s="286" t="s">
        <v>1131</v>
      </c>
      <c r="C171" s="93">
        <f>C156</f>
        <v>0.24</v>
      </c>
      <c r="D171" s="93">
        <f t="shared" ref="D171:D181" si="31">$E$151</f>
        <v>3379</v>
      </c>
      <c r="E171" s="93">
        <f t="shared" ref="E171:E183" si="32">VLOOKUP(B171,$B$122:$E$141,4,FALSE)</f>
        <v>8.4000000000000005E-2</v>
      </c>
      <c r="F171" s="93">
        <f t="shared" ref="F171:F189" si="33">E171*D171*(C171-$C$113)*$C$114</f>
        <v>73.5702912</v>
      </c>
      <c r="G171" s="93">
        <f t="shared" ref="G171:G189" si="34">E171*$C$115*(($C$116*$C$118)-$C$117)</f>
        <v>5.5692000000000005E-2</v>
      </c>
      <c r="H171" s="285"/>
      <c r="I171" s="93"/>
      <c r="J171" s="93">
        <f t="shared" ref="J171:J183" si="35">VLOOKUP(B171,$B$122:$E$141,2,FALSE)/F171</f>
        <v>0.74758437275289735</v>
      </c>
      <c r="K171" s="93">
        <f>1/COUNT($C$171:$C$189)</f>
        <v>5.2631578947368418E-2</v>
      </c>
    </row>
    <row r="172" spans="2:11">
      <c r="B172" s="286" t="s">
        <v>1130</v>
      </c>
      <c r="C172" s="93">
        <f>C156</f>
        <v>0.24</v>
      </c>
      <c r="D172" s="93">
        <f t="shared" si="31"/>
        <v>3379</v>
      </c>
      <c r="E172" s="93">
        <f t="shared" si="32"/>
        <v>8.1000000000000003E-2</v>
      </c>
      <c r="F172" s="93">
        <f t="shared" si="33"/>
        <v>70.942780800000008</v>
      </c>
      <c r="G172" s="93">
        <f t="shared" si="34"/>
        <v>5.3703000000000001E-2</v>
      </c>
      <c r="H172" s="285"/>
      <c r="I172" s="93"/>
      <c r="J172" s="93">
        <f t="shared" si="35"/>
        <v>0.94442308638682504</v>
      </c>
      <c r="K172" s="93">
        <f t="shared" ref="K172:K189" si="36">1/COUNT($C$171:$C$189)</f>
        <v>5.2631578947368418E-2</v>
      </c>
    </row>
    <row r="173" spans="2:11">
      <c r="B173" s="286" t="s">
        <v>1129</v>
      </c>
      <c r="C173" s="93">
        <f>C157</f>
        <v>0.31</v>
      </c>
      <c r="D173" s="93">
        <f t="shared" si="31"/>
        <v>3379</v>
      </c>
      <c r="E173" s="93">
        <f t="shared" si="32"/>
        <v>0.33800000000000002</v>
      </c>
      <c r="F173" s="93">
        <f t="shared" si="33"/>
        <v>382.37574960000006</v>
      </c>
      <c r="G173" s="93">
        <f t="shared" si="34"/>
        <v>0.22409400000000004</v>
      </c>
      <c r="H173" s="285"/>
      <c r="I173" s="93"/>
      <c r="J173" s="93">
        <f t="shared" si="35"/>
        <v>0.32690357620942595</v>
      </c>
      <c r="K173" s="93">
        <f t="shared" si="36"/>
        <v>5.2631578947368418E-2</v>
      </c>
    </row>
    <row r="174" spans="2:11">
      <c r="B174" s="286" t="s">
        <v>1128</v>
      </c>
      <c r="C174" s="93">
        <f>C158</f>
        <v>0.28000000000000003</v>
      </c>
      <c r="D174" s="93">
        <f t="shared" si="31"/>
        <v>3379</v>
      </c>
      <c r="E174" s="93">
        <f t="shared" si="32"/>
        <v>9.5000000000000001E-2</v>
      </c>
      <c r="F174" s="93">
        <f t="shared" si="33"/>
        <v>97.071912000000026</v>
      </c>
      <c r="G174" s="93">
        <f t="shared" si="34"/>
        <v>6.2985000000000013E-2</v>
      </c>
      <c r="H174" s="93"/>
      <c r="I174" s="93"/>
      <c r="J174" s="93">
        <f t="shared" si="35"/>
        <v>0.5150820558680248</v>
      </c>
      <c r="K174" s="93">
        <f t="shared" si="36"/>
        <v>5.2631578947368418E-2</v>
      </c>
    </row>
    <row r="175" spans="2:11">
      <c r="B175" s="286" t="s">
        <v>1127</v>
      </c>
      <c r="C175" s="93">
        <f>C158</f>
        <v>0.28000000000000003</v>
      </c>
      <c r="D175" s="93">
        <f t="shared" si="31"/>
        <v>3379</v>
      </c>
      <c r="E175" s="93">
        <f t="shared" si="32"/>
        <v>0.23899999999999999</v>
      </c>
      <c r="F175" s="93">
        <f t="shared" si="33"/>
        <v>244.21249440000005</v>
      </c>
      <c r="G175" s="93">
        <f t="shared" si="34"/>
        <v>0.15845699999999999</v>
      </c>
      <c r="H175" s="93"/>
      <c r="I175" s="93"/>
      <c r="J175" s="93">
        <f t="shared" si="35"/>
        <v>0.26616164811590404</v>
      </c>
      <c r="K175" s="93">
        <f t="shared" si="36"/>
        <v>5.2631578947368418E-2</v>
      </c>
    </row>
    <row r="176" spans="2:11">
      <c r="B176" s="286" t="s">
        <v>1126</v>
      </c>
      <c r="C176" s="93">
        <f>C156</f>
        <v>0.24</v>
      </c>
      <c r="D176" s="93">
        <f t="shared" si="31"/>
        <v>3379</v>
      </c>
      <c r="E176" s="93">
        <f t="shared" si="32"/>
        <v>3.1E-2</v>
      </c>
      <c r="F176" s="93">
        <f t="shared" si="33"/>
        <v>27.150940800000001</v>
      </c>
      <c r="G176" s="93">
        <f t="shared" si="34"/>
        <v>2.0553000000000002E-2</v>
      </c>
      <c r="H176" s="93"/>
      <c r="I176" s="93"/>
      <c r="J176" s="93">
        <f t="shared" si="35"/>
        <v>1.4732454501171466</v>
      </c>
      <c r="K176" s="93">
        <f t="shared" si="36"/>
        <v>5.2631578947368418E-2</v>
      </c>
    </row>
    <row r="177" spans="2:11">
      <c r="B177" s="286" t="s">
        <v>1125</v>
      </c>
      <c r="C177" s="93">
        <f>C156</f>
        <v>0.24</v>
      </c>
      <c r="D177" s="93">
        <f t="shared" si="31"/>
        <v>3379</v>
      </c>
      <c r="E177" s="93">
        <f t="shared" si="32"/>
        <v>0.11799999999999999</v>
      </c>
      <c r="F177" s="93">
        <f t="shared" si="33"/>
        <v>103.34874239999999</v>
      </c>
      <c r="G177" s="93">
        <f t="shared" si="34"/>
        <v>7.8234000000000012E-2</v>
      </c>
      <c r="H177" s="93"/>
      <c r="I177" s="93"/>
      <c r="J177" s="93">
        <f t="shared" si="35"/>
        <v>0.38703905892908091</v>
      </c>
      <c r="K177" s="93">
        <f t="shared" si="36"/>
        <v>5.2631578947368418E-2</v>
      </c>
    </row>
    <row r="178" spans="2:11">
      <c r="B178" s="286" t="s">
        <v>1124</v>
      </c>
      <c r="C178" s="93">
        <f>C159</f>
        <v>0.38</v>
      </c>
      <c r="D178" s="93">
        <f t="shared" si="31"/>
        <v>3379</v>
      </c>
      <c r="E178" s="93">
        <f t="shared" si="32"/>
        <v>3.1E-2</v>
      </c>
      <c r="F178" s="93">
        <f t="shared" si="33"/>
        <v>42.988989600000004</v>
      </c>
      <c r="G178" s="93">
        <f t="shared" si="34"/>
        <v>2.0553000000000002E-2</v>
      </c>
      <c r="H178" s="93"/>
      <c r="I178" s="93"/>
      <c r="J178" s="93">
        <f t="shared" si="35"/>
        <v>1.1630885132503788</v>
      </c>
      <c r="K178" s="93">
        <f t="shared" si="36"/>
        <v>5.2631578947368418E-2</v>
      </c>
    </row>
    <row r="179" spans="2:11">
      <c r="B179" s="286" t="s">
        <v>1123</v>
      </c>
      <c r="C179" s="93">
        <f>C159</f>
        <v>0.38</v>
      </c>
      <c r="D179" s="93">
        <f t="shared" si="31"/>
        <v>3379</v>
      </c>
      <c r="E179" s="93">
        <f t="shared" si="32"/>
        <v>0.11799999999999999</v>
      </c>
      <c r="F179" s="93">
        <f t="shared" si="33"/>
        <v>163.6355088</v>
      </c>
      <c r="G179" s="93">
        <f t="shared" si="34"/>
        <v>7.8234000000000012E-2</v>
      </c>
      <c r="H179" s="93"/>
      <c r="I179" s="93"/>
      <c r="J179" s="93">
        <f t="shared" si="35"/>
        <v>0.30555715178611648</v>
      </c>
      <c r="K179" s="93">
        <f t="shared" si="36"/>
        <v>5.2631578947368418E-2</v>
      </c>
    </row>
    <row r="180" spans="2:11">
      <c r="B180" s="286" t="s">
        <v>1122</v>
      </c>
      <c r="C180" s="93">
        <f>C159</f>
        <v>0.38</v>
      </c>
      <c r="D180" s="93">
        <f t="shared" si="31"/>
        <v>3379</v>
      </c>
      <c r="E180" s="93">
        <f t="shared" si="32"/>
        <v>3.1E-2</v>
      </c>
      <c r="F180" s="93">
        <f t="shared" si="33"/>
        <v>42.988989600000004</v>
      </c>
      <c r="G180" s="93">
        <f t="shared" si="34"/>
        <v>2.0553000000000002E-2</v>
      </c>
      <c r="H180" s="93"/>
      <c r="I180" s="93"/>
      <c r="J180" s="93">
        <f t="shared" si="35"/>
        <v>2.3261770265007575</v>
      </c>
      <c r="K180" s="93">
        <f t="shared" si="36"/>
        <v>5.2631578947368418E-2</v>
      </c>
    </row>
    <row r="181" spans="2:11">
      <c r="B181" s="286" t="s">
        <v>1121</v>
      </c>
      <c r="C181" s="93">
        <f>C159</f>
        <v>0.38</v>
      </c>
      <c r="D181" s="93">
        <f t="shared" si="31"/>
        <v>3379</v>
      </c>
      <c r="E181" s="93">
        <f t="shared" si="32"/>
        <v>0.11799999999999999</v>
      </c>
      <c r="F181" s="93">
        <f t="shared" si="33"/>
        <v>163.6355088</v>
      </c>
      <c r="G181" s="93">
        <f t="shared" si="34"/>
        <v>7.8234000000000012E-2</v>
      </c>
      <c r="H181" s="93"/>
      <c r="I181" s="93"/>
      <c r="J181" s="93">
        <f t="shared" si="35"/>
        <v>0.61111430357223295</v>
      </c>
      <c r="K181" s="93">
        <f t="shared" si="36"/>
        <v>5.2631578947368418E-2</v>
      </c>
    </row>
    <row r="182" spans="2:11">
      <c r="B182" s="286" t="s">
        <v>1120</v>
      </c>
      <c r="C182" s="93">
        <f>C160</f>
        <v>0.61</v>
      </c>
      <c r="D182" s="93">
        <f>AVERAGE($E$145:$E$149)</f>
        <v>5220.2</v>
      </c>
      <c r="E182" s="93">
        <f t="shared" si="32"/>
        <v>3.1E-2</v>
      </c>
      <c r="F182" s="93">
        <f t="shared" si="33"/>
        <v>106.61110056000001</v>
      </c>
      <c r="G182" s="93">
        <f t="shared" si="34"/>
        <v>2.0553000000000002E-2</v>
      </c>
      <c r="H182" s="93"/>
      <c r="I182" s="93"/>
      <c r="J182" s="93">
        <f t="shared" si="35"/>
        <v>0.52527363197497035</v>
      </c>
      <c r="K182" s="93">
        <f t="shared" si="36"/>
        <v>5.2631578947368418E-2</v>
      </c>
    </row>
    <row r="183" spans="2:11">
      <c r="B183" s="286" t="s">
        <v>1119</v>
      </c>
      <c r="C183" s="93">
        <f>C160</f>
        <v>0.61</v>
      </c>
      <c r="D183" s="93">
        <f>AVERAGE($E$145:$E$149)</f>
        <v>5220.2</v>
      </c>
      <c r="E183" s="93">
        <f t="shared" si="32"/>
        <v>0.11799999999999999</v>
      </c>
      <c r="F183" s="93">
        <f t="shared" si="33"/>
        <v>405.80999567999999</v>
      </c>
      <c r="G183" s="93">
        <f t="shared" si="34"/>
        <v>7.8234000000000012E-2</v>
      </c>
      <c r="H183" s="93"/>
      <c r="I183" s="93"/>
      <c r="J183" s="93">
        <f t="shared" si="35"/>
        <v>0.13799561517986511</v>
      </c>
      <c r="K183" s="93">
        <f t="shared" si="36"/>
        <v>5.2631578947368418E-2</v>
      </c>
    </row>
    <row r="184" spans="2:11">
      <c r="B184" s="286" t="s">
        <v>1118</v>
      </c>
      <c r="C184" s="93">
        <f>C162</f>
        <v>0.49</v>
      </c>
      <c r="D184" s="93">
        <f>AVERAGE($E$145:$E$149)</f>
        <v>5220.2</v>
      </c>
      <c r="E184" s="93">
        <f>VLOOKUP(B184,$B$122:$E$141,4,FALSE)*7500</f>
        <v>4.5750000000000002</v>
      </c>
      <c r="F184" s="93">
        <f t="shared" si="33"/>
        <v>12638.574018000001</v>
      </c>
      <c r="G184" s="93">
        <f t="shared" si="34"/>
        <v>3.0332250000000003</v>
      </c>
      <c r="H184" s="93"/>
      <c r="I184" s="93"/>
      <c r="J184" s="93">
        <f>VLOOKUP(B184,$B$122:$E$141,2,FALSE)*7500/F184</f>
        <v>0.51034238441883051</v>
      </c>
      <c r="K184" s="93">
        <f t="shared" si="36"/>
        <v>5.2631578947368418E-2</v>
      </c>
    </row>
    <row r="185" spans="2:11">
      <c r="B185" s="286" t="s">
        <v>1117</v>
      </c>
      <c r="C185" s="93">
        <f>C162</f>
        <v>0.49</v>
      </c>
      <c r="D185" s="93">
        <f>AVERAGE($E$145:$E$149)</f>
        <v>5220.2</v>
      </c>
      <c r="E185" s="93">
        <f>VLOOKUP(B185,$B$122:$E$141,4,FALSE)*55000</f>
        <v>33.549999999999997</v>
      </c>
      <c r="F185" s="93">
        <f t="shared" si="33"/>
        <v>92682.876132000005</v>
      </c>
      <c r="G185" s="93">
        <f t="shared" si="34"/>
        <v>22.243649999999999</v>
      </c>
      <c r="H185" s="93"/>
      <c r="I185" s="93"/>
      <c r="J185" s="93">
        <f>VLOOKUP(B185,$B$122:$E$141,2,FALSE)*55000/F185</f>
        <v>0.35011861256640697</v>
      </c>
      <c r="K185" s="93">
        <f t="shared" si="36"/>
        <v>5.2631578947368418E-2</v>
      </c>
    </row>
    <row r="186" spans="2:11">
      <c r="B186" s="286" t="s">
        <v>1116</v>
      </c>
      <c r="C186" s="93">
        <f>C162</f>
        <v>0.49</v>
      </c>
      <c r="D186" s="93">
        <f>AVERAGE($E$145:$E$149)</f>
        <v>5220.2</v>
      </c>
      <c r="E186" s="93">
        <f>VLOOKUP(B186,$B$122:$E$141,4,FALSE)*125000</f>
        <v>76.25</v>
      </c>
      <c r="F186" s="93">
        <f t="shared" si="33"/>
        <v>210642.90030000001</v>
      </c>
      <c r="G186" s="93">
        <f t="shared" si="34"/>
        <v>50.553750000000001</v>
      </c>
      <c r="H186" s="93"/>
      <c r="I186" s="93"/>
      <c r="J186" s="93">
        <f>VLOOKUP(B186,$B$122:$E$141,2,FALSE)*125000/F186</f>
        <v>0.23736855089247932</v>
      </c>
      <c r="K186" s="93">
        <f t="shared" si="36"/>
        <v>5.2631578947368418E-2</v>
      </c>
    </row>
    <row r="187" spans="2:11">
      <c r="B187" s="286" t="s">
        <v>1115</v>
      </c>
      <c r="C187" s="93">
        <f>C162</f>
        <v>0.49</v>
      </c>
      <c r="D187" s="93">
        <f>$E$151</f>
        <v>3379</v>
      </c>
      <c r="E187" s="93">
        <f>VLOOKUP(B187,$B$122:$E$141,4,FALSE)</f>
        <v>0.11799999999999999</v>
      </c>
      <c r="F187" s="93">
        <f t="shared" si="33"/>
        <v>211.0036824</v>
      </c>
      <c r="G187" s="93">
        <f t="shared" si="34"/>
        <v>7.8234000000000012E-2</v>
      </c>
      <c r="H187" s="93"/>
      <c r="I187" s="93"/>
      <c r="J187" s="93">
        <f>VLOOKUP(B187,$B$122:$E$141,2,FALSE)*1000/F187</f>
        <v>0.28435522696830434</v>
      </c>
      <c r="K187" s="93">
        <f t="shared" si="36"/>
        <v>5.2631578947368418E-2</v>
      </c>
    </row>
    <row r="188" spans="2:11">
      <c r="B188" s="286" t="s">
        <v>1114</v>
      </c>
      <c r="C188" s="93">
        <f>C164</f>
        <v>0.41</v>
      </c>
      <c r="D188" s="93">
        <f>$E$151</f>
        <v>3379</v>
      </c>
      <c r="E188" s="93">
        <f>VLOOKUP(B188,$B$122:$E$141,4,FALSE)</f>
        <v>8.5999999999999993E-2</v>
      </c>
      <c r="F188" s="93">
        <f t="shared" si="33"/>
        <v>128.6750232</v>
      </c>
      <c r="G188" s="93">
        <f t="shared" si="34"/>
        <v>5.7017999999999999E-2</v>
      </c>
      <c r="H188" s="93"/>
      <c r="I188" s="93"/>
      <c r="J188" s="93">
        <f>VLOOKUP(B188,$B$122:$E$141,2,FALSE)/F188</f>
        <v>0.6372643109809053</v>
      </c>
      <c r="K188" s="93">
        <f t="shared" si="36"/>
        <v>5.2631578947368418E-2</v>
      </c>
    </row>
    <row r="189" spans="2:11">
      <c r="B189" s="93" t="s">
        <v>1113</v>
      </c>
      <c r="C189" s="93">
        <f>C165</f>
        <v>0.48</v>
      </c>
      <c r="D189" s="93">
        <f>$E$151</f>
        <v>3379</v>
      </c>
      <c r="E189" s="93">
        <f>E188</f>
        <v>8.5999999999999993E-2</v>
      </c>
      <c r="F189" s="93">
        <f t="shared" si="33"/>
        <v>150.64392960000001</v>
      </c>
      <c r="G189" s="93">
        <f t="shared" si="34"/>
        <v>5.7017999999999999E-2</v>
      </c>
      <c r="H189" s="93"/>
      <c r="I189" s="93"/>
      <c r="J189" s="93">
        <f>VLOOKUP(B189,$B$122:$E$141,2,FALSE)/F189</f>
        <v>0.54432993229618987</v>
      </c>
      <c r="K189" s="93">
        <f t="shared" si="36"/>
        <v>5.2631578947368418E-2</v>
      </c>
    </row>
    <row r="190" spans="2:11">
      <c r="B190" s="7" t="s">
        <v>0</v>
      </c>
      <c r="C190" s="7"/>
      <c r="D190" s="7"/>
      <c r="E190" s="7"/>
      <c r="F190" s="7">
        <f>SUMPRODUCT(F171:F189,$K$171:$K$189)</f>
        <v>16756.790320496842</v>
      </c>
      <c r="G190" s="7"/>
      <c r="H190" s="7"/>
      <c r="I190" s="7"/>
      <c r="J190" s="7"/>
      <c r="K190" s="93"/>
    </row>
  </sheetData>
  <mergeCells count="1">
    <mergeCell ref="B145:B150"/>
  </mergeCells>
  <dataValidations count="5">
    <dataValidation type="list" allowBlank="1" showInputMessage="1" showErrorMessage="1" sqref="D7" xr:uid="{D4A2D2B0-99E1-4C40-8B3D-D9FA83FC0996}">
      <formula1>$N$11:$O$11</formula1>
    </dataValidation>
    <dataValidation type="list" allowBlank="1" showInputMessage="1" showErrorMessage="1" sqref="B11:C20" xr:uid="{9CEBC13D-AE8F-454A-BCB7-D788DCC291F7}">
      <formula1>$N$7:$Q$7</formula1>
    </dataValidation>
    <dataValidation type="list" allowBlank="1" showInputMessage="1" showErrorMessage="1" sqref="D11:D20" xr:uid="{630953EC-9C55-4037-B08A-BB7CE7C9FB30}">
      <formula1>$N$22:$AE$22</formula1>
    </dataValidation>
    <dataValidation type="list" allowBlank="1" showInputMessage="1" showErrorMessage="1" sqref="E11:E20" xr:uid="{0F350EEF-D25C-4AEA-8BC7-A161C494AC8E}">
      <formula1>$N$16:$O$16</formula1>
    </dataValidation>
    <dataValidation type="list" allowBlank="1" showInputMessage="1" showErrorMessage="1" sqref="C59:L59" xr:uid="{E04C80C9-23E7-42FB-976B-D7CF518A097D}">
      <formula1>$N$19:$AQ$19</formula1>
    </dataValidation>
  </dataValidations>
  <pageMargins left="0.7" right="0.7" top="0.75" bottom="0.75" header="0.3" footer="0.3"/>
  <pageSetup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4704-4DEA-4E56-9378-9925B1B29B45}">
  <sheetPr codeName="Sheet155">
    <tabColor indexed="13"/>
  </sheetPr>
  <dimension ref="A1:AQ170"/>
  <sheetViews>
    <sheetView topLeftCell="A27"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12.28515625" style="414" customWidth="1"/>
    <col min="4" max="4" width="13.5703125" style="414" customWidth="1"/>
    <col min="5" max="5" width="69.140625" style="414" customWidth="1"/>
    <col min="6" max="6" width="12" style="414" customWidth="1"/>
    <col min="7" max="7" width="13.140625" style="414" customWidth="1"/>
    <col min="8" max="8" width="16.42578125" style="414" customWidth="1"/>
    <col min="9" max="9" width="13.5703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T5 Fixtures and Lamps</v>
      </c>
      <c r="C7" s="433" t="s">
        <v>1224</v>
      </c>
      <c r="D7" s="433" t="s">
        <v>211</v>
      </c>
      <c r="E7" s="433">
        <v>13</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T5 Fixtures and Lamps_CI, E - IntL [No Heat] (RET)</v>
      </c>
      <c r="J11" s="408" t="str">
        <f t="shared" ref="J11:J20" si="3">IF(B11="","",CONCATENATE($C$7,IF(C11="","",CONCATENATE(" with ",C11," Secondary Fuel"))))</f>
        <v>Interior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t="s">
        <v>205</v>
      </c>
      <c r="C12" s="433"/>
      <c r="D12" s="433" t="s">
        <v>167</v>
      </c>
      <c r="E12" s="433" t="s">
        <v>204</v>
      </c>
      <c r="F12" s="434" t="s">
        <v>1093</v>
      </c>
      <c r="G12" s="408" t="str">
        <f t="shared" si="0"/>
        <v>E</v>
      </c>
      <c r="H12" s="408" t="str">
        <f t="shared" si="1"/>
        <v>IntL</v>
      </c>
      <c r="I12" s="408" t="str">
        <f t="shared" ca="1" si="2"/>
        <v>T5 Fixtures and Lamps_CI, E - IntL [Electric Heat] (RET)</v>
      </c>
      <c r="J12" s="408" t="str">
        <f t="shared" si="3"/>
        <v>Interior Delamping</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t="s">
        <v>205</v>
      </c>
      <c r="C13" s="433" t="s">
        <v>203</v>
      </c>
      <c r="D13" s="433" t="s">
        <v>167</v>
      </c>
      <c r="E13" s="433" t="s">
        <v>204</v>
      </c>
      <c r="F13" s="434"/>
      <c r="G13" s="408" t="str">
        <f t="shared" si="0"/>
        <v>E/G</v>
      </c>
      <c r="H13" s="408" t="str">
        <f t="shared" si="1"/>
        <v>IntL</v>
      </c>
      <c r="I13" s="408" t="str">
        <f t="shared" ca="1" si="2"/>
        <v>T5 Fixtures and Lamps_CI, E/G - IntL (RET)</v>
      </c>
      <c r="J13" s="408" t="str">
        <f t="shared" si="3"/>
        <v>Interior Delamping with Gas Secondary Fuel</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T5 Fixtures and Lamps_CI, E - IntL [No Heat] (RET)</v>
      </c>
      <c r="D33" s="408" t="str">
        <f t="shared" ca="1" si="5"/>
        <v>T5 Fixtures and Lamps_CI, E - IntL [Electric Heat] (RET)</v>
      </c>
      <c r="E33" s="408" t="str">
        <f t="shared" ca="1" si="5"/>
        <v>T5 Fixtures and Lamps_CI, E/G - IntL (RET)</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T5 Fixtures and Lamps_CI, E - IntL [No Heat] (RET)</v>
      </c>
      <c r="N33" s="84" t="str">
        <f t="shared" ca="1" si="6"/>
        <v>T5 Fixtures and Lamps_CI, E - IntL [Electric Heat] (RET)</v>
      </c>
      <c r="O33" s="84" t="str">
        <f t="shared" ca="1" si="6"/>
        <v>T5 Fixtures and Lamps_CI, E/G - IntL (RET)</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Interior Delamping</v>
      </c>
      <c r="D34" s="408" t="str">
        <f t="shared" si="8"/>
        <v>Interior Delamping</v>
      </c>
      <c r="E34" s="408" t="str">
        <f t="shared" si="8"/>
        <v>Interior Delamping with Gas Secondary Fuel</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T5 Fixtures and Lamps_CI, E - IntL [No Heat] (RET)</v>
      </c>
      <c r="D35" s="419" t="str">
        <f t="shared" ca="1" si="10"/>
        <v>T5 Fixtures and Lamps_CI, E - IntL [Electric Heat] (RET)</v>
      </c>
      <c r="E35" s="419" t="str">
        <f t="shared" ca="1" si="10"/>
        <v>T5 Fixtures and Lamps_CI, E/G - IntL (RET)</v>
      </c>
      <c r="F35" s="419" t="str">
        <f t="shared" si="10"/>
        <v/>
      </c>
      <c r="G35" s="419" t="str">
        <f t="shared" si="10"/>
        <v/>
      </c>
      <c r="H35" s="419"/>
      <c r="I35" s="419"/>
      <c r="J35" s="419"/>
      <c r="K35" s="419"/>
      <c r="L35" s="419"/>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Interior Delamping</v>
      </c>
      <c r="D36" s="419" t="str">
        <f t="shared" si="10"/>
        <v>Interior Delamping</v>
      </c>
      <c r="E36" s="419" t="str">
        <f t="shared" si="10"/>
        <v>Interior Delamping with Gas Secondary Fuel</v>
      </c>
      <c r="F36" s="419" t="str">
        <f t="shared" si="10"/>
        <v/>
      </c>
      <c r="G36" s="419" t="str">
        <f t="shared" si="10"/>
        <v/>
      </c>
      <c r="H36" s="419"/>
      <c r="I36" s="419"/>
      <c r="J36" s="419"/>
      <c r="K36" s="419"/>
      <c r="L36" s="419"/>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C&amp;I</v>
      </c>
      <c r="E37" s="408" t="str">
        <f t="shared" si="11"/>
        <v>C&amp;I</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t="s">
        <v>1201</v>
      </c>
      <c r="E38" s="419" t="s">
        <v>1201</v>
      </c>
      <c r="F38" s="419"/>
      <c r="G38" s="419"/>
      <c r="H38" s="419"/>
      <c r="I38" s="419"/>
      <c r="J38" s="419"/>
      <c r="K38" s="419"/>
      <c r="L38" s="419"/>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13</v>
      </c>
      <c r="D39" s="408">
        <f t="shared" si="12"/>
        <v>13</v>
      </c>
      <c r="E39" s="408">
        <f t="shared" si="12"/>
        <v>13</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t="str">
        <f t="shared" si="13"/>
        <v>E</v>
      </c>
      <c r="E41" s="401" t="str">
        <f t="shared" si="13"/>
        <v>E</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G</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t="str">
        <f t="shared" si="15"/>
        <v>Interior Lighting</v>
      </c>
      <c r="E43" s="401" t="str">
        <f t="shared" si="15"/>
        <v>Interior Lighting</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t="s">
        <v>163</v>
      </c>
      <c r="F44" s="400"/>
      <c r="G44" s="400"/>
      <c r="H44" s="400"/>
      <c r="I44" s="400"/>
      <c r="J44" s="400"/>
      <c r="K44" s="400"/>
      <c r="L44" s="400"/>
      <c r="M44" s="64" t="str">
        <f t="shared" ref="M44:V53" ca="1" si="16">IF(M$33="","","-")</f>
        <v>-</v>
      </c>
      <c r="N44" s="64" t="str">
        <f t="shared" ca="1" si="16"/>
        <v>-</v>
      </c>
      <c r="O44" s="64" t="str">
        <f t="shared" ca="1" si="16"/>
        <v>-</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ca="1" si="16"/>
        <v>-</v>
      </c>
      <c r="O45" s="64" t="str">
        <f t="shared" ca="1" si="16"/>
        <v>-</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ca="1" si="16"/>
        <v>-</v>
      </c>
      <c r="O46" s="64" t="str">
        <f t="shared" ca="1" si="16"/>
        <v>-</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ca="1" si="16"/>
        <v>-</v>
      </c>
      <c r="O47" s="64" t="str">
        <f t="shared" ca="1" si="16"/>
        <v>-</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ca="1" si="16"/>
        <v>-</v>
      </c>
      <c r="O48" s="64" t="str">
        <f t="shared" ca="1" si="16"/>
        <v>-</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ca="1" si="16"/>
        <v>-</v>
      </c>
      <c r="O49" s="64" t="str">
        <f t="shared" ca="1" si="16"/>
        <v>-</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ca="1" si="16"/>
        <v>-</v>
      </c>
      <c r="O50" s="64" t="str">
        <f t="shared" ca="1" si="16"/>
        <v>-</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ca="1" si="16"/>
        <v>-</v>
      </c>
      <c r="O51" s="64" t="str">
        <f t="shared" ca="1" si="16"/>
        <v>-</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Interior Delamping</v>
      </c>
      <c r="D52" s="422" t="str">
        <f t="shared" si="17"/>
        <v>Interior Delamping</v>
      </c>
      <c r="E52" s="422" t="str">
        <f t="shared" si="17"/>
        <v>Interior Delamping with Gas Secondary Fuel</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ca="1" si="16"/>
        <v>-</v>
      </c>
      <c r="O52" s="64" t="str">
        <f t="shared" ca="1" si="16"/>
        <v>-</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RET</v>
      </c>
      <c r="E53" s="408" t="str">
        <f t="shared" si="18"/>
        <v>RET</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ca="1" si="16"/>
        <v>-</v>
      </c>
      <c r="O53" s="64" t="str">
        <f t="shared" ca="1" si="16"/>
        <v>-</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t="s">
        <v>204</v>
      </c>
      <c r="E54" s="419" t="s">
        <v>204</v>
      </c>
      <c r="F54" s="419"/>
      <c r="G54" s="419"/>
      <c r="H54" s="419"/>
      <c r="I54" s="419"/>
      <c r="J54" s="419"/>
      <c r="K54" s="419"/>
      <c r="L54" s="419"/>
      <c r="M54" s="64" t="str">
        <f t="shared" ref="M54:V64" ca="1" si="19">IF(M$33="","","-")</f>
        <v>-</v>
      </c>
      <c r="N54" s="64" t="str">
        <f t="shared" ca="1" si="19"/>
        <v>-</v>
      </c>
      <c r="O54" s="64" t="str">
        <f t="shared" ca="1" si="19"/>
        <v>-</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c r="D55" s="419"/>
      <c r="E55" s="419"/>
      <c r="F55" s="419"/>
      <c r="G55" s="419"/>
      <c r="H55" s="419"/>
      <c r="I55" s="419"/>
      <c r="J55" s="419"/>
      <c r="K55" s="419"/>
      <c r="L55" s="419"/>
      <c r="M55" s="64" t="str">
        <f t="shared" ca="1" si="19"/>
        <v>-</v>
      </c>
      <c r="N55" s="64" t="str">
        <f t="shared" ca="1" si="19"/>
        <v>-</v>
      </c>
      <c r="O55" s="64" t="str">
        <f t="shared" ca="1" si="19"/>
        <v>-</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c r="D56" s="419"/>
      <c r="E56" s="419"/>
      <c r="F56" s="419"/>
      <c r="G56" s="419"/>
      <c r="H56" s="419"/>
      <c r="I56" s="419"/>
      <c r="J56" s="419"/>
      <c r="K56" s="419"/>
      <c r="L56" s="419"/>
      <c r="M56" s="64" t="str">
        <f t="shared" ca="1" si="19"/>
        <v>-</v>
      </c>
      <c r="N56" s="64" t="str">
        <f t="shared" ca="1" si="19"/>
        <v>-</v>
      </c>
      <c r="O56" s="64" t="str">
        <f t="shared" ca="1" si="19"/>
        <v>-</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v>2021</v>
      </c>
      <c r="E57" s="419">
        <v>2021</v>
      </c>
      <c r="F57" s="419"/>
      <c r="G57" s="419"/>
      <c r="H57" s="419"/>
      <c r="I57" s="419"/>
      <c r="J57" s="419"/>
      <c r="K57" s="419"/>
      <c r="L57" s="419"/>
      <c r="M57" s="64" t="str">
        <f t="shared" ca="1" si="19"/>
        <v>-</v>
      </c>
      <c r="N57" s="64" t="str">
        <f t="shared" ca="1" si="19"/>
        <v>-</v>
      </c>
      <c r="O57" s="64" t="str">
        <f t="shared" ca="1" si="19"/>
        <v>-</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v>2030</v>
      </c>
      <c r="E58" s="419">
        <v>2030</v>
      </c>
      <c r="F58" s="419"/>
      <c r="G58" s="419"/>
      <c r="H58" s="419"/>
      <c r="I58" s="419"/>
      <c r="J58" s="419"/>
      <c r="K58" s="419"/>
      <c r="L58" s="419"/>
      <c r="M58" s="64" t="str">
        <f t="shared" ca="1" si="19"/>
        <v>-</v>
      </c>
      <c r="N58" s="64" t="str">
        <f t="shared" ca="1" si="19"/>
        <v>-</v>
      </c>
      <c r="O58" s="64" t="str">
        <f t="shared" ca="1" si="19"/>
        <v>-</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t="s">
        <v>188</v>
      </c>
      <c r="E59" s="82" t="s">
        <v>188</v>
      </c>
      <c r="F59" s="82"/>
      <c r="G59" s="82"/>
      <c r="H59" s="419"/>
      <c r="I59" s="419"/>
      <c r="J59" s="419"/>
      <c r="K59" s="419"/>
      <c r="L59" s="419"/>
      <c r="M59" s="64" t="str">
        <f t="shared" ca="1" si="19"/>
        <v>-</v>
      </c>
      <c r="N59" s="64" t="str">
        <f t="shared" ca="1" si="19"/>
        <v>-</v>
      </c>
      <c r="O59" s="64" t="str">
        <f t="shared" ca="1" si="19"/>
        <v>-</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ca="1" si="19"/>
        <v>-</v>
      </c>
      <c r="O60" s="64" t="str">
        <f t="shared" ca="1" si="19"/>
        <v>-</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ca="1" si="19"/>
        <v>-</v>
      </c>
      <c r="O61" s="64" t="str">
        <f t="shared" ca="1" si="19"/>
        <v>-</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ca="1" si="19"/>
        <v>-</v>
      </c>
      <c r="O62" s="64" t="str">
        <f t="shared" ca="1" si="19"/>
        <v>-</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ca="1" si="19"/>
        <v>-</v>
      </c>
      <c r="O63" s="64" t="str">
        <f t="shared" ca="1" si="19"/>
        <v>-</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c r="D64" s="427"/>
      <c r="E64" s="427"/>
      <c r="F64" s="419"/>
      <c r="G64" s="419"/>
      <c r="H64" s="419"/>
      <c r="I64" s="419"/>
      <c r="J64" s="419"/>
      <c r="K64" s="419"/>
      <c r="L64" s="419"/>
      <c r="M64" s="64" t="str">
        <f t="shared" ca="1" si="19"/>
        <v>-</v>
      </c>
      <c r="N64" s="64" t="str">
        <f t="shared" ca="1" si="19"/>
        <v>-</v>
      </c>
      <c r="O64" s="64" t="str">
        <f t="shared" ca="1" si="19"/>
        <v>-</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t="e">
        <f ca="1">VLOOKUP(C$33,#REF!,MATCH($A65,#REF!,0),FALSE)</f>
        <v>#REF!</v>
      </c>
      <c r="D65" s="406" t="e">
        <f ca="1">VLOOKUP(D$33,#REF!,MATCH($A65,#REF!,0),FALSE)</f>
        <v>#REF!</v>
      </c>
      <c r="E65" s="406" t="e">
        <f ca="1">VLOOKUP(E$33,#REF!,MATCH($A65,#REF!,0),FALSE)</f>
        <v>#REF!</v>
      </c>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ca="1" si="22"/>
        <v>-</v>
      </c>
      <c r="O66" s="64" t="str">
        <f t="shared" ca="1" si="22"/>
        <v>-</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ca="1" si="22"/>
        <v>-</v>
      </c>
      <c r="O67" s="64" t="str">
        <f t="shared" ca="1" si="22"/>
        <v>-</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c r="D68" s="426"/>
      <c r="E68" s="426"/>
      <c r="F68" s="419"/>
      <c r="G68" s="419"/>
      <c r="H68" s="419"/>
      <c r="I68" s="419"/>
      <c r="J68" s="419"/>
      <c r="K68" s="419"/>
      <c r="L68" s="419"/>
      <c r="M68" s="64" t="str">
        <f t="shared" ca="1" si="22"/>
        <v>-</v>
      </c>
      <c r="N68" s="64" t="str">
        <f t="shared" ca="1" si="22"/>
        <v>-</v>
      </c>
      <c r="O68" s="64" t="str">
        <f t="shared" ca="1" si="22"/>
        <v>-</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t="e">
        <f ca="1">VLOOKUP(C$33,#REF!,MATCH($A69,#REF!,0),FALSE)</f>
        <v>#REF!</v>
      </c>
      <c r="D69" s="405" t="e">
        <f ca="1">VLOOKUP(D$33,#REF!,MATCH($A69,#REF!,0),FALSE)</f>
        <v>#REF!</v>
      </c>
      <c r="E69" s="405" t="e">
        <f ca="1">VLOOKUP(E$33,#REF!,MATCH($A69,#REF!,0),FALSE)</f>
        <v>#REF!</v>
      </c>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ca="1" si="23"/>
        <v>-</v>
      </c>
      <c r="O70" s="64" t="str">
        <f t="shared" ca="1" si="23"/>
        <v>-</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Interior Delamping</v>
      </c>
      <c r="D71" s="422" t="str">
        <f t="shared" si="24"/>
        <v>Interior Delamping</v>
      </c>
      <c r="E71" s="422" t="str">
        <f t="shared" si="24"/>
        <v>Interior Delamping with Gas Secondary Fuel</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ca="1" si="23"/>
        <v>-</v>
      </c>
      <c r="O71" s="64" t="str">
        <f t="shared" ca="1" si="23"/>
        <v>-</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ca="1" si="23"/>
        <v>-</v>
      </c>
      <c r="O72" s="64" t="str">
        <f t="shared" ca="1" si="23"/>
        <v>-</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t="e">
        <f ca="1">VLOOKUP(C$33,#REF!,MATCH($A73,#REF!,0),FALSE)</f>
        <v>#REF!</v>
      </c>
      <c r="D73" s="406" t="e">
        <f ca="1">VLOOKUP(D$33,#REF!,MATCH($A73,#REF!,0),FALSE)</f>
        <v>#REF!</v>
      </c>
      <c r="E73" s="406" t="e">
        <f ca="1">VLOOKUP(E$33,#REF!,MATCH($A73,#REF!,0),FALSE)</f>
        <v>#REF!</v>
      </c>
      <c r="F73" s="423"/>
      <c r="G73" s="423"/>
      <c r="H73" s="419"/>
      <c r="I73" s="419"/>
      <c r="J73" s="419"/>
      <c r="K73" s="419"/>
      <c r="L73" s="419"/>
      <c r="M73" s="64" t="str">
        <f t="shared" ca="1" si="23"/>
        <v>-</v>
      </c>
      <c r="N73" s="64" t="str">
        <f t="shared" ca="1" si="23"/>
        <v>-</v>
      </c>
      <c r="O73" s="64" t="str">
        <f t="shared" ca="1" si="23"/>
        <v>-</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ca="1" si="23"/>
        <v>-</v>
      </c>
      <c r="O74" s="64" t="str">
        <f t="shared" ca="1" si="23"/>
        <v>-</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ca="1" si="23"/>
        <v>-</v>
      </c>
      <c r="O75" s="64" t="str">
        <f t="shared" ca="1" si="23"/>
        <v>-</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ca="1" si="23"/>
        <v>-</v>
      </c>
      <c r="O76" s="64" t="str">
        <f t="shared" ca="1" si="23"/>
        <v>-</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ca="1" si="23"/>
        <v>-</v>
      </c>
      <c r="O77" s="64" t="str">
        <f t="shared" ca="1" si="23"/>
        <v>-</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ca="1" si="23"/>
        <v>-</v>
      </c>
      <c r="O78" s="64" t="str">
        <f t="shared" ca="1" si="23"/>
        <v>-</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ca="1" si="23"/>
        <v>-</v>
      </c>
      <c r="O79" s="64" t="str">
        <f t="shared" ca="1" si="23"/>
        <v>-</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ca="1" si="23"/>
        <v>-</v>
      </c>
      <c r="O80" s="64" t="str">
        <f t="shared" ca="1" si="23"/>
        <v>-</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ca="1" si="23"/>
        <v>-</v>
      </c>
      <c r="O81" s="64" t="str">
        <f t="shared" ca="1" si="23"/>
        <v>-</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ca="1" si="23"/>
        <v>-</v>
      </c>
      <c r="O82" s="64" t="str">
        <f t="shared" ca="1" si="23"/>
        <v>-</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ca="1" si="23"/>
        <v>-</v>
      </c>
      <c r="O83" s="64" t="str">
        <f t="shared" ca="1" si="23"/>
        <v>-</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ca="1" si="23"/>
        <v>-</v>
      </c>
      <c r="O84" s="64" t="str">
        <f t="shared" ca="1" si="23"/>
        <v>-</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ca="1" si="23"/>
        <v>-</v>
      </c>
      <c r="O85" s="64" t="str">
        <f t="shared" ca="1" si="23"/>
        <v>-</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ca="1" si="23"/>
        <v>-</v>
      </c>
      <c r="O86" s="64" t="str">
        <f t="shared" ca="1" si="23"/>
        <v>-</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ca="1" si="23"/>
        <v>-</v>
      </c>
      <c r="O87" s="64" t="str">
        <f t="shared" ca="1" si="23"/>
        <v>-</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ca="1" si="23"/>
        <v>-</v>
      </c>
      <c r="O88" s="64" t="str">
        <f t="shared" ca="1" si="23"/>
        <v>-</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ca="1" si="23"/>
        <v>-</v>
      </c>
      <c r="O89" s="64" t="str">
        <f t="shared" ca="1" si="23"/>
        <v>-</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ca="1" si="28"/>
        <v>-</v>
      </c>
      <c r="O90" s="64" t="str">
        <f t="shared" ca="1" si="28"/>
        <v>-</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t="s">
        <v>1194</v>
      </c>
      <c r="D91" s="421" t="s">
        <v>1194</v>
      </c>
      <c r="E91" s="421" t="s">
        <v>1194</v>
      </c>
      <c r="F91" s="419"/>
      <c r="G91" s="419"/>
      <c r="H91" s="419"/>
      <c r="I91" s="419"/>
      <c r="J91" s="419"/>
      <c r="K91" s="419"/>
      <c r="L91" s="419"/>
      <c r="M91" s="64" t="str">
        <f t="shared" ca="1" si="28"/>
        <v>-</v>
      </c>
      <c r="N91" s="64" t="str">
        <f t="shared" ca="1" si="28"/>
        <v>-</v>
      </c>
      <c r="O91" s="64" t="str">
        <f t="shared" ca="1" si="28"/>
        <v>-</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t="e">
        <f ca="1">VLOOKUP(C$33,#REF!,MATCH($A92,#REF!,0),FALSE)</f>
        <v>#REF!</v>
      </c>
      <c r="D92" s="420" t="e">
        <f ca="1">VLOOKUP(D$33,#REF!,MATCH($A92,#REF!,0),FALSE)</f>
        <v>#REF!</v>
      </c>
      <c r="E92" s="420" t="e">
        <f ca="1">VLOOKUP(E$33,#REF!,MATCH($A92,#REF!,0),FALSE)</f>
        <v>#REF!</v>
      </c>
      <c r="F92" s="419"/>
      <c r="G92" s="419"/>
      <c r="H92" s="419"/>
      <c r="I92" s="419"/>
      <c r="J92" s="419"/>
      <c r="K92" s="419"/>
      <c r="L92" s="419"/>
      <c r="M92" s="64" t="str">
        <f t="shared" ca="1" si="28"/>
        <v>-</v>
      </c>
      <c r="N92" s="64" t="str">
        <f t="shared" ca="1" si="28"/>
        <v>-</v>
      </c>
      <c r="O92" s="64" t="str">
        <f t="shared" ca="1" si="28"/>
        <v>-</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t="e">
        <f ca="1">VLOOKUP(C$33,#REF!,MATCH($A93,#REF!,0),FALSE)</f>
        <v>#REF!</v>
      </c>
      <c r="D93" s="405" t="e">
        <f ca="1">VLOOKUP(D$33,#REF!,MATCH($A93,#REF!,0),FALSE)</f>
        <v>#REF!</v>
      </c>
      <c r="E93" s="405" t="e">
        <f ca="1">VLOOKUP(E$33,#REF!,MATCH($A93,#REF!,0),FALSE)</f>
        <v>#REF!</v>
      </c>
      <c r="F93" s="419"/>
      <c r="G93" s="419"/>
      <c r="H93" s="419"/>
      <c r="I93" s="419"/>
      <c r="J93" s="419"/>
      <c r="K93" s="419"/>
      <c r="L93" s="419"/>
      <c r="M93" s="64" t="str">
        <f t="shared" ca="1" si="28"/>
        <v>-</v>
      </c>
      <c r="N93" s="64" t="str">
        <f t="shared" ca="1" si="28"/>
        <v>-</v>
      </c>
      <c r="O93" s="64" t="str">
        <f t="shared" ca="1" si="28"/>
        <v>-</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t="e">
        <f ca="1">VLOOKUP(C$33,#REF!,MATCH($A94,#REF!,0),FALSE)</f>
        <v>#REF!</v>
      </c>
      <c r="D94" s="405" t="e">
        <f ca="1">VLOOKUP(D$33,#REF!,MATCH($A94,#REF!,0),FALSE)</f>
        <v>#REF!</v>
      </c>
      <c r="E94" s="405" t="e">
        <f ca="1">VLOOKUP(E$33,#REF!,MATCH($A94,#REF!,0),FALSE)</f>
        <v>#REF!</v>
      </c>
      <c r="F94" s="419"/>
      <c r="G94" s="419"/>
      <c r="H94" s="419"/>
      <c r="I94" s="419"/>
      <c r="J94" s="419"/>
      <c r="K94" s="419"/>
      <c r="L94" s="419"/>
      <c r="M94" s="64" t="str">
        <f t="shared" ca="1" si="28"/>
        <v>-</v>
      </c>
      <c r="N94" s="64" t="str">
        <f t="shared" ca="1" si="28"/>
        <v>-</v>
      </c>
      <c r="O94" s="64" t="str">
        <f t="shared" ca="1" si="28"/>
        <v>-</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ca="1" si="28"/>
        <v>-</v>
      </c>
      <c r="O95" s="64" t="str">
        <f t="shared" ca="1" si="28"/>
        <v>-</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ca="1" si="28"/>
        <v>-</v>
      </c>
      <c r="O96" s="64" t="str">
        <f t="shared" ca="1" si="28"/>
        <v>-</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ca="1" si="28"/>
        <v>-</v>
      </c>
      <c r="O97" s="64" t="str">
        <f t="shared" ca="1" si="28"/>
        <v>-</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ca="1" si="28"/>
        <v>-</v>
      </c>
      <c r="O98" s="64" t="str">
        <f t="shared" ca="1" si="28"/>
        <v>-</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ca="1" si="28"/>
        <v>-</v>
      </c>
      <c r="O99" s="64" t="str">
        <f t="shared" ca="1" si="28"/>
        <v>-</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ca="1" si="28"/>
        <v>-</v>
      </c>
      <c r="O100" s="64" t="str">
        <f t="shared" ca="1" si="28"/>
        <v>-</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ca="1" si="28"/>
        <v>-</v>
      </c>
      <c r="O101" s="64" t="str">
        <f t="shared" ca="1" si="28"/>
        <v>-</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ca="1" si="28"/>
        <v>-</v>
      </c>
      <c r="O102" s="64" t="str">
        <f t="shared" ca="1" si="28"/>
        <v>-</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ca="1" si="28"/>
        <v>-</v>
      </c>
      <c r="O103" s="64" t="str">
        <f t="shared" ca="1" si="28"/>
        <v>-</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7">
      <c r="B113" s="93" t="s">
        <v>367</v>
      </c>
      <c r="C113" s="97">
        <v>1.3</v>
      </c>
      <c r="D113" s="93" t="s">
        <v>1084</v>
      </c>
      <c r="E113" s="286" t="s">
        <v>1107</v>
      </c>
    </row>
    <row r="114" spans="2:17">
      <c r="B114" s="93" t="s">
        <v>309</v>
      </c>
      <c r="C114" s="97">
        <v>3379</v>
      </c>
      <c r="D114" s="93" t="s">
        <v>1084</v>
      </c>
      <c r="E114" s="93" t="s">
        <v>1106</v>
      </c>
    </row>
    <row r="115" spans="2:17">
      <c r="B115" s="93" t="s">
        <v>34</v>
      </c>
      <c r="C115" s="97">
        <v>0.67</v>
      </c>
      <c r="D115" s="93" t="s">
        <v>1084</v>
      </c>
      <c r="E115" s="93"/>
    </row>
    <row r="116" spans="2:17">
      <c r="B116" s="97" t="s">
        <v>9</v>
      </c>
      <c r="C116" s="93" t="s">
        <v>35</v>
      </c>
      <c r="D116" s="93" t="s">
        <v>1192</v>
      </c>
      <c r="E116" s="93"/>
    </row>
    <row r="117" spans="2:17">
      <c r="B117" s="93" t="s">
        <v>518</v>
      </c>
      <c r="C117" s="93">
        <v>11</v>
      </c>
      <c r="D117" s="93" t="s">
        <v>1192</v>
      </c>
      <c r="E117" s="93"/>
    </row>
    <row r="119" spans="2:17">
      <c r="B119" s="415" t="s">
        <v>1266</v>
      </c>
      <c r="C119" s="417"/>
      <c r="D119" s="417"/>
      <c r="E119" s="417"/>
      <c r="F119" s="417"/>
      <c r="G119" s="417"/>
      <c r="H119" s="417"/>
      <c r="I119" s="93"/>
      <c r="J119" s="93"/>
      <c r="K119" s="93"/>
      <c r="L119" s="93"/>
      <c r="M119" s="93"/>
      <c r="N119" s="93"/>
      <c r="O119" s="1"/>
      <c r="P119" s="1"/>
      <c r="Q119" s="1"/>
    </row>
    <row r="120" spans="2:17">
      <c r="B120" s="415" t="s">
        <v>1260</v>
      </c>
      <c r="C120" s="415" t="s">
        <v>1259</v>
      </c>
      <c r="D120" s="415" t="s">
        <v>624</v>
      </c>
      <c r="E120" s="415" t="s">
        <v>101</v>
      </c>
      <c r="F120" s="415" t="s">
        <v>1258</v>
      </c>
      <c r="G120" s="94" t="s">
        <v>627</v>
      </c>
      <c r="H120" s="415" t="s">
        <v>1257</v>
      </c>
      <c r="I120" s="94" t="s">
        <v>500</v>
      </c>
      <c r="J120" s="94" t="s">
        <v>499</v>
      </c>
      <c r="K120" s="94" t="s">
        <v>244</v>
      </c>
      <c r="L120" s="94" t="s">
        <v>9</v>
      </c>
      <c r="M120" s="94" t="s">
        <v>8</v>
      </c>
      <c r="N120" s="94" t="s">
        <v>7</v>
      </c>
    </row>
    <row r="121" spans="2:17">
      <c r="B121" s="448" t="s">
        <v>1265</v>
      </c>
      <c r="C121" s="447">
        <v>200</v>
      </c>
      <c r="D121" s="417">
        <v>180</v>
      </c>
      <c r="E121" s="417" t="s">
        <v>1255</v>
      </c>
      <c r="F121" s="323">
        <v>100</v>
      </c>
      <c r="G121" s="417">
        <v>232</v>
      </c>
      <c r="H121" s="323">
        <v>100</v>
      </c>
      <c r="I121" s="417">
        <f>((G121-D121)/1000)*$C$112*$C$114</f>
        <v>189.76464000000001</v>
      </c>
      <c r="J121" s="417">
        <f>((G121-D121)/1000)*$C$113*$C$115</f>
        <v>4.5291999999999999E-2</v>
      </c>
      <c r="K121" s="417">
        <f>I121/((F121/1000)*$C$112*$C$114)</f>
        <v>0.52</v>
      </c>
      <c r="L121" s="439">
        <f t="shared" ref="L121:L135" si="31">H121</f>
        <v>100</v>
      </c>
      <c r="M121" s="438">
        <f>L121/I121</f>
        <v>0.52696856484959476</v>
      </c>
      <c r="N121" s="417"/>
    </row>
    <row r="122" spans="2:17">
      <c r="B122" s="448" t="s">
        <v>1256</v>
      </c>
      <c r="C122" s="447">
        <v>200</v>
      </c>
      <c r="D122" s="417">
        <v>180</v>
      </c>
      <c r="E122" s="417" t="s">
        <v>1255</v>
      </c>
      <c r="F122" s="323">
        <v>100</v>
      </c>
      <c r="G122" s="417">
        <v>232</v>
      </c>
      <c r="H122" s="323">
        <v>100</v>
      </c>
      <c r="I122" s="417">
        <f>((G122-D122)/1000)*$C$112*$C$114</f>
        <v>189.76464000000001</v>
      </c>
      <c r="J122" s="417">
        <f>((G122-D122)/1000)*$C$113*$C$115</f>
        <v>4.5291999999999999E-2</v>
      </c>
      <c r="K122" s="417">
        <f>I122/((F122/1000)*$C$112*$C$114)</f>
        <v>0.52</v>
      </c>
      <c r="L122" s="439">
        <f t="shared" si="31"/>
        <v>100</v>
      </c>
      <c r="M122" s="438">
        <f>L122/I122</f>
        <v>0.52696856484959476</v>
      </c>
      <c r="N122" s="417"/>
    </row>
    <row r="123" spans="2:17">
      <c r="B123" s="448" t="s">
        <v>1254</v>
      </c>
      <c r="C123" s="447">
        <v>225</v>
      </c>
      <c r="D123" s="417">
        <v>240</v>
      </c>
      <c r="E123" s="286" t="s">
        <v>1251</v>
      </c>
      <c r="F123" s="323">
        <v>125</v>
      </c>
      <c r="G123" s="417">
        <v>350</v>
      </c>
      <c r="H123" s="323">
        <v>100</v>
      </c>
      <c r="I123" s="417">
        <f>((G123-D123)/1000)*$C$112*$C$114</f>
        <v>401.42520000000002</v>
      </c>
      <c r="J123" s="417">
        <f>((G123-D123)/1000)*$C$113*$C$115</f>
        <v>9.581000000000002E-2</v>
      </c>
      <c r="K123" s="417">
        <f>I123/((F123/1000)*$C$112*$C$114)</f>
        <v>0.88</v>
      </c>
      <c r="L123" s="439">
        <f t="shared" si="31"/>
        <v>100</v>
      </c>
      <c r="M123" s="438">
        <f>L123/I123</f>
        <v>0.24911241247435387</v>
      </c>
      <c r="N123" s="417"/>
    </row>
    <row r="124" spans="2:17">
      <c r="B124" s="448" t="s">
        <v>1252</v>
      </c>
      <c r="C124" s="447">
        <v>250</v>
      </c>
      <c r="D124" s="417">
        <v>360</v>
      </c>
      <c r="E124" s="286" t="s">
        <v>1264</v>
      </c>
      <c r="F124" s="323">
        <v>150</v>
      </c>
      <c r="G124" s="417">
        <v>476</v>
      </c>
      <c r="H124" s="323">
        <v>100</v>
      </c>
      <c r="I124" s="417">
        <f>((G124-D124)/1000)*$C$112*$C$114</f>
        <v>423.32112000000001</v>
      </c>
      <c r="J124" s="417">
        <f>((G124-D124)/1000)*$C$113*$C$115</f>
        <v>0.10103600000000001</v>
      </c>
      <c r="K124" s="417">
        <f>I124/((F124/1000)*$C$112*$C$114)</f>
        <v>0.77333333333333332</v>
      </c>
      <c r="L124" s="439">
        <f t="shared" si="31"/>
        <v>100</v>
      </c>
      <c r="M124" s="438">
        <f>L124/I124</f>
        <v>0.23622728769119763</v>
      </c>
      <c r="N124" s="417"/>
    </row>
    <row r="125" spans="2:17">
      <c r="B125" s="448"/>
      <c r="C125" s="447"/>
      <c r="D125" s="417"/>
      <c r="E125" s="417"/>
      <c r="F125" s="323"/>
      <c r="G125" s="417"/>
      <c r="H125" s="323"/>
      <c r="I125" s="417"/>
      <c r="J125" s="417"/>
      <c r="K125" s="417"/>
      <c r="L125" s="439">
        <f t="shared" si="31"/>
        <v>0</v>
      </c>
      <c r="M125" s="438"/>
      <c r="N125" s="417"/>
    </row>
    <row r="126" spans="2:17">
      <c r="B126" s="448" t="s">
        <v>1249</v>
      </c>
      <c r="C126" s="447">
        <v>100</v>
      </c>
      <c r="D126" s="417">
        <v>32</v>
      </c>
      <c r="E126" s="417" t="s">
        <v>1263</v>
      </c>
      <c r="F126" s="323">
        <v>60</v>
      </c>
      <c r="G126" s="417">
        <v>44</v>
      </c>
      <c r="H126" s="323">
        <v>40</v>
      </c>
      <c r="I126" s="417">
        <f>((G126-D126)/1000)*$C$112*$C$114</f>
        <v>43.791840000000001</v>
      </c>
      <c r="J126" s="417">
        <f>((G126-D126)/1000)*$C$113*$C$115</f>
        <v>1.0452000000000001E-2</v>
      </c>
      <c r="K126" s="417">
        <f>I126/((F126/1000)*$C$112*$C$114)</f>
        <v>0.2</v>
      </c>
      <c r="L126" s="439">
        <f t="shared" si="31"/>
        <v>40</v>
      </c>
      <c r="M126" s="438">
        <f>L126/I126</f>
        <v>0.91341217907263084</v>
      </c>
      <c r="N126" s="417"/>
    </row>
    <row r="127" spans="2:17">
      <c r="B127" s="448" t="s">
        <v>1247</v>
      </c>
      <c r="C127" s="447">
        <v>100</v>
      </c>
      <c r="D127" s="417">
        <v>64</v>
      </c>
      <c r="E127" s="417" t="s">
        <v>1262</v>
      </c>
      <c r="F127" s="323">
        <v>60</v>
      </c>
      <c r="G127" s="417">
        <v>88</v>
      </c>
      <c r="H127" s="323">
        <v>40</v>
      </c>
      <c r="I127" s="417">
        <f>((G127-D127)/1000)*$C$112*$C$114</f>
        <v>87.583680000000001</v>
      </c>
      <c r="J127" s="417">
        <f>((G127-D127)/1000)*$C$113*$C$115</f>
        <v>2.0904000000000002E-2</v>
      </c>
      <c r="K127" s="417">
        <f>I127/((F127/1000)*$C$112*$C$114)</f>
        <v>0.4</v>
      </c>
      <c r="L127" s="439">
        <f t="shared" si="31"/>
        <v>40</v>
      </c>
      <c r="M127" s="438">
        <f>L127/I127</f>
        <v>0.45670608953631542</v>
      </c>
      <c r="N127" s="417"/>
    </row>
    <row r="128" spans="2:17">
      <c r="B128" s="444"/>
      <c r="C128" s="446"/>
      <c r="D128" s="417"/>
      <c r="E128" s="417"/>
      <c r="F128" s="323"/>
      <c r="G128" s="417"/>
      <c r="H128" s="323"/>
      <c r="I128" s="417"/>
      <c r="J128" s="417"/>
      <c r="K128" s="417"/>
      <c r="L128" s="439">
        <f t="shared" si="31"/>
        <v>0</v>
      </c>
      <c r="M128" s="438"/>
      <c r="N128" s="417"/>
    </row>
    <row r="129" spans="2:14">
      <c r="B129" s="444" t="s">
        <v>1245</v>
      </c>
      <c r="C129" s="446">
        <v>70</v>
      </c>
      <c r="D129" s="417">
        <v>32</v>
      </c>
      <c r="E129" s="417" t="s">
        <v>1263</v>
      </c>
      <c r="F129" s="323">
        <v>40</v>
      </c>
      <c r="G129" s="417">
        <v>44</v>
      </c>
      <c r="H129" s="323">
        <v>30</v>
      </c>
      <c r="I129" s="417">
        <f>((G129-D129)/1000)*$C$112*$C$114</f>
        <v>43.791840000000001</v>
      </c>
      <c r="J129" s="417">
        <f>((G129-D129)/1000)*$C$113*$C$115</f>
        <v>1.0452000000000001E-2</v>
      </c>
      <c r="K129" s="417">
        <f>I129/((F129/1000)*$C$112*$C$114)</f>
        <v>0.3</v>
      </c>
      <c r="L129" s="439">
        <f t="shared" si="31"/>
        <v>30</v>
      </c>
      <c r="M129" s="438">
        <f>L129/I129</f>
        <v>0.68505913430447318</v>
      </c>
      <c r="N129" s="417"/>
    </row>
    <row r="130" spans="2:14">
      <c r="B130" s="444" t="s">
        <v>1243</v>
      </c>
      <c r="C130" s="445">
        <v>70</v>
      </c>
      <c r="D130" s="417">
        <v>64</v>
      </c>
      <c r="E130" s="417" t="s">
        <v>1262</v>
      </c>
      <c r="F130" s="323">
        <v>40</v>
      </c>
      <c r="G130" s="417">
        <v>88</v>
      </c>
      <c r="H130" s="323">
        <v>30</v>
      </c>
      <c r="I130" s="417">
        <f>((G130-D130)/1000)*$C$112*$C$114</f>
        <v>87.583680000000001</v>
      </c>
      <c r="J130" s="417">
        <f>((G130-D130)/1000)*$C$113*$C$115</f>
        <v>2.0904000000000002E-2</v>
      </c>
      <c r="K130" s="417">
        <f>I130/((F130/1000)*$C$112*$C$114)</f>
        <v>0.6</v>
      </c>
      <c r="L130" s="439">
        <f t="shared" si="31"/>
        <v>30</v>
      </c>
      <c r="M130" s="438">
        <f>L130/I130</f>
        <v>0.34252956715223659</v>
      </c>
      <c r="N130" s="417"/>
    </row>
    <row r="131" spans="2:14">
      <c r="B131" s="444" t="s">
        <v>1241</v>
      </c>
      <c r="C131" s="445">
        <v>70</v>
      </c>
      <c r="D131" s="417">
        <v>96</v>
      </c>
      <c r="E131" s="417" t="s">
        <v>1263</v>
      </c>
      <c r="F131" s="323">
        <v>40</v>
      </c>
      <c r="G131" s="417">
        <v>132</v>
      </c>
      <c r="H131" s="323">
        <v>30</v>
      </c>
      <c r="I131" s="417">
        <f>((G131-D131)/1000)*$C$112*$C$114</f>
        <v>131.37551999999999</v>
      </c>
      <c r="J131" s="417">
        <f>((G131-D131)/1000)*$C$113*$C$115</f>
        <v>3.1356000000000002E-2</v>
      </c>
      <c r="K131" s="417">
        <f>I131/((F131/1000)*$C$112*$C$114)</f>
        <v>0.89999999999999991</v>
      </c>
      <c r="L131" s="439">
        <f t="shared" si="31"/>
        <v>30</v>
      </c>
      <c r="M131" s="438">
        <f>L131/I131</f>
        <v>0.22835304476815774</v>
      </c>
      <c r="N131" s="417"/>
    </row>
    <row r="132" spans="2:14">
      <c r="B132" s="444" t="s">
        <v>1239</v>
      </c>
      <c r="C132" s="445">
        <v>70</v>
      </c>
      <c r="D132" s="417">
        <v>128</v>
      </c>
      <c r="E132" s="417" t="s">
        <v>1263</v>
      </c>
      <c r="F132" s="323">
        <v>40</v>
      </c>
      <c r="G132" s="417">
        <v>178</v>
      </c>
      <c r="H132" s="323">
        <v>30</v>
      </c>
      <c r="I132" s="417">
        <f>((G132-D132)/1000)*$C$112*$C$114</f>
        <v>182.46600000000001</v>
      </c>
      <c r="J132" s="417">
        <f>((G132-D132)/1000)*$C$113*$C$115</f>
        <v>4.3550000000000005E-2</v>
      </c>
      <c r="K132" s="417">
        <f>I132/((F132/1000)*$C$112*$C$114)</f>
        <v>1.25</v>
      </c>
      <c r="L132" s="439">
        <f t="shared" si="31"/>
        <v>30</v>
      </c>
      <c r="M132" s="438">
        <f>L132/I132</f>
        <v>0.16441419223307355</v>
      </c>
      <c r="N132" s="417"/>
    </row>
    <row r="133" spans="2:14">
      <c r="B133" s="444"/>
      <c r="C133" s="445"/>
      <c r="D133" s="417"/>
      <c r="E133" s="417"/>
      <c r="F133" s="323"/>
      <c r="G133" s="417"/>
      <c r="H133" s="323"/>
      <c r="I133" s="417"/>
      <c r="J133" s="417"/>
      <c r="K133" s="417"/>
      <c r="L133" s="439">
        <f t="shared" si="31"/>
        <v>0</v>
      </c>
      <c r="M133" s="438"/>
      <c r="N133" s="417"/>
    </row>
    <row r="134" spans="2:14">
      <c r="B134" s="444" t="s">
        <v>1237</v>
      </c>
      <c r="C134" s="445">
        <v>175</v>
      </c>
      <c r="D134" s="417">
        <v>32</v>
      </c>
      <c r="E134" s="417" t="s">
        <v>1263</v>
      </c>
      <c r="F134" s="323">
        <v>145</v>
      </c>
      <c r="G134" s="417">
        <v>44</v>
      </c>
      <c r="H134" s="323">
        <v>30</v>
      </c>
      <c r="I134" s="417">
        <f>((G134-D134)/1000)*$C$112*$C$114</f>
        <v>43.791840000000001</v>
      </c>
      <c r="J134" s="417">
        <f>((G134-D134)/1000)*$C$113*$C$115</f>
        <v>1.0452000000000001E-2</v>
      </c>
      <c r="K134" s="417">
        <f>I134/((F134/1000)*$C$112*$C$114)</f>
        <v>8.2758620689655185E-2</v>
      </c>
      <c r="L134" s="439">
        <f t="shared" si="31"/>
        <v>30</v>
      </c>
      <c r="M134" s="438">
        <f>L134/I134</f>
        <v>0.68505913430447318</v>
      </c>
      <c r="N134" s="417"/>
    </row>
    <row r="135" spans="2:14">
      <c r="B135" s="444" t="s">
        <v>1235</v>
      </c>
      <c r="C135" s="445">
        <v>175</v>
      </c>
      <c r="D135" s="417">
        <v>64</v>
      </c>
      <c r="E135" s="417" t="s">
        <v>1262</v>
      </c>
      <c r="F135" s="323">
        <v>145</v>
      </c>
      <c r="G135" s="417">
        <v>88</v>
      </c>
      <c r="H135" s="323">
        <v>30</v>
      </c>
      <c r="I135" s="417">
        <f>((G135-D135)/1000)*$C$112*$C$114</f>
        <v>87.583680000000001</v>
      </c>
      <c r="J135" s="417">
        <f>((G135-D135)/1000)*$C$113*$C$115</f>
        <v>2.0904000000000002E-2</v>
      </c>
      <c r="K135" s="417">
        <f>I135/((F135/1000)*$C$112*$C$114)</f>
        <v>0.16551724137931037</v>
      </c>
      <c r="L135" s="439">
        <f t="shared" si="31"/>
        <v>30</v>
      </c>
      <c r="M135" s="438">
        <f>L135/I135</f>
        <v>0.34252956715223659</v>
      </c>
      <c r="N135" s="417"/>
    </row>
    <row r="136" spans="2:14">
      <c r="B136" s="444"/>
      <c r="C136" s="442"/>
      <c r="D136" s="417"/>
      <c r="E136" s="417"/>
      <c r="F136" s="417"/>
      <c r="G136" s="417"/>
      <c r="H136" s="417"/>
      <c r="I136" s="417"/>
      <c r="J136" s="417"/>
      <c r="K136" s="417"/>
      <c r="L136" s="439"/>
      <c r="M136" s="438"/>
      <c r="N136" s="417"/>
    </row>
    <row r="137" spans="2:14">
      <c r="B137" s="444" t="s">
        <v>1261</v>
      </c>
      <c r="C137" s="442"/>
      <c r="D137" s="417"/>
      <c r="E137" s="417"/>
      <c r="F137" s="417"/>
      <c r="G137" s="417"/>
      <c r="H137" s="417"/>
      <c r="I137" s="417"/>
      <c r="J137" s="417"/>
      <c r="K137" s="417"/>
      <c r="L137" s="439"/>
      <c r="M137" s="438"/>
      <c r="N137" s="417"/>
    </row>
    <row r="138" spans="2:14">
      <c r="B138" s="415" t="s">
        <v>1260</v>
      </c>
      <c r="C138" s="415" t="s">
        <v>1259</v>
      </c>
      <c r="D138" s="415" t="s">
        <v>624</v>
      </c>
      <c r="E138" s="415" t="s">
        <v>101</v>
      </c>
      <c r="F138" s="415" t="s">
        <v>1258</v>
      </c>
      <c r="G138" s="94" t="s">
        <v>627</v>
      </c>
      <c r="H138" s="415" t="s">
        <v>1257</v>
      </c>
      <c r="I138" s="94" t="s">
        <v>500</v>
      </c>
      <c r="J138" s="94" t="s">
        <v>499</v>
      </c>
      <c r="K138" s="94" t="s">
        <v>244</v>
      </c>
      <c r="L138" s="94" t="s">
        <v>9</v>
      </c>
      <c r="M138" s="94" t="s">
        <v>8</v>
      </c>
      <c r="N138" s="94" t="s">
        <v>7</v>
      </c>
    </row>
    <row r="139" spans="2:14">
      <c r="B139" s="448" t="s">
        <v>1256</v>
      </c>
      <c r="C139" s="447">
        <v>200</v>
      </c>
      <c r="D139" s="417">
        <v>180</v>
      </c>
      <c r="E139" s="417" t="s">
        <v>1255</v>
      </c>
      <c r="F139" s="417"/>
      <c r="G139" s="417">
        <v>232</v>
      </c>
      <c r="H139" s="417"/>
      <c r="I139" s="417"/>
      <c r="J139" s="417"/>
      <c r="K139" s="417"/>
      <c r="L139" s="439"/>
      <c r="M139" s="438"/>
      <c r="N139" s="417"/>
    </row>
    <row r="140" spans="2:14">
      <c r="B140" s="448" t="s">
        <v>1254</v>
      </c>
      <c r="C140" s="447">
        <v>225</v>
      </c>
      <c r="D140" s="417">
        <v>234</v>
      </c>
      <c r="E140" s="417" t="s">
        <v>1253</v>
      </c>
      <c r="F140" s="417"/>
      <c r="G140" s="417">
        <v>295</v>
      </c>
      <c r="H140" s="417"/>
      <c r="I140" s="417"/>
      <c r="J140" s="417"/>
      <c r="K140" s="417"/>
      <c r="L140" s="439"/>
      <c r="M140" s="438"/>
      <c r="N140" s="417"/>
    </row>
    <row r="141" spans="2:14">
      <c r="B141" s="448" t="s">
        <v>1252</v>
      </c>
      <c r="C141" s="447">
        <v>250</v>
      </c>
      <c r="D141" s="417">
        <v>358</v>
      </c>
      <c r="E141" s="417" t="s">
        <v>1251</v>
      </c>
      <c r="F141" s="417"/>
      <c r="G141" s="417">
        <v>350</v>
      </c>
      <c r="H141" s="417"/>
      <c r="I141" s="417"/>
      <c r="J141" s="417"/>
      <c r="K141" s="417"/>
      <c r="L141" s="439"/>
      <c r="M141" s="438"/>
      <c r="N141" s="417"/>
    </row>
    <row r="142" spans="2:14">
      <c r="B142" s="444"/>
      <c r="C142" s="447"/>
      <c r="D142" s="417"/>
      <c r="E142" s="417" t="s">
        <v>1250</v>
      </c>
      <c r="F142" s="417"/>
      <c r="G142" s="417">
        <v>455</v>
      </c>
      <c r="H142" s="417"/>
      <c r="I142" s="417"/>
      <c r="J142" s="417"/>
      <c r="K142" s="417"/>
      <c r="L142" s="439"/>
      <c r="M142" s="438"/>
      <c r="N142" s="417"/>
    </row>
    <row r="143" spans="2:14">
      <c r="B143" s="448" t="s">
        <v>1249</v>
      </c>
      <c r="C143" s="447">
        <v>100</v>
      </c>
      <c r="D143" s="417">
        <v>32</v>
      </c>
      <c r="E143" s="417" t="s">
        <v>1248</v>
      </c>
      <c r="F143" s="417"/>
      <c r="G143" s="417">
        <v>476</v>
      </c>
      <c r="H143" s="417"/>
      <c r="I143" s="417"/>
      <c r="J143" s="417"/>
      <c r="K143" s="417"/>
      <c r="L143" s="439"/>
      <c r="M143" s="438"/>
      <c r="N143" s="417"/>
    </row>
    <row r="144" spans="2:14">
      <c r="B144" s="448" t="s">
        <v>1247</v>
      </c>
      <c r="C144" s="447">
        <v>100</v>
      </c>
      <c r="D144" s="417">
        <v>64</v>
      </c>
      <c r="E144" s="417"/>
      <c r="F144" s="417"/>
      <c r="G144" s="417"/>
      <c r="H144" s="417"/>
      <c r="I144" s="417"/>
      <c r="J144" s="417"/>
      <c r="K144" s="417"/>
      <c r="L144" s="439"/>
      <c r="M144" s="438"/>
      <c r="N144" s="417"/>
    </row>
    <row r="145" spans="2:14">
      <c r="B145" s="444"/>
      <c r="C145" s="446"/>
      <c r="D145" s="417"/>
      <c r="E145" s="417" t="s">
        <v>1246</v>
      </c>
      <c r="F145" s="417"/>
      <c r="G145" s="417">
        <v>40</v>
      </c>
      <c r="H145" s="417"/>
      <c r="I145" s="417"/>
      <c r="J145" s="417"/>
      <c r="K145" s="417"/>
      <c r="L145" s="439"/>
      <c r="M145" s="438"/>
      <c r="N145" s="417"/>
    </row>
    <row r="146" spans="2:14">
      <c r="B146" s="444" t="s">
        <v>1245</v>
      </c>
      <c r="C146" s="446">
        <v>70</v>
      </c>
      <c r="D146" s="417">
        <v>32</v>
      </c>
      <c r="E146" s="417" t="s">
        <v>1244</v>
      </c>
      <c r="F146" s="417"/>
      <c r="G146" s="417">
        <v>68</v>
      </c>
      <c r="H146" s="417"/>
      <c r="I146" s="417"/>
      <c r="J146" s="417"/>
      <c r="K146" s="417"/>
      <c r="L146" s="439"/>
      <c r="M146" s="438"/>
      <c r="N146" s="417"/>
    </row>
    <row r="147" spans="2:14">
      <c r="B147" s="444" t="s">
        <v>1243</v>
      </c>
      <c r="C147" s="445">
        <v>70</v>
      </c>
      <c r="D147" s="417">
        <v>64</v>
      </c>
      <c r="E147" s="417" t="s">
        <v>1242</v>
      </c>
      <c r="F147" s="417"/>
      <c r="G147" s="417">
        <v>110</v>
      </c>
      <c r="H147" s="417"/>
      <c r="I147" s="417"/>
      <c r="J147" s="417"/>
      <c r="K147" s="417"/>
      <c r="L147" s="439"/>
      <c r="M147" s="438"/>
      <c r="N147" s="417"/>
    </row>
    <row r="148" spans="2:14">
      <c r="B148" s="444" t="s">
        <v>1241</v>
      </c>
      <c r="C148" s="445">
        <v>70</v>
      </c>
      <c r="D148" s="417">
        <v>96</v>
      </c>
      <c r="E148" s="417" t="s">
        <v>1240</v>
      </c>
      <c r="F148" s="417"/>
      <c r="G148" s="417">
        <v>139</v>
      </c>
      <c r="H148" s="417"/>
      <c r="I148" s="417"/>
      <c r="J148" s="417"/>
      <c r="K148" s="417"/>
      <c r="L148" s="439"/>
      <c r="M148" s="438"/>
      <c r="N148" s="417"/>
    </row>
    <row r="149" spans="2:14">
      <c r="B149" s="444" t="s">
        <v>1239</v>
      </c>
      <c r="C149" s="445">
        <v>70</v>
      </c>
      <c r="D149" s="417">
        <v>128</v>
      </c>
      <c r="E149" s="417"/>
      <c r="F149" s="417"/>
      <c r="G149" s="417"/>
      <c r="H149" s="417"/>
      <c r="I149" s="417"/>
      <c r="J149" s="417"/>
      <c r="K149" s="417"/>
      <c r="L149" s="439"/>
      <c r="M149" s="438"/>
      <c r="N149" s="417"/>
    </row>
    <row r="150" spans="2:14">
      <c r="B150" s="444"/>
      <c r="C150" s="445"/>
      <c r="D150" s="417"/>
      <c r="E150" s="417" t="s">
        <v>1238</v>
      </c>
      <c r="F150" s="417"/>
      <c r="G150" s="417">
        <v>48</v>
      </c>
      <c r="H150" s="417"/>
      <c r="I150" s="417"/>
      <c r="J150" s="417"/>
      <c r="K150" s="417"/>
      <c r="L150" s="439"/>
      <c r="M150" s="438"/>
      <c r="N150" s="417"/>
    </row>
    <row r="151" spans="2:14">
      <c r="B151" s="444" t="s">
        <v>1237</v>
      </c>
      <c r="C151" s="445">
        <v>175</v>
      </c>
      <c r="D151" s="417">
        <v>32</v>
      </c>
      <c r="E151" s="417" t="s">
        <v>1236</v>
      </c>
      <c r="F151" s="417"/>
      <c r="G151" s="417">
        <v>82</v>
      </c>
      <c r="H151" s="417"/>
      <c r="I151" s="417"/>
      <c r="J151" s="417"/>
      <c r="K151" s="417"/>
      <c r="L151" s="439"/>
      <c r="M151" s="438"/>
      <c r="N151" s="417"/>
    </row>
    <row r="152" spans="2:14">
      <c r="B152" s="444" t="s">
        <v>1235</v>
      </c>
      <c r="C152" s="445">
        <v>175</v>
      </c>
      <c r="D152" s="417">
        <v>64</v>
      </c>
      <c r="E152" s="417" t="s">
        <v>1234</v>
      </c>
      <c r="F152" s="417"/>
      <c r="G152" s="417">
        <v>122</v>
      </c>
      <c r="H152" s="417"/>
      <c r="I152" s="417"/>
      <c r="J152" s="417"/>
      <c r="K152" s="417"/>
      <c r="L152" s="439"/>
      <c r="M152" s="438"/>
      <c r="N152" s="417"/>
    </row>
    <row r="153" spans="2:14">
      <c r="B153" s="444"/>
      <c r="C153" s="441"/>
      <c r="D153" s="417"/>
      <c r="E153" s="417" t="s">
        <v>1233</v>
      </c>
      <c r="F153" s="417"/>
      <c r="G153" s="417">
        <v>164</v>
      </c>
      <c r="H153" s="417"/>
      <c r="I153" s="417"/>
      <c r="J153" s="417"/>
      <c r="K153" s="417"/>
      <c r="L153" s="439"/>
      <c r="M153" s="438"/>
      <c r="N153" s="417"/>
    </row>
    <row r="154" spans="2:14">
      <c r="B154" s="444"/>
      <c r="C154" s="441"/>
      <c r="D154" s="417"/>
      <c r="E154" s="417"/>
      <c r="F154" s="417"/>
      <c r="G154" s="417"/>
      <c r="H154" s="417"/>
      <c r="I154" s="417"/>
      <c r="J154" s="417"/>
      <c r="K154" s="417"/>
      <c r="L154" s="439"/>
      <c r="M154" s="438"/>
      <c r="N154" s="417"/>
    </row>
    <row r="155" spans="2:14">
      <c r="B155" s="444"/>
      <c r="C155" s="442"/>
      <c r="D155" s="417"/>
      <c r="E155" s="417" t="s">
        <v>1232</v>
      </c>
      <c r="F155" s="417"/>
      <c r="G155" s="417">
        <v>57</v>
      </c>
      <c r="H155" s="417"/>
      <c r="I155" s="417"/>
      <c r="J155" s="417"/>
      <c r="K155" s="417"/>
      <c r="L155" s="439"/>
      <c r="M155" s="438"/>
      <c r="N155" s="417"/>
    </row>
    <row r="156" spans="2:14">
      <c r="B156" s="444"/>
      <c r="C156" s="442"/>
      <c r="D156" s="417"/>
      <c r="E156" s="417" t="s">
        <v>1231</v>
      </c>
      <c r="F156" s="417"/>
      <c r="G156" s="417">
        <v>94</v>
      </c>
      <c r="H156" s="417"/>
      <c r="I156" s="417"/>
      <c r="J156" s="417"/>
      <c r="K156" s="417"/>
      <c r="L156" s="439"/>
      <c r="M156" s="438"/>
      <c r="N156" s="417"/>
    </row>
    <row r="157" spans="2:14">
      <c r="B157" s="444"/>
      <c r="C157" s="442"/>
      <c r="D157" s="417"/>
      <c r="E157" s="417" t="s">
        <v>1230</v>
      </c>
      <c r="F157" s="417"/>
      <c r="G157" s="417">
        <v>147</v>
      </c>
      <c r="H157" s="417"/>
      <c r="I157" s="417"/>
      <c r="J157" s="417"/>
      <c r="K157" s="417"/>
      <c r="L157" s="439"/>
      <c r="M157" s="438"/>
      <c r="N157" s="417"/>
    </row>
    <row r="158" spans="2:14">
      <c r="B158" s="444"/>
      <c r="C158" s="442"/>
      <c r="D158" s="417"/>
      <c r="E158" s="417" t="s">
        <v>1229</v>
      </c>
      <c r="F158" s="417"/>
      <c r="G158" s="417">
        <v>182</v>
      </c>
      <c r="H158" s="417"/>
      <c r="I158" s="417"/>
      <c r="J158" s="417"/>
      <c r="K158" s="417"/>
      <c r="L158" s="439"/>
      <c r="M158" s="438"/>
      <c r="N158" s="417"/>
    </row>
    <row r="159" spans="2:14">
      <c r="B159" s="444"/>
      <c r="C159" s="442"/>
      <c r="D159" s="417"/>
      <c r="E159" s="417"/>
      <c r="F159" s="417"/>
      <c r="G159" s="417"/>
      <c r="H159" s="417"/>
      <c r="I159" s="417"/>
      <c r="J159" s="417"/>
      <c r="K159" s="417"/>
      <c r="L159" s="439"/>
      <c r="M159" s="438"/>
      <c r="N159" s="417"/>
    </row>
    <row r="160" spans="2:14">
      <c r="B160" s="444"/>
      <c r="C160" s="443"/>
      <c r="D160" s="417"/>
      <c r="E160" s="417" t="s">
        <v>1228</v>
      </c>
      <c r="F160" s="417"/>
      <c r="G160" s="417">
        <v>32</v>
      </c>
      <c r="H160" s="417"/>
      <c r="I160" s="417"/>
      <c r="J160" s="417"/>
      <c r="K160" s="417"/>
      <c r="L160" s="439"/>
      <c r="M160" s="438"/>
      <c r="N160" s="417"/>
    </row>
    <row r="161" spans="2:14">
      <c r="B161" s="444"/>
      <c r="C161" s="443"/>
      <c r="D161" s="417"/>
      <c r="E161" s="417" t="s">
        <v>1227</v>
      </c>
      <c r="F161" s="417"/>
      <c r="G161" s="417">
        <v>59</v>
      </c>
      <c r="H161" s="417"/>
      <c r="I161" s="417"/>
      <c r="J161" s="417"/>
      <c r="K161" s="417"/>
      <c r="L161" s="439"/>
      <c r="M161" s="438"/>
      <c r="N161" s="417"/>
    </row>
    <row r="162" spans="2:14">
      <c r="B162" s="444"/>
      <c r="C162" s="443"/>
      <c r="D162" s="417"/>
      <c r="E162" s="417" t="s">
        <v>1226</v>
      </c>
      <c r="F162" s="417"/>
      <c r="G162" s="417">
        <v>88</v>
      </c>
      <c r="H162" s="417"/>
      <c r="I162" s="417"/>
      <c r="J162" s="417"/>
      <c r="K162" s="417"/>
      <c r="L162" s="439"/>
      <c r="M162" s="438"/>
      <c r="N162" s="417"/>
    </row>
    <row r="163" spans="2:14">
      <c r="B163" s="444"/>
      <c r="C163" s="443"/>
      <c r="D163" s="417"/>
      <c r="E163" s="417" t="s">
        <v>1225</v>
      </c>
      <c r="F163" s="417"/>
      <c r="G163" s="417">
        <v>114</v>
      </c>
      <c r="H163" s="417"/>
      <c r="I163" s="417"/>
      <c r="J163" s="417"/>
      <c r="K163" s="417"/>
      <c r="L163" s="439"/>
      <c r="M163" s="438"/>
      <c r="N163" s="417"/>
    </row>
    <row r="164" spans="2:14">
      <c r="B164" s="444"/>
      <c r="C164" s="443"/>
      <c r="D164" s="417"/>
      <c r="E164" s="417"/>
      <c r="F164" s="417"/>
      <c r="G164" s="417"/>
      <c r="H164" s="417"/>
      <c r="I164" s="417"/>
      <c r="J164" s="417"/>
      <c r="K164" s="417"/>
      <c r="L164" s="439"/>
      <c r="M164" s="438"/>
      <c r="N164" s="417"/>
    </row>
    <row r="165" spans="2:14">
      <c r="B165" s="442"/>
      <c r="C165" s="441"/>
      <c r="D165" s="417"/>
      <c r="E165" s="417"/>
      <c r="F165" s="417"/>
      <c r="G165" s="417"/>
      <c r="H165" s="417"/>
      <c r="I165" s="417"/>
      <c r="J165" s="417"/>
      <c r="K165" s="417"/>
      <c r="L165" s="439"/>
      <c r="M165" s="438"/>
      <c r="N165" s="417"/>
    </row>
    <row r="166" spans="2:14">
      <c r="B166" s="442"/>
      <c r="C166" s="441"/>
      <c r="D166" s="417"/>
      <c r="E166" s="417"/>
      <c r="F166" s="417"/>
      <c r="G166" s="417"/>
      <c r="H166" s="417"/>
      <c r="I166" s="417"/>
      <c r="J166" s="417"/>
      <c r="K166" s="417"/>
      <c r="L166" s="439"/>
      <c r="M166" s="438"/>
      <c r="N166" s="417"/>
    </row>
    <row r="167" spans="2:14">
      <c r="B167" s="442"/>
      <c r="C167" s="441"/>
      <c r="D167" s="417"/>
      <c r="E167" s="417"/>
      <c r="F167" s="417"/>
      <c r="G167" s="417"/>
      <c r="H167" s="417"/>
      <c r="I167" s="417"/>
      <c r="J167" s="417"/>
      <c r="K167" s="417"/>
      <c r="L167" s="439"/>
      <c r="M167" s="438"/>
      <c r="N167" s="417"/>
    </row>
    <row r="168" spans="2:14">
      <c r="B168" s="442"/>
      <c r="C168" s="441"/>
      <c r="D168" s="417"/>
      <c r="E168" s="417"/>
      <c r="F168" s="417"/>
      <c r="G168" s="417"/>
      <c r="H168" s="417"/>
      <c r="I168" s="417"/>
      <c r="J168" s="417"/>
      <c r="K168" s="417"/>
      <c r="L168" s="439"/>
      <c r="M168" s="438"/>
      <c r="N168" s="417"/>
    </row>
    <row r="169" spans="2:14">
      <c r="B169" s="442"/>
      <c r="C169" s="441"/>
      <c r="D169" s="417"/>
      <c r="E169" s="417"/>
      <c r="F169" s="417"/>
      <c r="G169" s="417"/>
      <c r="H169" s="417"/>
      <c r="I169" s="417"/>
      <c r="J169" s="417"/>
      <c r="K169" s="417"/>
      <c r="L169" s="439"/>
      <c r="M169" s="438"/>
      <c r="N169" s="417"/>
    </row>
    <row r="170" spans="2:14">
      <c r="B170" s="417"/>
      <c r="C170" s="417"/>
      <c r="D170" s="417"/>
      <c r="E170" s="417"/>
      <c r="F170" s="417"/>
      <c r="G170" s="417"/>
      <c r="H170" s="417"/>
      <c r="I170" s="417"/>
      <c r="J170" s="417"/>
      <c r="K170" s="417"/>
      <c r="L170" s="417"/>
      <c r="M170" s="417"/>
    </row>
  </sheetData>
  <dataValidations count="5">
    <dataValidation type="list" allowBlank="1" showInputMessage="1" showErrorMessage="1" sqref="C59:L59" xr:uid="{C93854C3-33D2-4A9C-AAFE-C5247055202B}">
      <formula1>$N$19:$AQ$19</formula1>
    </dataValidation>
    <dataValidation type="list" allowBlank="1" showInputMessage="1" showErrorMessage="1" sqref="E11:E20" xr:uid="{577FF94C-6C72-497B-BC81-5C5AF36CAC8F}">
      <formula1>$N$16:$O$16</formula1>
    </dataValidation>
    <dataValidation type="list" allowBlank="1" showInputMessage="1" showErrorMessage="1" sqref="D11:D20" xr:uid="{17ED9364-FAB4-4205-9643-12291517140B}">
      <formula1>$N$22:$AE$22</formula1>
    </dataValidation>
    <dataValidation type="list" allowBlank="1" showInputMessage="1" showErrorMessage="1" sqref="B11:C20" xr:uid="{DAC908A5-B1CF-4CEF-BB81-FC26FD89E40F}">
      <formula1>$N$7:$Q$7</formula1>
    </dataValidation>
    <dataValidation type="list" allowBlank="1" showInputMessage="1" showErrorMessage="1" sqref="D7" xr:uid="{BA20D81A-1457-42E4-B237-C20562731C44}">
      <formula1>$N$11:$O$11</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105</vt:i4>
      </vt:variant>
    </vt:vector>
  </HeadingPairs>
  <TitlesOfParts>
    <vt:vector size="105" baseType="lpstr">
      <vt:lpstr>Electric Stove Coil Upgrade</vt:lpstr>
      <vt:lpstr>ES Clothes Dryer</vt:lpstr>
      <vt:lpstr>ES Dehumidifier</vt:lpstr>
      <vt:lpstr>ES Dishwasher</vt:lpstr>
      <vt:lpstr>Res Induction Cooking Appliance</vt:lpstr>
      <vt:lpstr>MF Clothes Washer</vt:lpstr>
      <vt:lpstr>ECM Circulators CW</vt:lpstr>
      <vt:lpstr>ECM Circulators DHW</vt:lpstr>
      <vt:lpstr>ES Ceiling Fan</vt:lpstr>
      <vt:lpstr>Level 2 EV Charger</vt:lpstr>
      <vt:lpstr>Tier 2 Power Strip</vt:lpstr>
      <vt:lpstr>Smart Sockets</vt:lpstr>
      <vt:lpstr>ENERGY STAR Pool Pump</vt:lpstr>
      <vt:lpstr>Pool Pump Timer</vt:lpstr>
      <vt:lpstr>Varaible Speed Pool Pump</vt:lpstr>
      <vt:lpstr>ES Refrigerator</vt:lpstr>
      <vt:lpstr>Refrigerator Freezer Recycling</vt:lpstr>
      <vt:lpstr>Water Heater Wrap</vt:lpstr>
      <vt:lpstr>WH Temp Setback</vt:lpstr>
      <vt:lpstr>Low Flow Faucet Aerator</vt:lpstr>
      <vt:lpstr>HPWH</vt:lpstr>
      <vt:lpstr>Low Flow Showerhead</vt:lpstr>
      <vt:lpstr>Pipe Insulation</vt:lpstr>
      <vt:lpstr>Solar Water Heater</vt:lpstr>
      <vt:lpstr>Solar Water Heater Tune Up</vt:lpstr>
      <vt:lpstr>Tankless Water Heater</vt:lpstr>
      <vt:lpstr>Thermo Restrict Valve</vt:lpstr>
      <vt:lpstr>Window AC</vt:lpstr>
      <vt:lpstr>Drainwater Heat Recovery</vt:lpstr>
      <vt:lpstr>CI Clothes Dryer</vt:lpstr>
      <vt:lpstr>CI High Speed Clothes Washer</vt:lpstr>
      <vt:lpstr>CI ES Dishwasher</vt:lpstr>
      <vt:lpstr>CI ES Dehumidifier</vt:lpstr>
      <vt:lpstr>CI Electric Oven and Range</vt:lpstr>
      <vt:lpstr>CI Combination Oven</vt:lpstr>
      <vt:lpstr>CI ES Convection Oven</vt:lpstr>
      <vt:lpstr>CI ES Fryer</vt:lpstr>
      <vt:lpstr>CI ES Griddle</vt:lpstr>
      <vt:lpstr>CI ES Hot Food Holding Cabinet</vt:lpstr>
      <vt:lpstr>CI Steamers</vt:lpstr>
      <vt:lpstr>CI ECM Circulators CW</vt:lpstr>
      <vt:lpstr>CI ECM Circulators DHW</vt:lpstr>
      <vt:lpstr>CI Compressed Air Improv</vt:lpstr>
      <vt:lpstr>CI ES Pool Pumps</vt:lpstr>
      <vt:lpstr>CI HP Pool Heater</vt:lpstr>
      <vt:lpstr>CI Imprvoed Vertical Lift Eff</vt:lpstr>
      <vt:lpstr>CI Pool Covers</vt:lpstr>
      <vt:lpstr>CI VSD CW Pump</vt:lpstr>
      <vt:lpstr>CI VSD Condenser</vt:lpstr>
      <vt:lpstr>CI VSD Custom</vt:lpstr>
      <vt:lpstr>CI BevSnack Machine Controls</vt:lpstr>
      <vt:lpstr>CI Computer Power Management</vt:lpstr>
      <vt:lpstr>CI Level 2 EV Charger</vt:lpstr>
      <vt:lpstr>CI Water Cooler</vt:lpstr>
      <vt:lpstr>CI Power Strip</vt:lpstr>
      <vt:lpstr>CI Tier 2 Power Strip</vt:lpstr>
      <vt:lpstr>CI Add Doors to Open Display </vt:lpstr>
      <vt:lpstr>CI Anti Sweat Control</vt:lpstr>
      <vt:lpstr>CI Case Night Covers</vt:lpstr>
      <vt:lpstr>CI ECM CompCondenser</vt:lpstr>
      <vt:lpstr>CI ECM Evap Fan</vt:lpstr>
      <vt:lpstr>CI Eff Ref Compressor</vt:lpstr>
      <vt:lpstr>CI Ice Maker</vt:lpstr>
      <vt:lpstr>CI ES Refr Bev Vending Machine</vt:lpstr>
      <vt:lpstr>CI ES Refrigerator</vt:lpstr>
      <vt:lpstr>CI ES Refrigerator Res Style</vt:lpstr>
      <vt:lpstr>CI Evap Fan Speed Controls</vt:lpstr>
      <vt:lpstr>CI Floating Head Pressure Ctrl</vt:lpstr>
      <vt:lpstr>CI High Eff Built Up</vt:lpstr>
      <vt:lpstr>CI High Eff Small Walk In</vt:lpstr>
      <vt:lpstr>CI Loading Dock Pit Seals</vt:lpstr>
      <vt:lpstr>CI Low Heat Doors</vt:lpstr>
      <vt:lpstr>CI Evap Fan Perm Magnet</vt:lpstr>
      <vt:lpstr>CI Refrigeration Tune-up</vt:lpstr>
      <vt:lpstr>CI Cooler Freezer Gasket</vt:lpstr>
      <vt:lpstr>CI Walkin Cooler</vt:lpstr>
      <vt:lpstr>CI ECM Blower Motor</vt:lpstr>
      <vt:lpstr>CI ECM Fan Motor</vt:lpstr>
      <vt:lpstr>CI Garage Exhaust</vt:lpstr>
      <vt:lpstr>CI Kitchen DCV</vt:lpstr>
      <vt:lpstr>CI VSD Cool Tower Fans</vt:lpstr>
      <vt:lpstr>CI VSD HVAC Fan</vt:lpstr>
      <vt:lpstr>CI Faucet Aerator</vt:lpstr>
      <vt:lpstr>CI HPWH</vt:lpstr>
      <vt:lpstr>CI Ozone Laundry</vt:lpstr>
      <vt:lpstr>CI Pre-Rinse Spray Valves</vt:lpstr>
      <vt:lpstr>CI Water Heater</vt:lpstr>
      <vt:lpstr>CI High Speed Overhead Doors</vt:lpstr>
      <vt:lpstr>CI High Speed Rollup Doors</vt:lpstr>
      <vt:lpstr>CI Door Heater Controls</vt:lpstr>
      <vt:lpstr>CI ECM Coolers Freezers</vt:lpstr>
      <vt:lpstr>CI Glass Door Ref and Freezers</vt:lpstr>
      <vt:lpstr>CI Q Sync Motors</vt:lpstr>
      <vt:lpstr>CI Automatic Door Closers</vt:lpstr>
      <vt:lpstr>CI Strip Curtains</vt:lpstr>
      <vt:lpstr>CI Refrigeration Economizers</vt:lpstr>
      <vt:lpstr>CI Low Flow Showerheads</vt:lpstr>
      <vt:lpstr>Misc CI Ltg</vt:lpstr>
      <vt:lpstr>Ext Photo Repair</vt:lpstr>
      <vt:lpstr>LED Streetlighting</vt:lpstr>
      <vt:lpstr>LED Exit Signs</vt:lpstr>
      <vt:lpstr>Ultra-Efficient LED Ltg</vt:lpstr>
      <vt:lpstr>Fluorescent Delamping</vt:lpstr>
      <vt:lpstr>CI Lighting Controls</vt:lpstr>
      <vt:lpstr>T5 Fixtures and Lamps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Samartha Mohan</dc:creator>
  <cp:lastModifiedBy>Andrew Johnson</cp:lastModifiedBy>
  <dcterms:created xsi:type="dcterms:W3CDTF">2024-04-26T02:42:25Z</dcterms:created>
  <dcterms:modified xsi:type="dcterms:W3CDTF">2024-07-19T19:31:46Z</dcterms:modified>
</cp:coreProperties>
</file>