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yan\Documents\BRYAN 2025\Formulación y Evaluación\"/>
    </mc:Choice>
  </mc:AlternateContent>
  <bookViews>
    <workbookView xWindow="0" yWindow="0" windowWidth="11796" windowHeight="9216" firstSheet="1" activeTab="5"/>
  </bookViews>
  <sheets>
    <sheet name="BORRADORES" sheetId="1" state="hidden" r:id="rId1"/>
    <sheet name="CAPACIDAD Y TAMAÑO" sheetId="2" r:id="rId2"/>
    <sheet name="PRODUCCIÓN" sheetId="3" r:id="rId3"/>
    <sheet name="COSTOS Y GASTOS" sheetId="5" r:id="rId4"/>
    <sheet name="Costos Fijos y Variables" sheetId="17" r:id="rId5"/>
    <sheet name="Mano de Obra" sheetId="18" r:id="rId6"/>
    <sheet name="DEPRECIACIÓN" sheetId="8" r:id="rId7"/>
    <sheet name="PRESUPUESTO DE INVERSIÓN" sheetId="6" r:id="rId8"/>
    <sheet name="INVERSIÓN" sheetId="9" r:id="rId9"/>
    <sheet name="FLUJO DE CAJA" sheetId="7" r:id="rId10"/>
    <sheet name="VAN - TIR" sheetId="10" r:id="rId11"/>
    <sheet name="PRI" sheetId="11" r:id="rId12"/>
    <sheet name="BENEFICIO - COSTO" sheetId="12" r:id="rId13"/>
    <sheet name="PUNTO DE EQUILIBRIO" sheetId="13" r:id="rId14"/>
    <sheet name="ESCENARIO ÓPTIMISTA" sheetId="14" r:id="rId15"/>
    <sheet name="ESCENARIO PESIMISTA" sheetId="15" r:id="rId16"/>
    <sheet name="ANALISIS ESCENARIOS" sheetId="16" r:id="rId17"/>
  </sheets>
  <externalReferences>
    <externalReference r:id="rId18"/>
  </externalReferences>
  <definedNames>
    <definedName name="_Toc137740061" localSheetId="0">BORRADORES!#REF!</definedName>
    <definedName name="_Toc137740064" localSheetId="0">BORRADORES!$H$2</definedName>
    <definedName name="_Toc137740102" localSheetId="0">BORRADORES!$B$184</definedName>
    <definedName name="_Toc137740103" localSheetId="0">BORRADORES!$B$192</definedName>
    <definedName name="_Toc139833060" localSheetId="0">BORRADORES!$B$175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18" l="1"/>
  <c r="F82" i="18"/>
  <c r="E82" i="18"/>
  <c r="D82" i="18"/>
  <c r="G81" i="18"/>
  <c r="F81" i="18"/>
  <c r="E81" i="18"/>
  <c r="D81" i="18"/>
  <c r="C81" i="18"/>
  <c r="G80" i="18"/>
  <c r="F80" i="18"/>
  <c r="E80" i="18"/>
  <c r="D80" i="18"/>
  <c r="C80" i="18"/>
  <c r="G79" i="18"/>
  <c r="F79" i="18"/>
  <c r="E79" i="18"/>
  <c r="D79" i="18"/>
  <c r="C79" i="18"/>
  <c r="G78" i="18"/>
  <c r="G83" i="18" s="1"/>
  <c r="G84" i="18" s="1"/>
  <c r="F78" i="18"/>
  <c r="E78" i="18"/>
  <c r="D78" i="18"/>
  <c r="C78" i="18"/>
  <c r="C83" i="18" s="1"/>
  <c r="C84" i="18" s="1"/>
  <c r="G77" i="18"/>
  <c r="F77" i="18"/>
  <c r="F83" i="18" s="1"/>
  <c r="F84" i="18" s="1"/>
  <c r="E77" i="18"/>
  <c r="E83" i="18" s="1"/>
  <c r="E84" i="18" s="1"/>
  <c r="D77" i="18"/>
  <c r="D83" i="18" s="1"/>
  <c r="D84" i="18" s="1"/>
  <c r="C77" i="18"/>
  <c r="G70" i="18"/>
  <c r="F70" i="18"/>
  <c r="E70" i="18"/>
  <c r="D70" i="18"/>
  <c r="G69" i="18"/>
  <c r="F69" i="18"/>
  <c r="E69" i="18"/>
  <c r="D69" i="18"/>
  <c r="C69" i="18"/>
  <c r="G68" i="18"/>
  <c r="F68" i="18"/>
  <c r="E68" i="18"/>
  <c r="D68" i="18"/>
  <c r="C68" i="18"/>
  <c r="G67" i="18"/>
  <c r="F67" i="18"/>
  <c r="E67" i="18"/>
  <c r="D67" i="18"/>
  <c r="C67" i="18"/>
  <c r="G66" i="18"/>
  <c r="F66" i="18"/>
  <c r="F71" i="18" s="1"/>
  <c r="F72" i="18" s="1"/>
  <c r="E66" i="18"/>
  <c r="D66" i="18"/>
  <c r="C66" i="18"/>
  <c r="G65" i="18"/>
  <c r="G71" i="18" s="1"/>
  <c r="G72" i="18" s="1"/>
  <c r="F65" i="18"/>
  <c r="E65" i="18"/>
  <c r="E71" i="18" s="1"/>
  <c r="E72" i="18" s="1"/>
  <c r="D65" i="18"/>
  <c r="D71" i="18" s="1"/>
  <c r="D72" i="18" s="1"/>
  <c r="C65" i="18"/>
  <c r="C71" i="18" s="1"/>
  <c r="C72" i="18" s="1"/>
  <c r="G58" i="18"/>
  <c r="F58" i="18"/>
  <c r="E58" i="18"/>
  <c r="D58" i="18"/>
  <c r="G57" i="18"/>
  <c r="F57" i="18"/>
  <c r="E57" i="18"/>
  <c r="D57" i="18"/>
  <c r="C57" i="18"/>
  <c r="G56" i="18"/>
  <c r="F56" i="18"/>
  <c r="E56" i="18"/>
  <c r="D56" i="18"/>
  <c r="C56" i="18"/>
  <c r="G55" i="18"/>
  <c r="F55" i="18"/>
  <c r="E55" i="18"/>
  <c r="D55" i="18"/>
  <c r="C55" i="18"/>
  <c r="G54" i="18"/>
  <c r="F54" i="18"/>
  <c r="E54" i="18"/>
  <c r="E59" i="18" s="1"/>
  <c r="E60" i="18" s="1"/>
  <c r="D54" i="18"/>
  <c r="C54" i="18"/>
  <c r="G53" i="18"/>
  <c r="G59" i="18" s="1"/>
  <c r="G60" i="18" s="1"/>
  <c r="F53" i="18"/>
  <c r="F59" i="18" s="1"/>
  <c r="F60" i="18" s="1"/>
  <c r="E53" i="18"/>
  <c r="D53" i="18"/>
  <c r="D59" i="18" s="1"/>
  <c r="D60" i="18" s="1"/>
  <c r="C53" i="18"/>
  <c r="C59" i="18" s="1"/>
  <c r="C60" i="18" s="1"/>
  <c r="G46" i="18"/>
  <c r="F46" i="18"/>
  <c r="E46" i="18"/>
  <c r="D46" i="18"/>
  <c r="G45" i="18"/>
  <c r="F45" i="18"/>
  <c r="E45" i="18"/>
  <c r="D45" i="18"/>
  <c r="C45" i="18"/>
  <c r="G44" i="18"/>
  <c r="F44" i="18"/>
  <c r="E44" i="18"/>
  <c r="D44" i="18"/>
  <c r="C44" i="18"/>
  <c r="G43" i="18"/>
  <c r="F43" i="18"/>
  <c r="E43" i="18"/>
  <c r="D43" i="18"/>
  <c r="C43" i="18"/>
  <c r="G42" i="18"/>
  <c r="F42" i="18"/>
  <c r="E42" i="18"/>
  <c r="D42" i="18"/>
  <c r="D47" i="18" s="1"/>
  <c r="D48" i="18" s="1"/>
  <c r="C42" i="18"/>
  <c r="G41" i="18"/>
  <c r="G47" i="18" s="1"/>
  <c r="G48" i="18" s="1"/>
  <c r="F41" i="18"/>
  <c r="F47" i="18" s="1"/>
  <c r="F48" i="18" s="1"/>
  <c r="E41" i="18"/>
  <c r="E47" i="18" s="1"/>
  <c r="E48" i="18" s="1"/>
  <c r="D41" i="18"/>
  <c r="C41" i="18"/>
  <c r="C47" i="18" s="1"/>
  <c r="C48" i="18" s="1"/>
  <c r="G34" i="18"/>
  <c r="F34" i="18"/>
  <c r="E34" i="18"/>
  <c r="D34" i="18"/>
  <c r="G33" i="18"/>
  <c r="F33" i="18"/>
  <c r="E33" i="18"/>
  <c r="D33" i="18"/>
  <c r="C33" i="18"/>
  <c r="G32" i="18"/>
  <c r="F32" i="18"/>
  <c r="E32" i="18"/>
  <c r="D32" i="18"/>
  <c r="C32" i="18"/>
  <c r="G31" i="18"/>
  <c r="F31" i="18"/>
  <c r="E31" i="18"/>
  <c r="D31" i="18"/>
  <c r="C31" i="18"/>
  <c r="G30" i="18"/>
  <c r="G35" i="18" s="1"/>
  <c r="G36" i="18" s="1"/>
  <c r="F30" i="18"/>
  <c r="E30" i="18"/>
  <c r="D30" i="18"/>
  <c r="C30" i="18"/>
  <c r="C35" i="18" s="1"/>
  <c r="C36" i="18" s="1"/>
  <c r="G29" i="18"/>
  <c r="F29" i="18"/>
  <c r="F35" i="18" s="1"/>
  <c r="F36" i="18" s="1"/>
  <c r="E29" i="18"/>
  <c r="E35" i="18" s="1"/>
  <c r="E36" i="18" s="1"/>
  <c r="D29" i="18"/>
  <c r="D35" i="18" s="1"/>
  <c r="D36" i="18" s="1"/>
  <c r="C29" i="18"/>
  <c r="G22" i="18"/>
  <c r="F22" i="18"/>
  <c r="E22" i="18"/>
  <c r="D22" i="18"/>
  <c r="G21" i="18"/>
  <c r="F21" i="18"/>
  <c r="E21" i="18"/>
  <c r="D21" i="18"/>
  <c r="C21" i="18"/>
  <c r="G20" i="18"/>
  <c r="F20" i="18"/>
  <c r="E20" i="18"/>
  <c r="D20" i="18"/>
  <c r="C20" i="18"/>
  <c r="G19" i="18"/>
  <c r="F19" i="18"/>
  <c r="E19" i="18"/>
  <c r="D19" i="18"/>
  <c r="C19" i="18"/>
  <c r="G18" i="18"/>
  <c r="F18" i="18"/>
  <c r="F23" i="18" s="1"/>
  <c r="F24" i="18" s="1"/>
  <c r="E18" i="18"/>
  <c r="D18" i="18"/>
  <c r="C18" i="18"/>
  <c r="G17" i="18"/>
  <c r="G23" i="18" s="1"/>
  <c r="G24" i="18" s="1"/>
  <c r="F17" i="18"/>
  <c r="E17" i="18"/>
  <c r="E23" i="18" s="1"/>
  <c r="E24" i="18" s="1"/>
  <c r="D17" i="18"/>
  <c r="D23" i="18" s="1"/>
  <c r="D24" i="18" s="1"/>
  <c r="C17" i="18"/>
  <c r="C23" i="18" s="1"/>
  <c r="C24" i="18" s="1"/>
  <c r="G10" i="18"/>
  <c r="F10" i="18"/>
  <c r="E10" i="18"/>
  <c r="D10" i="18"/>
  <c r="G9" i="18"/>
  <c r="F9" i="18"/>
  <c r="E9" i="18"/>
  <c r="D9" i="18"/>
  <c r="C9" i="18"/>
  <c r="G8" i="18"/>
  <c r="F8" i="18"/>
  <c r="E8" i="18"/>
  <c r="D8" i="18"/>
  <c r="C8" i="18"/>
  <c r="G7" i="18"/>
  <c r="F7" i="18"/>
  <c r="E7" i="18"/>
  <c r="D7" i="18"/>
  <c r="C7" i="18"/>
  <c r="G6" i="18"/>
  <c r="F6" i="18"/>
  <c r="E6" i="18"/>
  <c r="E11" i="18" s="1"/>
  <c r="E12" i="18" s="1"/>
  <c r="D6" i="18"/>
  <c r="C6" i="18"/>
  <c r="G5" i="18"/>
  <c r="G11" i="18" s="1"/>
  <c r="G12" i="18" s="1"/>
  <c r="F5" i="18"/>
  <c r="F11" i="18" s="1"/>
  <c r="F12" i="18" s="1"/>
  <c r="E5" i="18"/>
  <c r="D5" i="18"/>
  <c r="D11" i="18" s="1"/>
  <c r="D12" i="18" s="1"/>
  <c r="C5" i="18"/>
  <c r="C11" i="18" s="1"/>
  <c r="C12" i="18" s="1"/>
  <c r="B16" i="17"/>
  <c r="B15" i="17"/>
  <c r="C14" i="17" s="1"/>
  <c r="B11" i="17"/>
  <c r="B10" i="17"/>
  <c r="B9" i="17"/>
  <c r="C6" i="17" s="1"/>
  <c r="B8" i="17"/>
  <c r="B7" i="17"/>
  <c r="C57" i="15" l="1"/>
  <c r="C57" i="14"/>
  <c r="K27" i="12"/>
  <c r="I27" i="12"/>
  <c r="G27" i="12"/>
  <c r="E27" i="12"/>
  <c r="C27" i="12"/>
  <c r="K19" i="12"/>
  <c r="I19" i="12"/>
  <c r="G19" i="12"/>
  <c r="E19" i="12"/>
  <c r="C19" i="12"/>
  <c r="D6" i="11"/>
  <c r="V21" i="10"/>
  <c r="T21" i="10"/>
  <c r="R21" i="10"/>
  <c r="P21" i="10"/>
  <c r="N21" i="10"/>
  <c r="F14" i="7"/>
  <c r="G14" i="7"/>
  <c r="H14" i="7"/>
  <c r="E14" i="7"/>
  <c r="F12" i="7"/>
  <c r="G12" i="7" s="1"/>
  <c r="H12" i="7" s="1"/>
  <c r="F11" i="7"/>
  <c r="G11" i="7"/>
  <c r="H11" i="7"/>
  <c r="F10" i="7"/>
  <c r="G10" i="7"/>
  <c r="H10" i="7"/>
  <c r="E11" i="7"/>
  <c r="E12" i="7"/>
  <c r="E10" i="7"/>
  <c r="D9" i="7"/>
  <c r="H17" i="7"/>
  <c r="G17" i="7"/>
  <c r="F17" i="7"/>
  <c r="E17" i="7"/>
  <c r="D17" i="7"/>
  <c r="C23" i="7"/>
  <c r="C53" i="7"/>
  <c r="C50" i="7"/>
  <c r="C55" i="15"/>
  <c r="C55" i="14"/>
  <c r="N18" i="9" l="1"/>
  <c r="J19" i="9"/>
  <c r="N19" i="9" s="1"/>
  <c r="J20" i="9" s="1"/>
  <c r="J18" i="9"/>
  <c r="L18" i="9" s="1"/>
  <c r="M18" i="9" s="1"/>
  <c r="J17" i="9"/>
  <c r="L19" i="9"/>
  <c r="M19" i="9" s="1"/>
  <c r="L17" i="9"/>
  <c r="M17" i="9" s="1"/>
  <c r="E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17" i="9"/>
  <c r="K12" i="9"/>
  <c r="J14" i="9" s="1"/>
  <c r="H23" i="10"/>
  <c r="H24" i="10"/>
  <c r="C37" i="6"/>
  <c r="C51" i="7"/>
  <c r="C82" i="9"/>
  <c r="C14" i="9"/>
  <c r="D12" i="9"/>
  <c r="D7" i="9"/>
  <c r="C5" i="9"/>
  <c r="C6" i="9"/>
  <c r="F7" i="8"/>
  <c r="G7" i="8" s="1"/>
  <c r="H7" i="8" s="1"/>
  <c r="I7" i="8" s="1"/>
  <c r="F8" i="8"/>
  <c r="G8" i="8" s="1"/>
  <c r="H8" i="8" s="1"/>
  <c r="I8" i="8" s="1"/>
  <c r="F9" i="8"/>
  <c r="G9" i="8" s="1"/>
  <c r="H9" i="8" s="1"/>
  <c r="I9" i="8" s="1"/>
  <c r="F10" i="8"/>
  <c r="G10" i="8" s="1"/>
  <c r="H10" i="8" s="1"/>
  <c r="I10" i="8" s="1"/>
  <c r="F11" i="8"/>
  <c r="G11" i="8" s="1"/>
  <c r="H11" i="8" s="1"/>
  <c r="I11" i="8" s="1"/>
  <c r="F12" i="8"/>
  <c r="G12" i="8" s="1"/>
  <c r="H12" i="8" s="1"/>
  <c r="I12" i="8" s="1"/>
  <c r="F13" i="8"/>
  <c r="G13" i="8" s="1"/>
  <c r="H13" i="8" s="1"/>
  <c r="I13" i="8" s="1"/>
  <c r="F14" i="8"/>
  <c r="G14" i="8" s="1"/>
  <c r="H14" i="8" s="1"/>
  <c r="I14" i="8" s="1"/>
  <c r="F15" i="8"/>
  <c r="G15" i="8" s="1"/>
  <c r="H15" i="8" s="1"/>
  <c r="I15" i="8" s="1"/>
  <c r="F16" i="8"/>
  <c r="G16" i="8" s="1"/>
  <c r="H16" i="8" s="1"/>
  <c r="I16" i="8" s="1"/>
  <c r="F17" i="8"/>
  <c r="G17" i="8" s="1"/>
  <c r="H17" i="8" s="1"/>
  <c r="I17" i="8" s="1"/>
  <c r="F18" i="8"/>
  <c r="G18" i="8" s="1"/>
  <c r="H18" i="8" s="1"/>
  <c r="I18" i="8" s="1"/>
  <c r="F19" i="8"/>
  <c r="G19" i="8" s="1"/>
  <c r="H19" i="8" s="1"/>
  <c r="I19" i="8" s="1"/>
  <c r="F20" i="8"/>
  <c r="G20" i="8" s="1"/>
  <c r="H20" i="8" s="1"/>
  <c r="I20" i="8" s="1"/>
  <c r="F21" i="8"/>
  <c r="G21" i="8" s="1"/>
  <c r="H21" i="8" s="1"/>
  <c r="I21" i="8" s="1"/>
  <c r="G6" i="8"/>
  <c r="H6" i="8"/>
  <c r="I6" i="8"/>
  <c r="F6" i="8"/>
  <c r="G5" i="8"/>
  <c r="H5" i="8"/>
  <c r="I5" i="8"/>
  <c r="F5" i="8"/>
  <c r="E6" i="8"/>
  <c r="E5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C141" i="5"/>
  <c r="C41" i="5"/>
  <c r="D127" i="5"/>
  <c r="C127" i="5"/>
  <c r="E119" i="5"/>
  <c r="E98" i="5"/>
  <c r="E97" i="5"/>
  <c r="E96" i="5"/>
  <c r="E95" i="5"/>
  <c r="D33" i="5"/>
  <c r="E33" i="5" s="1"/>
  <c r="F96" i="5"/>
  <c r="F95" i="5"/>
  <c r="E84" i="5"/>
  <c r="F84" i="5" s="1"/>
  <c r="G84" i="5" s="1"/>
  <c r="D84" i="5"/>
  <c r="D86" i="5"/>
  <c r="E86" i="5" s="1"/>
  <c r="F86" i="5" s="1"/>
  <c r="G86" i="5" s="1"/>
  <c r="C87" i="5"/>
  <c r="D87" i="5" s="1"/>
  <c r="E87" i="5" s="1"/>
  <c r="F87" i="5" s="1"/>
  <c r="G87" i="5" s="1"/>
  <c r="C85" i="5"/>
  <c r="D85" i="5" s="1"/>
  <c r="E85" i="5" s="1"/>
  <c r="F85" i="5" s="1"/>
  <c r="G85" i="5" s="1"/>
  <c r="C83" i="5"/>
  <c r="E71" i="5"/>
  <c r="F71" i="5"/>
  <c r="G71" i="5"/>
  <c r="D74" i="5"/>
  <c r="E74" i="5" s="1"/>
  <c r="F74" i="5" s="1"/>
  <c r="G74" i="5" s="1"/>
  <c r="D75" i="5"/>
  <c r="E75" i="5" s="1"/>
  <c r="F75" i="5" s="1"/>
  <c r="G75" i="5" s="1"/>
  <c r="D76" i="5"/>
  <c r="E76" i="5" s="1"/>
  <c r="F76" i="5" s="1"/>
  <c r="G76" i="5" s="1"/>
  <c r="D77" i="5"/>
  <c r="E77" i="5" s="1"/>
  <c r="F77" i="5" s="1"/>
  <c r="G77" i="5" s="1"/>
  <c r="D78" i="5"/>
  <c r="E78" i="5" s="1"/>
  <c r="F78" i="5" s="1"/>
  <c r="G78" i="5" s="1"/>
  <c r="D79" i="5"/>
  <c r="E79" i="5" s="1"/>
  <c r="F79" i="5" s="1"/>
  <c r="G79" i="5" s="1"/>
  <c r="D80" i="5"/>
  <c r="E80" i="5" s="1"/>
  <c r="F80" i="5" s="1"/>
  <c r="G80" i="5" s="1"/>
  <c r="D81" i="5"/>
  <c r="E81" i="5" s="1"/>
  <c r="F81" i="5" s="1"/>
  <c r="G81" i="5" s="1"/>
  <c r="D82" i="5"/>
  <c r="E82" i="5" s="1"/>
  <c r="F82" i="5" s="1"/>
  <c r="G82" i="5" s="1"/>
  <c r="D83" i="5"/>
  <c r="E83" i="5" s="1"/>
  <c r="F83" i="5" s="1"/>
  <c r="G83" i="5" s="1"/>
  <c r="D73" i="5"/>
  <c r="E73" i="5" s="1"/>
  <c r="F73" i="5" s="1"/>
  <c r="G73" i="5" s="1"/>
  <c r="D71" i="5"/>
  <c r="E65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48" i="5"/>
  <c r="H48" i="5" s="1"/>
  <c r="S15" i="3"/>
  <c r="E15" i="3"/>
  <c r="F15" i="3"/>
  <c r="G15" i="3"/>
  <c r="O8" i="3"/>
  <c r="O7" i="3"/>
  <c r="C16" i="3"/>
  <c r="D16" i="3" s="1"/>
  <c r="E16" i="3" s="1"/>
  <c r="F16" i="3" s="1"/>
  <c r="G16" i="3" s="1"/>
  <c r="L20" i="9" l="1"/>
  <c r="M20" i="9" s="1"/>
  <c r="N20" i="9"/>
  <c r="J21" i="9" s="1"/>
  <c r="N17" i="9"/>
  <c r="C88" i="5"/>
  <c r="E88" i="5"/>
  <c r="D88" i="5"/>
  <c r="G88" i="5"/>
  <c r="D34" i="5"/>
  <c r="F88" i="5"/>
  <c r="G65" i="5"/>
  <c r="O9" i="3"/>
  <c r="G75" i="13"/>
  <c r="G74" i="13"/>
  <c r="G73" i="13"/>
  <c r="G72" i="13"/>
  <c r="G71" i="13"/>
  <c r="G70" i="13"/>
  <c r="G69" i="13"/>
  <c r="G68" i="13"/>
  <c r="G67" i="13"/>
  <c r="G66" i="13"/>
  <c r="G64" i="13"/>
  <c r="G63" i="13"/>
  <c r="G62" i="13"/>
  <c r="G61" i="13"/>
  <c r="G60" i="13"/>
  <c r="G59" i="13"/>
  <c r="G58" i="13"/>
  <c r="G57" i="13"/>
  <c r="G56" i="13"/>
  <c r="G55" i="13"/>
  <c r="G54" i="13"/>
  <c r="G51" i="13"/>
  <c r="G50" i="13"/>
  <c r="G49" i="13"/>
  <c r="G48" i="13"/>
  <c r="G47" i="13"/>
  <c r="G46" i="13"/>
  <c r="G45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6" i="13"/>
  <c r="G7" i="13"/>
  <c r="G8" i="13"/>
  <c r="G9" i="13"/>
  <c r="G10" i="13"/>
  <c r="G11" i="13"/>
  <c r="G12" i="13"/>
  <c r="G13" i="13"/>
  <c r="G14" i="13"/>
  <c r="G15" i="13"/>
  <c r="G17" i="13"/>
  <c r="G18" i="13"/>
  <c r="G19" i="13"/>
  <c r="G20" i="13"/>
  <c r="G21" i="13"/>
  <c r="G22" i="13"/>
  <c r="G23" i="13"/>
  <c r="G24" i="13"/>
  <c r="G25" i="13"/>
  <c r="G26" i="13"/>
  <c r="G5" i="13"/>
  <c r="L21" i="9" l="1"/>
  <c r="M21" i="9" s="1"/>
  <c r="N21" i="9"/>
  <c r="J22" i="9" s="1"/>
  <c r="F7" i="16"/>
  <c r="G84" i="16"/>
  <c r="G83" i="16"/>
  <c r="G81" i="16"/>
  <c r="E93" i="16"/>
  <c r="E37" i="16"/>
  <c r="G27" i="16"/>
  <c r="G26" i="16"/>
  <c r="G24" i="16"/>
  <c r="L22" i="9" l="1"/>
  <c r="M22" i="9" s="1"/>
  <c r="N22" i="9"/>
  <c r="J23" i="9" s="1"/>
  <c r="D75" i="15"/>
  <c r="E75" i="15"/>
  <c r="F75" i="15"/>
  <c r="G75" i="15"/>
  <c r="D74" i="15"/>
  <c r="E74" i="15"/>
  <c r="F74" i="15"/>
  <c r="G74" i="15"/>
  <c r="C75" i="15"/>
  <c r="C74" i="15"/>
  <c r="C60" i="15"/>
  <c r="D94" i="15"/>
  <c r="E94" i="15" s="1"/>
  <c r="F94" i="15" s="1"/>
  <c r="G94" i="15" s="1"/>
  <c r="H94" i="15" s="1"/>
  <c r="E93" i="15"/>
  <c r="F93" i="15" s="1"/>
  <c r="G93" i="15" s="1"/>
  <c r="H93" i="15" s="1"/>
  <c r="D93" i="15"/>
  <c r="G67" i="15"/>
  <c r="F67" i="15"/>
  <c r="E67" i="15"/>
  <c r="D67" i="15"/>
  <c r="C67" i="15"/>
  <c r="H66" i="15"/>
  <c r="H65" i="15"/>
  <c r="C48" i="15"/>
  <c r="C30" i="15"/>
  <c r="C29" i="15"/>
  <c r="H10" i="15"/>
  <c r="G10" i="15"/>
  <c r="F10" i="15"/>
  <c r="E10" i="15"/>
  <c r="D10" i="15"/>
  <c r="D94" i="16" s="1"/>
  <c r="C102" i="16" s="1"/>
  <c r="C105" i="16" s="1"/>
  <c r="D94" i="14"/>
  <c r="D93" i="14"/>
  <c r="D75" i="14"/>
  <c r="D76" i="14" s="1"/>
  <c r="E75" i="14"/>
  <c r="F75" i="14"/>
  <c r="G75" i="14"/>
  <c r="C75" i="14"/>
  <c r="H75" i="14" s="1"/>
  <c r="D74" i="14"/>
  <c r="E74" i="14"/>
  <c r="F74" i="14"/>
  <c r="G74" i="14"/>
  <c r="G76" i="14" s="1"/>
  <c r="C74" i="14"/>
  <c r="G67" i="14"/>
  <c r="F67" i="14"/>
  <c r="E67" i="14"/>
  <c r="D67" i="14"/>
  <c r="C67" i="14"/>
  <c r="H66" i="14"/>
  <c r="H65" i="14"/>
  <c r="H67" i="14" s="1"/>
  <c r="C60" i="14"/>
  <c r="F76" i="14"/>
  <c r="E76" i="14"/>
  <c r="C48" i="14"/>
  <c r="C30" i="14"/>
  <c r="C29" i="14" s="1"/>
  <c r="H10" i="14"/>
  <c r="D42" i="16" s="1"/>
  <c r="K46" i="16" s="1"/>
  <c r="K49" i="16" s="1"/>
  <c r="G10" i="14"/>
  <c r="D41" i="16" s="1"/>
  <c r="I46" i="16" s="1"/>
  <c r="I49" i="16" s="1"/>
  <c r="F10" i="14"/>
  <c r="D40" i="16" s="1"/>
  <c r="G46" i="16" s="1"/>
  <c r="G49" i="16" s="1"/>
  <c r="E10" i="14"/>
  <c r="D39" i="16" s="1"/>
  <c r="E46" i="16" s="1"/>
  <c r="E49" i="16" s="1"/>
  <c r="D10" i="14"/>
  <c r="D38" i="16" s="1"/>
  <c r="C46" i="16" s="1"/>
  <c r="C49" i="16" s="1"/>
  <c r="C63" i="13"/>
  <c r="C64" i="13"/>
  <c r="C65" i="13"/>
  <c r="C66" i="13"/>
  <c r="C62" i="13"/>
  <c r="C58" i="13"/>
  <c r="C59" i="13"/>
  <c r="C60" i="13"/>
  <c r="C57" i="13"/>
  <c r="C37" i="13"/>
  <c r="C32" i="13"/>
  <c r="C12" i="13"/>
  <c r="C7" i="13"/>
  <c r="G18" i="11"/>
  <c r="G16" i="11"/>
  <c r="L23" i="9" l="1"/>
  <c r="M23" i="9" s="1"/>
  <c r="N23" i="9" s="1"/>
  <c r="J24" i="9" s="1"/>
  <c r="C56" i="13"/>
  <c r="C61" i="13"/>
  <c r="C67" i="13" s="1"/>
  <c r="C43" i="13"/>
  <c r="D95" i="16"/>
  <c r="E102" i="16" s="1"/>
  <c r="E105" i="16" s="1"/>
  <c r="C107" i="16" s="1"/>
  <c r="C118" i="16" s="1"/>
  <c r="D96" i="16"/>
  <c r="G102" i="16" s="1"/>
  <c r="G105" i="16" s="1"/>
  <c r="D97" i="16"/>
  <c r="I102" i="16" s="1"/>
  <c r="I105" i="16" s="1"/>
  <c r="C51" i="16"/>
  <c r="C62" i="16" s="1"/>
  <c r="D98" i="16"/>
  <c r="K102" i="16" s="1"/>
  <c r="K105" i="16" s="1"/>
  <c r="H67" i="15"/>
  <c r="I10" i="15"/>
  <c r="C82" i="15"/>
  <c r="E82" i="15" s="1"/>
  <c r="C81" i="15"/>
  <c r="D81" i="15" s="1"/>
  <c r="C76" i="15"/>
  <c r="H74" i="15"/>
  <c r="D76" i="15"/>
  <c r="E76" i="15"/>
  <c r="F76" i="15"/>
  <c r="G76" i="15"/>
  <c r="D82" i="15"/>
  <c r="H75" i="15"/>
  <c r="G82" i="15"/>
  <c r="H82" i="15"/>
  <c r="E93" i="14"/>
  <c r="E94" i="14"/>
  <c r="C82" i="14"/>
  <c r="C81" i="14"/>
  <c r="D81" i="14" s="1"/>
  <c r="C76" i="14"/>
  <c r="H74" i="14"/>
  <c r="H76" i="14" s="1"/>
  <c r="I10" i="14"/>
  <c r="C18" i="13"/>
  <c r="L24" i="9" l="1"/>
  <c r="M24" i="9" s="1"/>
  <c r="N24" i="9" s="1"/>
  <c r="J25" i="9" s="1"/>
  <c r="G81" i="15"/>
  <c r="E81" i="15"/>
  <c r="F82" i="15"/>
  <c r="I82" i="15" s="1"/>
  <c r="H81" i="15"/>
  <c r="F81" i="15"/>
  <c r="H83" i="15"/>
  <c r="G83" i="15"/>
  <c r="E83" i="15"/>
  <c r="H76" i="15"/>
  <c r="D83" i="15"/>
  <c r="I81" i="15"/>
  <c r="F94" i="14"/>
  <c r="F93" i="14"/>
  <c r="E81" i="14"/>
  <c r="F81" i="14"/>
  <c r="G81" i="14"/>
  <c r="H81" i="14"/>
  <c r="E82" i="14"/>
  <c r="F82" i="14"/>
  <c r="G82" i="14"/>
  <c r="H82" i="14"/>
  <c r="D82" i="14"/>
  <c r="E29" i="10"/>
  <c r="E28" i="10"/>
  <c r="H25" i="10"/>
  <c r="C27" i="6"/>
  <c r="C26" i="6"/>
  <c r="C25" i="6"/>
  <c r="C24" i="6"/>
  <c r="C23" i="6"/>
  <c r="C21" i="6"/>
  <c r="C22" i="6"/>
  <c r="C20" i="6"/>
  <c r="C19" i="6"/>
  <c r="C18" i="6"/>
  <c r="C17" i="6"/>
  <c r="C16" i="6"/>
  <c r="E22" i="8"/>
  <c r="F22" i="8"/>
  <c r="G22" i="8"/>
  <c r="H22" i="8"/>
  <c r="I22" i="8"/>
  <c r="J22" i="8"/>
  <c r="F97" i="5"/>
  <c r="L6" i="10"/>
  <c r="L25" i="9" l="1"/>
  <c r="M25" i="9" s="1"/>
  <c r="N25" i="9"/>
  <c r="J26" i="9" s="1"/>
  <c r="C11" i="11"/>
  <c r="D11" i="11" s="1"/>
  <c r="C6" i="11"/>
  <c r="L7" i="10"/>
  <c r="L8" i="10" s="1"/>
  <c r="L18" i="10" s="1"/>
  <c r="L21" i="10" s="1"/>
  <c r="L23" i="10" s="1"/>
  <c r="I83" i="15"/>
  <c r="I82" i="14"/>
  <c r="F83" i="15"/>
  <c r="G93" i="14"/>
  <c r="G94" i="14"/>
  <c r="D83" i="14"/>
  <c r="I81" i="14"/>
  <c r="I83" i="14" s="1"/>
  <c r="H83" i="14"/>
  <c r="G83" i="14"/>
  <c r="F83" i="14"/>
  <c r="E83" i="14"/>
  <c r="E27" i="10"/>
  <c r="E15" i="10"/>
  <c r="C21" i="10" s="1"/>
  <c r="C9" i="10"/>
  <c r="L26" i="9" l="1"/>
  <c r="M26" i="9" s="1"/>
  <c r="N26" i="9"/>
  <c r="J27" i="9" s="1"/>
  <c r="H94" i="14"/>
  <c r="H93" i="14"/>
  <c r="E30" i="10"/>
  <c r="L27" i="9" l="1"/>
  <c r="M27" i="9" s="1"/>
  <c r="N27" i="9" s="1"/>
  <c r="J28" i="9" s="1"/>
  <c r="D4" i="10"/>
  <c r="L28" i="9" l="1"/>
  <c r="M28" i="9" s="1"/>
  <c r="N28" i="9" s="1"/>
  <c r="J29" i="9" s="1"/>
  <c r="C44" i="7"/>
  <c r="C15" i="6"/>
  <c r="C26" i="7"/>
  <c r="C25" i="7" s="1"/>
  <c r="L29" i="9" l="1"/>
  <c r="M29" i="9" s="1"/>
  <c r="N29" i="9"/>
  <c r="J30" i="9" s="1"/>
  <c r="C54" i="15"/>
  <c r="C72" i="16" s="1"/>
  <c r="C76" i="16" s="1"/>
  <c r="D76" i="16" s="1"/>
  <c r="C54" i="14"/>
  <c r="C15" i="16" s="1"/>
  <c r="C19" i="16" s="1"/>
  <c r="D19" i="16" s="1"/>
  <c r="L30" i="9" l="1"/>
  <c r="M30" i="9" s="1"/>
  <c r="N30" i="9" s="1"/>
  <c r="J31" i="9" s="1"/>
  <c r="E16" i="7"/>
  <c r="E24" i="7" s="1"/>
  <c r="F16" i="7"/>
  <c r="F24" i="7" s="1"/>
  <c r="G16" i="7"/>
  <c r="G24" i="7" s="1"/>
  <c r="H16" i="7"/>
  <c r="H24" i="7" s="1"/>
  <c r="D16" i="7"/>
  <c r="C22" i="8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C36" i="6"/>
  <c r="I36" i="6" s="1"/>
  <c r="C34" i="6"/>
  <c r="I34" i="6" s="1"/>
  <c r="C14" i="6"/>
  <c r="C12" i="6"/>
  <c r="C11" i="6" s="1"/>
  <c r="I11" i="6" s="1"/>
  <c r="C10" i="6"/>
  <c r="C9" i="6"/>
  <c r="C8" i="6"/>
  <c r="F154" i="5"/>
  <c r="E49" i="7" s="1"/>
  <c r="G154" i="5"/>
  <c r="F49" i="7" s="1"/>
  <c r="H154" i="5"/>
  <c r="G49" i="7" s="1"/>
  <c r="I154" i="5"/>
  <c r="H49" i="7" s="1"/>
  <c r="E154" i="5"/>
  <c r="D49" i="7" s="1"/>
  <c r="C154" i="5"/>
  <c r="F118" i="5"/>
  <c r="F117" i="5"/>
  <c r="F116" i="5"/>
  <c r="F115" i="5"/>
  <c r="F114" i="5"/>
  <c r="D109" i="5"/>
  <c r="E108" i="5"/>
  <c r="E107" i="5"/>
  <c r="E106" i="5"/>
  <c r="E105" i="5"/>
  <c r="E104" i="5"/>
  <c r="F98" i="5"/>
  <c r="F14" i="5"/>
  <c r="F13" i="5"/>
  <c r="J52" i="1"/>
  <c r="E34" i="5"/>
  <c r="C42" i="5" s="1"/>
  <c r="F23" i="5"/>
  <c r="F24" i="5"/>
  <c r="F25" i="5"/>
  <c r="F26" i="5"/>
  <c r="F22" i="5"/>
  <c r="F21" i="5"/>
  <c r="F12" i="5"/>
  <c r="F11" i="5"/>
  <c r="F10" i="5"/>
  <c r="F9" i="5"/>
  <c r="F8" i="5"/>
  <c r="F7" i="5"/>
  <c r="F6" i="5"/>
  <c r="T16" i="3"/>
  <c r="E8" i="7" s="1"/>
  <c r="U16" i="3"/>
  <c r="F8" i="7" s="1"/>
  <c r="V16" i="3"/>
  <c r="G8" i="7" s="1"/>
  <c r="W16" i="3"/>
  <c r="H8" i="7" s="1"/>
  <c r="C47" i="13"/>
  <c r="C46" i="13" s="1"/>
  <c r="C15" i="3"/>
  <c r="AA9" i="3"/>
  <c r="S9" i="3"/>
  <c r="T8" i="3"/>
  <c r="U8" i="3"/>
  <c r="V8" i="3"/>
  <c r="W8" i="3"/>
  <c r="W9" i="3" s="1"/>
  <c r="X8" i="3"/>
  <c r="Y8" i="3"/>
  <c r="Z8" i="3"/>
  <c r="AA8" i="3"/>
  <c r="AB8" i="3"/>
  <c r="AC8" i="3"/>
  <c r="AD8" i="3"/>
  <c r="S8" i="3"/>
  <c r="T7" i="3"/>
  <c r="T9" i="3" s="1"/>
  <c r="U7" i="3"/>
  <c r="U9" i="3" s="1"/>
  <c r="V7" i="3"/>
  <c r="V9" i="3" s="1"/>
  <c r="W7" i="3"/>
  <c r="X7" i="3"/>
  <c r="X9" i="3" s="1"/>
  <c r="Y7" i="3"/>
  <c r="Y9" i="3" s="1"/>
  <c r="Z7" i="3"/>
  <c r="Z9" i="3" s="1"/>
  <c r="AA7" i="3"/>
  <c r="AB7" i="3"/>
  <c r="AB9" i="3" s="1"/>
  <c r="AC7" i="3"/>
  <c r="AC9" i="3" s="1"/>
  <c r="AD7" i="3"/>
  <c r="AD9" i="3" s="1"/>
  <c r="S7" i="3"/>
  <c r="N9" i="3"/>
  <c r="M9" i="3"/>
  <c r="L9" i="3"/>
  <c r="K9" i="3"/>
  <c r="J9" i="3"/>
  <c r="I9" i="3"/>
  <c r="H9" i="3"/>
  <c r="G9" i="3"/>
  <c r="F9" i="3"/>
  <c r="E9" i="3"/>
  <c r="D9" i="3"/>
  <c r="C9" i="3"/>
  <c r="C20" i="2"/>
  <c r="D20" i="2"/>
  <c r="D10" i="2"/>
  <c r="C10" i="2"/>
  <c r="E9" i="2"/>
  <c r="E8" i="2"/>
  <c r="E7" i="2"/>
  <c r="E6" i="2"/>
  <c r="E5" i="2"/>
  <c r="F5" i="2" s="1"/>
  <c r="E19" i="2"/>
  <c r="G19" i="2" s="1"/>
  <c r="E18" i="2"/>
  <c r="G18" i="2" s="1"/>
  <c r="E17" i="2"/>
  <c r="G17" i="2" s="1"/>
  <c r="E16" i="2"/>
  <c r="G16" i="2" s="1"/>
  <c r="E15" i="2"/>
  <c r="G15" i="2" s="1"/>
  <c r="G20" i="2" s="1"/>
  <c r="L31" i="9" l="1"/>
  <c r="M31" i="9" s="1"/>
  <c r="N31" i="9" s="1"/>
  <c r="J32" i="9" s="1"/>
  <c r="F119" i="5"/>
  <c r="C142" i="5" s="1"/>
  <c r="F27" i="5"/>
  <c r="E109" i="5"/>
  <c r="E21" i="15"/>
  <c r="D21" i="15"/>
  <c r="AE7" i="3"/>
  <c r="AE8" i="3"/>
  <c r="AE9" i="3" s="1"/>
  <c r="C22" i="13"/>
  <c r="C71" i="13" s="1"/>
  <c r="C70" i="13" s="1"/>
  <c r="D15" i="3"/>
  <c r="C49" i="13"/>
  <c r="F34" i="13"/>
  <c r="F38" i="13"/>
  <c r="F42" i="13"/>
  <c r="F47" i="13"/>
  <c r="F51" i="13"/>
  <c r="F32" i="13"/>
  <c r="F40" i="13"/>
  <c r="F49" i="13"/>
  <c r="F37" i="13"/>
  <c r="F46" i="13"/>
  <c r="F31" i="13"/>
  <c r="F35" i="13"/>
  <c r="F39" i="13"/>
  <c r="F43" i="13"/>
  <c r="F48" i="13"/>
  <c r="F30" i="13"/>
  <c r="F36" i="13"/>
  <c r="F45" i="13"/>
  <c r="F33" i="13"/>
  <c r="F41" i="13"/>
  <c r="F50" i="13"/>
  <c r="H28" i="15"/>
  <c r="H20" i="15" s="1"/>
  <c r="H28" i="14"/>
  <c r="H20" i="14" s="1"/>
  <c r="E20" i="2"/>
  <c r="G28" i="15"/>
  <c r="G20" i="15" s="1"/>
  <c r="G28" i="14"/>
  <c r="G20" i="14" s="1"/>
  <c r="H21" i="15"/>
  <c r="H21" i="14"/>
  <c r="E10" i="2"/>
  <c r="H16" i="3"/>
  <c r="X16" i="3" s="1"/>
  <c r="D53" i="15"/>
  <c r="D53" i="14"/>
  <c r="E53" i="15"/>
  <c r="E53" i="14"/>
  <c r="F28" i="15"/>
  <c r="F20" i="15" s="1"/>
  <c r="F28" i="14"/>
  <c r="F20" i="14" s="1"/>
  <c r="G53" i="15"/>
  <c r="G53" i="14"/>
  <c r="C17" i="3"/>
  <c r="F15" i="5"/>
  <c r="F53" i="15"/>
  <c r="F53" i="14"/>
  <c r="S16" i="3"/>
  <c r="H53" i="15"/>
  <c r="H53" i="14"/>
  <c r="C7" i="6"/>
  <c r="I7" i="6" s="1"/>
  <c r="D24" i="7"/>
  <c r="D20" i="15"/>
  <c r="D28" i="15" s="1"/>
  <c r="D20" i="14"/>
  <c r="D28" i="14" s="1"/>
  <c r="E28" i="15"/>
  <c r="E20" i="15" s="1"/>
  <c r="E28" i="14"/>
  <c r="E20" i="14" s="1"/>
  <c r="D15" i="7"/>
  <c r="C144" i="5"/>
  <c r="C143" i="5" s="1"/>
  <c r="D12" i="7"/>
  <c r="C137" i="5"/>
  <c r="D11" i="7"/>
  <c r="F14" i="6"/>
  <c r="C13" i="6"/>
  <c r="H65" i="5"/>
  <c r="F7" i="2"/>
  <c r="F8" i="2"/>
  <c r="F9" i="2"/>
  <c r="F6" i="2"/>
  <c r="F10" i="2" s="1"/>
  <c r="L32" i="9" l="1"/>
  <c r="M32" i="9" s="1"/>
  <c r="N32" i="9" s="1"/>
  <c r="J33" i="9" s="1"/>
  <c r="C125" i="5"/>
  <c r="C140" i="5"/>
  <c r="C139" i="5" s="1"/>
  <c r="D138" i="5" s="1"/>
  <c r="C136" i="5"/>
  <c r="D21" i="14"/>
  <c r="E21" i="14"/>
  <c r="C21" i="13"/>
  <c r="F11" i="13" s="1"/>
  <c r="C24" i="13"/>
  <c r="F7" i="13"/>
  <c r="F15" i="13"/>
  <c r="F20" i="13"/>
  <c r="F24" i="13"/>
  <c r="F17" i="13"/>
  <c r="F21" i="13"/>
  <c r="F25" i="13"/>
  <c r="F13" i="13"/>
  <c r="F18" i="13"/>
  <c r="F26" i="13"/>
  <c r="F14" i="13"/>
  <c r="F23" i="13"/>
  <c r="F5" i="13"/>
  <c r="F22" i="13"/>
  <c r="F10" i="13"/>
  <c r="F19" i="13"/>
  <c r="D17" i="3"/>
  <c r="T15" i="3"/>
  <c r="C73" i="13"/>
  <c r="F58" i="13"/>
  <c r="F62" i="13"/>
  <c r="F66" i="13"/>
  <c r="F70" i="13"/>
  <c r="F74" i="13"/>
  <c r="F60" i="13"/>
  <c r="F64" i="13"/>
  <c r="F72" i="13"/>
  <c r="F57" i="13"/>
  <c r="F73" i="13"/>
  <c r="F55" i="13"/>
  <c r="F59" i="13"/>
  <c r="F63" i="13"/>
  <c r="F67" i="13"/>
  <c r="F71" i="13"/>
  <c r="F75" i="13"/>
  <c r="F56" i="13"/>
  <c r="F68" i="13"/>
  <c r="F54" i="13"/>
  <c r="F61" i="13"/>
  <c r="F69" i="13"/>
  <c r="C51" i="13"/>
  <c r="E44" i="13"/>
  <c r="C135" i="5"/>
  <c r="D134" i="5" s="1"/>
  <c r="C40" i="5"/>
  <c r="C19" i="13"/>
  <c r="D7" i="7"/>
  <c r="D6" i="7" s="1"/>
  <c r="S17" i="3"/>
  <c r="C44" i="13"/>
  <c r="D8" i="7"/>
  <c r="G21" i="14"/>
  <c r="G21" i="15"/>
  <c r="D16" i="14"/>
  <c r="D16" i="15"/>
  <c r="F21" i="14"/>
  <c r="F21" i="15"/>
  <c r="E15" i="7"/>
  <c r="F15" i="7" s="1"/>
  <c r="G15" i="7" s="1"/>
  <c r="H15" i="7" s="1"/>
  <c r="D19" i="15"/>
  <c r="E19" i="15" s="1"/>
  <c r="F19" i="15" s="1"/>
  <c r="G19" i="15" s="1"/>
  <c r="H19" i="15" s="1"/>
  <c r="D19" i="14"/>
  <c r="E19" i="14" s="1"/>
  <c r="F19" i="14" s="1"/>
  <c r="G19" i="14" s="1"/>
  <c r="H19" i="14" s="1"/>
  <c r="C28" i="6"/>
  <c r="F13" i="6"/>
  <c r="L33" i="9" l="1"/>
  <c r="M33" i="9" s="1"/>
  <c r="N33" i="9"/>
  <c r="J34" i="9" s="1"/>
  <c r="D125" i="5"/>
  <c r="D145" i="5"/>
  <c r="D14" i="7"/>
  <c r="D18" i="15" s="1"/>
  <c r="F8" i="13"/>
  <c r="F6" i="13"/>
  <c r="F9" i="13"/>
  <c r="F12" i="13"/>
  <c r="E17" i="3"/>
  <c r="U15" i="3"/>
  <c r="E7" i="7"/>
  <c r="E6" i="7" s="1"/>
  <c r="D9" i="12" s="1"/>
  <c r="E16" i="12" s="1"/>
  <c r="T17" i="3"/>
  <c r="C26" i="13"/>
  <c r="E16" i="13"/>
  <c r="C75" i="13"/>
  <c r="E65" i="13"/>
  <c r="F44" i="13"/>
  <c r="G44" i="13"/>
  <c r="C68" i="13"/>
  <c r="E16" i="15"/>
  <c r="D13" i="15"/>
  <c r="C43" i="5"/>
  <c r="C126" i="5" s="1"/>
  <c r="D126" i="5" s="1"/>
  <c r="D10" i="7"/>
  <c r="D8" i="12"/>
  <c r="C16" i="12" s="1"/>
  <c r="E16" i="14"/>
  <c r="D13" i="14"/>
  <c r="F28" i="6"/>
  <c r="I13" i="6"/>
  <c r="D128" i="5" l="1"/>
  <c r="C128" i="5"/>
  <c r="L34" i="9"/>
  <c r="M34" i="9" s="1"/>
  <c r="N34" i="9"/>
  <c r="J35" i="9" s="1"/>
  <c r="E13" i="7"/>
  <c r="D13" i="7"/>
  <c r="D18" i="14"/>
  <c r="D17" i="14" s="1"/>
  <c r="U17" i="3"/>
  <c r="F7" i="7"/>
  <c r="F6" i="7" s="1"/>
  <c r="F17" i="3"/>
  <c r="V15" i="3"/>
  <c r="F16" i="13"/>
  <c r="G16" i="13"/>
  <c r="H15" i="3"/>
  <c r="H17" i="3" s="1"/>
  <c r="G65" i="13"/>
  <c r="F65" i="13"/>
  <c r="F16" i="15"/>
  <c r="E13" i="15"/>
  <c r="E8" i="12"/>
  <c r="C24" i="12" s="1"/>
  <c r="F16" i="14"/>
  <c r="E13" i="14"/>
  <c r="E18" i="15"/>
  <c r="D17" i="15"/>
  <c r="E38" i="16"/>
  <c r="C54" i="16" s="1"/>
  <c r="C57" i="16" s="1"/>
  <c r="E18" i="14"/>
  <c r="E94" i="16"/>
  <c r="C110" i="16" s="1"/>
  <c r="C113" i="16" s="1"/>
  <c r="F37" i="6"/>
  <c r="I37" i="6" s="1"/>
  <c r="I28" i="6"/>
  <c r="L35" i="9" l="1"/>
  <c r="M35" i="9" s="1"/>
  <c r="N35" i="9" s="1"/>
  <c r="J36" i="9" s="1"/>
  <c r="G7" i="7"/>
  <c r="G6" i="7" s="1"/>
  <c r="D11" i="12" s="1"/>
  <c r="I16" i="12" s="1"/>
  <c r="V17" i="3"/>
  <c r="D10" i="12"/>
  <c r="G16" i="12" s="1"/>
  <c r="W15" i="3"/>
  <c r="G17" i="3"/>
  <c r="F18" i="14"/>
  <c r="E17" i="14"/>
  <c r="F18" i="15"/>
  <c r="E17" i="15"/>
  <c r="E39" i="16"/>
  <c r="E54" i="16" s="1"/>
  <c r="E57" i="16" s="1"/>
  <c r="E95" i="16"/>
  <c r="E110" i="16" s="1"/>
  <c r="E113" i="16" s="1"/>
  <c r="G16" i="14"/>
  <c r="F13" i="14"/>
  <c r="G16" i="15"/>
  <c r="F13" i="15"/>
  <c r="E9" i="7"/>
  <c r="E9" i="12" s="1"/>
  <c r="E24" i="12" s="1"/>
  <c r="F13" i="7"/>
  <c r="L36" i="9" l="1"/>
  <c r="M36" i="9" s="1"/>
  <c r="N36" i="9"/>
  <c r="J37" i="9" s="1"/>
  <c r="H7" i="7"/>
  <c r="H6" i="7" s="1"/>
  <c r="W17" i="3"/>
  <c r="X15" i="3"/>
  <c r="X17" i="3" s="1"/>
  <c r="G18" i="14"/>
  <c r="F17" i="14"/>
  <c r="H16" i="15"/>
  <c r="H13" i="15" s="1"/>
  <c r="G13" i="15"/>
  <c r="H16" i="14"/>
  <c r="H13" i="14" s="1"/>
  <c r="G13" i="14"/>
  <c r="E96" i="16"/>
  <c r="G110" i="16" s="1"/>
  <c r="G113" i="16" s="1"/>
  <c r="F9" i="7"/>
  <c r="E40" i="16"/>
  <c r="G54" i="16" s="1"/>
  <c r="G57" i="16" s="1"/>
  <c r="G18" i="15"/>
  <c r="F17" i="15"/>
  <c r="G13" i="7"/>
  <c r="H13" i="7"/>
  <c r="L37" i="9" l="1"/>
  <c r="M37" i="9" s="1"/>
  <c r="N37" i="9"/>
  <c r="J38" i="9" s="1"/>
  <c r="I13" i="14"/>
  <c r="I13" i="7"/>
  <c r="D12" i="12"/>
  <c r="K16" i="12" s="1"/>
  <c r="C21" i="12" s="1"/>
  <c r="C32" i="12" s="1"/>
  <c r="I6" i="7"/>
  <c r="E97" i="16"/>
  <c r="I110" i="16" s="1"/>
  <c r="I113" i="16" s="1"/>
  <c r="I13" i="15"/>
  <c r="E98" i="16"/>
  <c r="K110" i="16" s="1"/>
  <c r="K113" i="16" s="1"/>
  <c r="G9" i="7"/>
  <c r="E11" i="12" s="1"/>
  <c r="I24" i="12" s="1"/>
  <c r="H9" i="7"/>
  <c r="E12" i="12" s="1"/>
  <c r="K24" i="12" s="1"/>
  <c r="E41" i="16"/>
  <c r="I54" i="16" s="1"/>
  <c r="I57" i="16" s="1"/>
  <c r="H18" i="15"/>
  <c r="H17" i="15" s="1"/>
  <c r="G17" i="15"/>
  <c r="E10" i="12"/>
  <c r="G24" i="12" s="1"/>
  <c r="E42" i="16"/>
  <c r="K54" i="16" s="1"/>
  <c r="K57" i="16" s="1"/>
  <c r="H18" i="14"/>
  <c r="H17" i="14" s="1"/>
  <c r="G17" i="14"/>
  <c r="L38" i="9" l="1"/>
  <c r="M38" i="9" s="1"/>
  <c r="N38" i="9"/>
  <c r="J39" i="9" s="1"/>
  <c r="I9" i="7"/>
  <c r="C29" i="12"/>
  <c r="C33" i="12" s="1"/>
  <c r="C59" i="16"/>
  <c r="C63" i="16" s="1"/>
  <c r="C64" i="16" s="1"/>
  <c r="C65" i="16" s="1"/>
  <c r="C7" i="16" s="1"/>
  <c r="C115" i="16"/>
  <c r="C119" i="16" s="1"/>
  <c r="C120" i="16" s="1"/>
  <c r="C121" i="16" s="1"/>
  <c r="D7" i="16" s="1"/>
  <c r="I17" i="15"/>
  <c r="I17" i="14"/>
  <c r="L39" i="9" l="1"/>
  <c r="M39" i="9" s="1"/>
  <c r="N39" i="9" s="1"/>
  <c r="J40" i="9" s="1"/>
  <c r="L40" i="9" l="1"/>
  <c r="M40" i="9" s="1"/>
  <c r="N40" i="9" s="1"/>
  <c r="J41" i="9" s="1"/>
  <c r="L41" i="9" l="1"/>
  <c r="M41" i="9" s="1"/>
  <c r="N41" i="9"/>
  <c r="J42" i="9" s="1"/>
  <c r="L42" i="9" l="1"/>
  <c r="M42" i="9" s="1"/>
  <c r="N42" i="9"/>
  <c r="J43" i="9" s="1"/>
  <c r="L43" i="9" l="1"/>
  <c r="M43" i="9" s="1"/>
  <c r="N43" i="9" s="1"/>
  <c r="J44" i="9" s="1"/>
  <c r="L44" i="9" l="1"/>
  <c r="M44" i="9" s="1"/>
  <c r="N44" i="9"/>
  <c r="J45" i="9" s="1"/>
  <c r="L45" i="9" l="1"/>
  <c r="M45" i="9" s="1"/>
  <c r="N45" i="9"/>
  <c r="J46" i="9" s="1"/>
  <c r="L46" i="9" l="1"/>
  <c r="M46" i="9" s="1"/>
  <c r="N46" i="9"/>
  <c r="J47" i="9" s="1"/>
  <c r="L47" i="9" l="1"/>
  <c r="M47" i="9" s="1"/>
  <c r="N47" i="9" s="1"/>
  <c r="J48" i="9" s="1"/>
  <c r="L48" i="9" l="1"/>
  <c r="M48" i="9" s="1"/>
  <c r="N48" i="9" s="1"/>
  <c r="J49" i="9" s="1"/>
  <c r="L49" i="9" l="1"/>
  <c r="M49" i="9" s="1"/>
  <c r="N49" i="9"/>
  <c r="J50" i="9" s="1"/>
  <c r="C7" i="9"/>
  <c r="C7" i="12" s="1"/>
  <c r="C11" i="9"/>
  <c r="L50" i="9" l="1"/>
  <c r="M50" i="9" s="1"/>
  <c r="N50" i="9"/>
  <c r="J51" i="9" s="1"/>
  <c r="C17" i="9"/>
  <c r="C34" i="12"/>
  <c r="C35" i="12" s="1"/>
  <c r="E7" i="16" s="1"/>
  <c r="G7" i="16" s="1"/>
  <c r="E7" i="12"/>
  <c r="L51" i="9" l="1"/>
  <c r="M51" i="9" s="1"/>
  <c r="N51" i="9" s="1"/>
  <c r="J52" i="9" s="1"/>
  <c r="D40" i="9"/>
  <c r="D42" i="9"/>
  <c r="D49" i="9"/>
  <c r="D56" i="9"/>
  <c r="D27" i="9"/>
  <c r="D34" i="9"/>
  <c r="D58" i="9"/>
  <c r="D69" i="9"/>
  <c r="D22" i="9"/>
  <c r="D19" i="9"/>
  <c r="D24" i="9"/>
  <c r="D32" i="9"/>
  <c r="D63" i="9"/>
  <c r="D23" i="9"/>
  <c r="D31" i="9"/>
  <c r="D45" i="9"/>
  <c r="D55" i="9"/>
  <c r="D68" i="9"/>
  <c r="D25" i="9"/>
  <c r="D54" i="9"/>
  <c r="D75" i="9"/>
  <c r="D30" i="9"/>
  <c r="D39" i="9"/>
  <c r="D59" i="9"/>
  <c r="D28" i="9"/>
  <c r="D72" i="9"/>
  <c r="D37" i="9"/>
  <c r="D76" i="9"/>
  <c r="D41" i="9"/>
  <c r="D60" i="9"/>
  <c r="D74" i="9"/>
  <c r="D18" i="9"/>
  <c r="D38" i="9"/>
  <c r="D47" i="9"/>
  <c r="D70" i="9"/>
  <c r="D43" i="9"/>
  <c r="D73" i="9"/>
  <c r="D71" i="9"/>
  <c r="D57" i="9"/>
  <c r="D65" i="9"/>
  <c r="D67" i="9"/>
  <c r="D52" i="9"/>
  <c r="D53" i="9"/>
  <c r="D35" i="9"/>
  <c r="D20" i="9"/>
  <c r="D48" i="9"/>
  <c r="D62" i="9"/>
  <c r="D21" i="9"/>
  <c r="D64" i="9"/>
  <c r="D51" i="9"/>
  <c r="D46" i="9"/>
  <c r="D44" i="9"/>
  <c r="D61" i="9"/>
  <c r="D33" i="9"/>
  <c r="D36" i="9"/>
  <c r="D50" i="9"/>
  <c r="D66" i="9"/>
  <c r="D17" i="9"/>
  <c r="D26" i="9"/>
  <c r="D29" i="9"/>
  <c r="L52" i="9" l="1"/>
  <c r="M52" i="9" s="1"/>
  <c r="N52" i="9"/>
  <c r="D82" i="9"/>
  <c r="D77" i="9"/>
  <c r="F17" i="9"/>
  <c r="G17" i="9" l="1"/>
  <c r="C18" i="9" s="1"/>
  <c r="D83" i="9"/>
  <c r="E92" i="9"/>
  <c r="E93" i="9" l="1"/>
  <c r="D84" i="9"/>
  <c r="E18" i="9"/>
  <c r="F18" i="9" l="1"/>
  <c r="E94" i="9"/>
  <c r="D85" i="9"/>
  <c r="G18" i="9" l="1"/>
  <c r="C19" i="9" s="1"/>
  <c r="E95" i="9"/>
  <c r="D86" i="9"/>
  <c r="E96" i="9" s="1"/>
  <c r="D87" i="9"/>
  <c r="E97" i="9" l="1"/>
  <c r="E19" i="9"/>
  <c r="F19" i="9" l="1"/>
  <c r="G19" i="9" l="1"/>
  <c r="C20" i="9" s="1"/>
  <c r="E20" i="9" l="1"/>
  <c r="F20" i="9" l="1"/>
  <c r="G20" i="9" l="1"/>
  <c r="C21" i="9" s="1"/>
  <c r="E21" i="9" l="1"/>
  <c r="F21" i="9" l="1"/>
  <c r="G21" i="9" l="1"/>
  <c r="C22" i="9" s="1"/>
  <c r="E22" i="9" l="1"/>
  <c r="F22" i="9" s="1"/>
  <c r="G22" i="9" s="1"/>
  <c r="C23" i="9" s="1"/>
  <c r="E23" i="9" l="1"/>
  <c r="F23" i="9" s="1"/>
  <c r="G23" i="9" s="1"/>
  <c r="C24" i="9" s="1"/>
  <c r="E24" i="9" l="1"/>
  <c r="F24" i="9" s="1"/>
  <c r="G24" i="9" s="1"/>
  <c r="C25" i="9" s="1"/>
  <c r="E25" i="9" l="1"/>
  <c r="F25" i="9" s="1"/>
  <c r="G25" i="9" s="1"/>
  <c r="C26" i="9" s="1"/>
  <c r="E26" i="9" l="1"/>
  <c r="F26" i="9" s="1"/>
  <c r="G26" i="9" s="1"/>
  <c r="C27" i="9" s="1"/>
  <c r="E27" i="9" l="1"/>
  <c r="F27" i="9" s="1"/>
  <c r="G27" i="9" s="1"/>
  <c r="C28" i="9" s="1"/>
  <c r="E28" i="9" l="1"/>
  <c r="F28" i="9" l="1"/>
  <c r="E82" i="9"/>
  <c r="D92" i="9" l="1"/>
  <c r="F82" i="9"/>
  <c r="G28" i="9"/>
  <c r="C29" i="9" s="1"/>
  <c r="E29" i="9" l="1"/>
  <c r="C92" i="9"/>
  <c r="D52" i="7" s="1"/>
  <c r="G82" i="9"/>
  <c r="C83" i="9" s="1"/>
  <c r="D18" i="7"/>
  <c r="D56" i="14" l="1"/>
  <c r="D56" i="15"/>
  <c r="D22" i="14"/>
  <c r="D23" i="14" s="1"/>
  <c r="D19" i="7"/>
  <c r="D22" i="15"/>
  <c r="D23" i="15" s="1"/>
  <c r="F29" i="9"/>
  <c r="D20" i="7" l="1"/>
  <c r="D21" i="7" s="1"/>
  <c r="G29" i="9"/>
  <c r="C30" i="9" s="1"/>
  <c r="D24" i="14"/>
  <c r="D25" i="14" s="1"/>
  <c r="D24" i="15"/>
  <c r="D25" i="15" s="1"/>
  <c r="D26" i="15" l="1"/>
  <c r="D27" i="15" s="1"/>
  <c r="D26" i="14"/>
  <c r="D27" i="14" s="1"/>
  <c r="D22" i="7"/>
  <c r="D23" i="7" s="1"/>
  <c r="D53" i="7" s="1"/>
  <c r="E30" i="9"/>
  <c r="M6" i="10" l="1"/>
  <c r="D57" i="14"/>
  <c r="D57" i="15"/>
  <c r="F30" i="9"/>
  <c r="N18" i="10" l="1"/>
  <c r="D15" i="16"/>
  <c r="C20" i="16" s="1"/>
  <c r="D20" i="16" s="1"/>
  <c r="C12" i="11"/>
  <c r="D12" i="11" s="1"/>
  <c r="G30" i="9"/>
  <c r="C31" i="9" s="1"/>
  <c r="D72" i="16"/>
  <c r="C77" i="16" s="1"/>
  <c r="D77" i="16" s="1"/>
  <c r="E31" i="9" l="1"/>
  <c r="F31" i="9" l="1"/>
  <c r="G31" i="9" l="1"/>
  <c r="C32" i="9" s="1"/>
  <c r="E32" i="9" l="1"/>
  <c r="F32" i="9" l="1"/>
  <c r="G32" i="9" l="1"/>
  <c r="C33" i="9" s="1"/>
  <c r="E33" i="9" l="1"/>
  <c r="F33" i="9" l="1"/>
  <c r="G33" i="9" l="1"/>
  <c r="C34" i="9" s="1"/>
  <c r="E34" i="9" l="1"/>
  <c r="F34" i="9" s="1"/>
  <c r="G34" i="9" s="1"/>
  <c r="C35" i="9" s="1"/>
  <c r="E35" i="9" l="1"/>
  <c r="F35" i="9" s="1"/>
  <c r="G35" i="9" s="1"/>
  <c r="C36" i="9" s="1"/>
  <c r="E36" i="9" l="1"/>
  <c r="F36" i="9" s="1"/>
  <c r="G36" i="9" s="1"/>
  <c r="C37" i="9" s="1"/>
  <c r="E37" i="9" l="1"/>
  <c r="F37" i="9" s="1"/>
  <c r="G37" i="9" s="1"/>
  <c r="C38" i="9" s="1"/>
  <c r="E38" i="9" l="1"/>
  <c r="F38" i="9" s="1"/>
  <c r="G38" i="9"/>
  <c r="C39" i="9" s="1"/>
  <c r="E39" i="9" l="1"/>
  <c r="F39" i="9" s="1"/>
  <c r="G39" i="9" s="1"/>
  <c r="C40" i="9" s="1"/>
  <c r="E40" i="9" l="1"/>
  <c r="F40" i="9" l="1"/>
  <c r="E83" i="9"/>
  <c r="D93" i="9" l="1"/>
  <c r="F83" i="9"/>
  <c r="G40" i="9"/>
  <c r="C41" i="9" s="1"/>
  <c r="C93" i="9" l="1"/>
  <c r="E52" i="7" s="1"/>
  <c r="G83" i="9"/>
  <c r="C84" i="9" s="1"/>
  <c r="E41" i="9"/>
  <c r="E18" i="7"/>
  <c r="E56" i="14" l="1"/>
  <c r="E56" i="15"/>
  <c r="E22" i="14"/>
  <c r="E23" i="14" s="1"/>
  <c r="E22" i="15"/>
  <c r="E23" i="15" s="1"/>
  <c r="E19" i="7"/>
  <c r="F41" i="9"/>
  <c r="E24" i="14" l="1"/>
  <c r="E25" i="14" s="1"/>
  <c r="E20" i="7"/>
  <c r="E21" i="7" s="1"/>
  <c r="G41" i="9"/>
  <c r="C42" i="9" s="1"/>
  <c r="E24" i="15"/>
  <c r="E25" i="15" s="1"/>
  <c r="E22" i="7" l="1"/>
  <c r="E23" i="7" s="1"/>
  <c r="E53" i="7" s="1"/>
  <c r="E42" i="9"/>
  <c r="E26" i="15"/>
  <c r="E27" i="15" s="1"/>
  <c r="E26" i="14"/>
  <c r="E27" i="14" s="1"/>
  <c r="F42" i="9" l="1"/>
  <c r="E57" i="15"/>
  <c r="E57" i="14"/>
  <c r="N6" i="10"/>
  <c r="P18" i="10" l="1"/>
  <c r="E6" i="11"/>
  <c r="C13" i="11"/>
  <c r="D13" i="11" s="1"/>
  <c r="E72" i="16"/>
  <c r="C78" i="16" s="1"/>
  <c r="D78" i="16" s="1"/>
  <c r="E15" i="16"/>
  <c r="C21" i="16" s="1"/>
  <c r="D21" i="16" s="1"/>
  <c r="G42" i="9"/>
  <c r="C43" i="9" s="1"/>
  <c r="E43" i="9" l="1"/>
  <c r="N7" i="10"/>
  <c r="F43" i="9" l="1"/>
  <c r="G43" i="9" l="1"/>
  <c r="C44" i="9" s="1"/>
  <c r="E44" i="9" l="1"/>
  <c r="F44" i="9" l="1"/>
  <c r="G44" i="9" l="1"/>
  <c r="C45" i="9" s="1"/>
  <c r="E45" i="9" l="1"/>
  <c r="F45" i="9" l="1"/>
  <c r="G45" i="9" l="1"/>
  <c r="C46" i="9" s="1"/>
  <c r="E46" i="9" l="1"/>
  <c r="F46" i="9" s="1"/>
  <c r="G46" i="9"/>
  <c r="C47" i="9" s="1"/>
  <c r="E47" i="9" l="1"/>
  <c r="F47" i="9" s="1"/>
  <c r="G47" i="9"/>
  <c r="C48" i="9" s="1"/>
  <c r="E48" i="9" l="1"/>
  <c r="F48" i="9" s="1"/>
  <c r="G48" i="9" s="1"/>
  <c r="C49" i="9" s="1"/>
  <c r="E49" i="9" l="1"/>
  <c r="F49" i="9" s="1"/>
  <c r="G49" i="9" s="1"/>
  <c r="C50" i="9" s="1"/>
  <c r="E50" i="9" l="1"/>
  <c r="F50" i="9" s="1"/>
  <c r="G50" i="9"/>
  <c r="C51" i="9" s="1"/>
  <c r="E51" i="9" l="1"/>
  <c r="F51" i="9" s="1"/>
  <c r="G51" i="9"/>
  <c r="C52" i="9" s="1"/>
  <c r="E52" i="9" l="1"/>
  <c r="F52" i="9" l="1"/>
  <c r="E84" i="9"/>
  <c r="D94" i="9" l="1"/>
  <c r="F84" i="9"/>
  <c r="G52" i="9"/>
  <c r="C53" i="9" s="1"/>
  <c r="E53" i="9" l="1"/>
  <c r="C94" i="9"/>
  <c r="F52" i="7" s="1"/>
  <c r="G84" i="9"/>
  <c r="C85" i="9" s="1"/>
  <c r="F18" i="7"/>
  <c r="F53" i="9" l="1"/>
  <c r="F22" i="14"/>
  <c r="F23" i="14" s="1"/>
  <c r="F19" i="7"/>
  <c r="F22" i="15"/>
  <c r="F23" i="15" s="1"/>
  <c r="F56" i="15"/>
  <c r="F56" i="14"/>
  <c r="G53" i="9" l="1"/>
  <c r="C54" i="9" s="1"/>
  <c r="F24" i="14"/>
  <c r="F25" i="14" s="1"/>
  <c r="F24" i="15"/>
  <c r="F25" i="15" s="1"/>
  <c r="F20" i="7"/>
  <c r="F21" i="7" s="1"/>
  <c r="F26" i="15" l="1"/>
  <c r="F27" i="15" s="1"/>
  <c r="F26" i="14"/>
  <c r="F27" i="14" s="1"/>
  <c r="E54" i="9"/>
  <c r="F22" i="7"/>
  <c r="F23" i="7" s="1"/>
  <c r="F53" i="7" s="1"/>
  <c r="F57" i="15" l="1"/>
  <c r="F54" i="9"/>
  <c r="F57" i="14"/>
  <c r="O6" i="10"/>
  <c r="C14" i="11" l="1"/>
  <c r="D14" i="11" s="1"/>
  <c r="R18" i="10"/>
  <c r="F6" i="11"/>
  <c r="G54" i="9"/>
  <c r="C55" i="9" s="1"/>
  <c r="F15" i="16"/>
  <c r="C22" i="16" s="1"/>
  <c r="D22" i="16" s="1"/>
  <c r="F72" i="16"/>
  <c r="C79" i="16" s="1"/>
  <c r="D79" i="16" s="1"/>
  <c r="O7" i="10" l="1"/>
  <c r="E55" i="9"/>
  <c r="F55" i="9" l="1"/>
  <c r="G55" i="9" l="1"/>
  <c r="C56" i="9" s="1"/>
  <c r="E56" i="9" l="1"/>
  <c r="F56" i="9" l="1"/>
  <c r="G56" i="9" l="1"/>
  <c r="C57" i="9" s="1"/>
  <c r="E57" i="9" l="1"/>
  <c r="F57" i="9" l="1"/>
  <c r="G57" i="9" l="1"/>
  <c r="C58" i="9" s="1"/>
  <c r="E58" i="9" l="1"/>
  <c r="F58" i="9" s="1"/>
  <c r="G58" i="9"/>
  <c r="C59" i="9" s="1"/>
  <c r="E59" i="9" l="1"/>
  <c r="F59" i="9" s="1"/>
  <c r="G59" i="9"/>
  <c r="C60" i="9" s="1"/>
  <c r="E60" i="9" l="1"/>
  <c r="F60" i="9" s="1"/>
  <c r="G60" i="9" s="1"/>
  <c r="C61" i="9" s="1"/>
  <c r="E61" i="9" l="1"/>
  <c r="F61" i="9" s="1"/>
  <c r="G61" i="9" s="1"/>
  <c r="C62" i="9" s="1"/>
  <c r="E62" i="9" l="1"/>
  <c r="F62" i="9" s="1"/>
  <c r="G62" i="9" s="1"/>
  <c r="C63" i="9" s="1"/>
  <c r="E63" i="9" l="1"/>
  <c r="F63" i="9" s="1"/>
  <c r="G63" i="9"/>
  <c r="C64" i="9" s="1"/>
  <c r="E64" i="9" l="1"/>
  <c r="F64" i="9" l="1"/>
  <c r="E85" i="9"/>
  <c r="D95" i="9" l="1"/>
  <c r="F85" i="9"/>
  <c r="G64" i="9"/>
  <c r="C65" i="9" s="1"/>
  <c r="E65" i="9" l="1"/>
  <c r="C95" i="9"/>
  <c r="G52" i="7" s="1"/>
  <c r="G85" i="9"/>
  <c r="C86" i="9" s="1"/>
  <c r="G18" i="7"/>
  <c r="G19" i="7" l="1"/>
  <c r="G22" i="15"/>
  <c r="G23" i="15" s="1"/>
  <c r="G22" i="14"/>
  <c r="G23" i="14" s="1"/>
  <c r="G56" i="15"/>
  <c r="G56" i="14"/>
  <c r="F65" i="9"/>
  <c r="G24" i="15" l="1"/>
  <c r="G25" i="15" s="1"/>
  <c r="G65" i="9"/>
  <c r="C66" i="9" s="1"/>
  <c r="G24" i="14"/>
  <c r="G25" i="14" s="1"/>
  <c r="G20" i="7"/>
  <c r="G21" i="7" s="1"/>
  <c r="G26" i="14" l="1"/>
  <c r="G27" i="14" s="1"/>
  <c r="G22" i="7"/>
  <c r="G23" i="7" s="1"/>
  <c r="G53" i="7" s="1"/>
  <c r="G26" i="15"/>
  <c r="G27" i="15" s="1"/>
  <c r="E66" i="9"/>
  <c r="G57" i="15" l="1"/>
  <c r="P6" i="10"/>
  <c r="G57" i="14"/>
  <c r="F66" i="9"/>
  <c r="G66" i="9" l="1"/>
  <c r="C67" i="9" s="1"/>
  <c r="T18" i="10"/>
  <c r="C15" i="11"/>
  <c r="D15" i="11" s="1"/>
  <c r="G6" i="11"/>
  <c r="G15" i="16"/>
  <c r="C23" i="16" s="1"/>
  <c r="D23" i="16" s="1"/>
  <c r="G72" i="16"/>
  <c r="C80" i="16" s="1"/>
  <c r="D80" i="16" s="1"/>
  <c r="P7" i="10" l="1"/>
  <c r="E67" i="9"/>
  <c r="F67" i="9" l="1"/>
  <c r="G67" i="9" l="1"/>
  <c r="C68" i="9" s="1"/>
  <c r="E68" i="9" l="1"/>
  <c r="F68" i="9" l="1"/>
  <c r="G68" i="9" l="1"/>
  <c r="C69" i="9" s="1"/>
  <c r="E69" i="9" l="1"/>
  <c r="F69" i="9" l="1"/>
  <c r="G69" i="9" l="1"/>
  <c r="C70" i="9" s="1"/>
  <c r="E70" i="9" l="1"/>
  <c r="F70" i="9" s="1"/>
  <c r="G70" i="9" s="1"/>
  <c r="C71" i="9" s="1"/>
  <c r="E71" i="9" l="1"/>
  <c r="F71" i="9" s="1"/>
  <c r="G71" i="9" s="1"/>
  <c r="C72" i="9" s="1"/>
  <c r="E72" i="9" l="1"/>
  <c r="F72" i="9" s="1"/>
  <c r="G72" i="9" s="1"/>
  <c r="C73" i="9" s="1"/>
  <c r="E73" i="9" l="1"/>
  <c r="F73" i="9" s="1"/>
  <c r="G73" i="9" s="1"/>
  <c r="C74" i="9" s="1"/>
  <c r="E74" i="9" l="1"/>
  <c r="F74" i="9" s="1"/>
  <c r="G74" i="9" s="1"/>
  <c r="C75" i="9" s="1"/>
  <c r="E75" i="9" l="1"/>
  <c r="F75" i="9" s="1"/>
  <c r="G75" i="9" s="1"/>
  <c r="C76" i="9" s="1"/>
  <c r="E76" i="9" l="1"/>
  <c r="F76" i="9" l="1"/>
  <c r="E77" i="9"/>
  <c r="E86" i="9"/>
  <c r="D96" i="9" l="1"/>
  <c r="E87" i="9"/>
  <c r="F77" i="9"/>
  <c r="F86" i="9"/>
  <c r="G76" i="9"/>
  <c r="C96" i="9" l="1"/>
  <c r="H52" i="7" s="1"/>
  <c r="F87" i="9"/>
  <c r="C97" i="9"/>
  <c r="G86" i="9"/>
  <c r="H18" i="7"/>
  <c r="D97" i="9"/>
  <c r="H22" i="14" l="1"/>
  <c r="H23" i="14" s="1"/>
  <c r="H19" i="7"/>
  <c r="H22" i="15"/>
  <c r="H23" i="15" s="1"/>
  <c r="H56" i="14"/>
  <c r="H56" i="15"/>
  <c r="H24" i="15" l="1"/>
  <c r="H25" i="15" s="1"/>
  <c r="I23" i="15"/>
  <c r="H20" i="7"/>
  <c r="H21" i="7" s="1"/>
  <c r="I19" i="7"/>
  <c r="H24" i="14"/>
  <c r="H25" i="14" s="1"/>
  <c r="I23" i="14"/>
  <c r="H22" i="7" l="1"/>
  <c r="H23" i="7" s="1"/>
  <c r="H53" i="7" s="1"/>
  <c r="I21" i="7"/>
  <c r="H26" i="15"/>
  <c r="H27" i="15" s="1"/>
  <c r="I25" i="15"/>
  <c r="H26" i="14"/>
  <c r="H27" i="14" s="1"/>
  <c r="I25" i="14"/>
  <c r="H57" i="14" l="1"/>
  <c r="I27" i="14"/>
  <c r="Q6" i="10"/>
  <c r="L27" i="10" s="1"/>
  <c r="I23" i="7"/>
  <c r="H57" i="15"/>
  <c r="I27" i="15"/>
  <c r="C16" i="11" l="1"/>
  <c r="D16" i="11" s="1"/>
  <c r="V18" i="10"/>
  <c r="H6" i="11"/>
  <c r="H72" i="16"/>
  <c r="C81" i="16" s="1"/>
  <c r="D81" i="16" s="1"/>
  <c r="D6" i="16"/>
  <c r="C90" i="16" s="1"/>
  <c r="D90" i="16" s="1"/>
  <c r="D5" i="16"/>
  <c r="H15" i="16"/>
  <c r="C24" i="16" s="1"/>
  <c r="D24" i="16" s="1"/>
  <c r="C5" i="16"/>
  <c r="C6" i="16"/>
  <c r="C34" i="16" l="1"/>
  <c r="D34" i="16" s="1"/>
  <c r="Q7" i="10"/>
  <c r="E6" i="16"/>
  <c r="G6" i="16" s="1"/>
  <c r="C4" i="12"/>
  <c r="D4" i="12" s="1"/>
  <c r="F6" i="16" l="1"/>
  <c r="N23" i="10"/>
  <c r="L25" i="10" s="1"/>
  <c r="E5" i="16" s="1"/>
  <c r="G5" i="16" l="1"/>
  <c r="F5" i="16"/>
  <c r="M7" i="10"/>
  <c r="M8" i="10" s="1"/>
  <c r="N8" i="10" s="1"/>
  <c r="O8" i="10" s="1"/>
  <c r="P8" i="10" s="1"/>
  <c r="Q8" i="10" s="1"/>
</calcChain>
</file>

<file path=xl/sharedStrings.xml><?xml version="1.0" encoding="utf-8"?>
<sst xmlns="http://schemas.openxmlformats.org/spreadsheetml/2006/main" count="1341" uniqueCount="467">
  <si>
    <t>Estrategias</t>
  </si>
  <si>
    <t>Cantidad</t>
  </si>
  <si>
    <t>Costo Unitario</t>
  </si>
  <si>
    <t>Costo Total</t>
  </si>
  <si>
    <t>Redes sociales Facebook</t>
  </si>
  <si>
    <t>3 ocasiones</t>
  </si>
  <si>
    <t>Redes sociales Instagram</t>
  </si>
  <si>
    <t>2 ocasiones</t>
  </si>
  <si>
    <t>Gigantografías</t>
  </si>
  <si>
    <t>17 gigantografías</t>
  </si>
  <si>
    <t>Costo total</t>
  </si>
  <si>
    <t xml:space="preserve"> </t>
  </si>
  <si>
    <t>Presupuesto de Inversión</t>
  </si>
  <si>
    <t>Detalle</t>
  </si>
  <si>
    <t>Años</t>
  </si>
  <si>
    <t>Total</t>
  </si>
  <si>
    <t>Inversión Fija / Activos fijos</t>
  </si>
  <si>
    <t>Muebles y Enseres</t>
  </si>
  <si>
    <t>Escritorios</t>
  </si>
  <si>
    <t>Sillas</t>
  </si>
  <si>
    <t>Archivadores</t>
  </si>
  <si>
    <t>Mesas</t>
  </si>
  <si>
    <t>Equipos de Oficina</t>
  </si>
  <si>
    <t>Teléfonos</t>
  </si>
  <si>
    <t>Lámparas</t>
  </si>
  <si>
    <t xml:space="preserve">Equipos de computación </t>
  </si>
  <si>
    <t>Impresoras multifunción</t>
  </si>
  <si>
    <t xml:space="preserve">Computadoras </t>
  </si>
  <si>
    <t xml:space="preserve">Maquinaria </t>
  </si>
  <si>
    <t>Máquinas de pasteurización</t>
  </si>
  <si>
    <t>Tanques de fermentación</t>
  </si>
  <si>
    <t>Marmita</t>
  </si>
  <si>
    <t>Tanques de enfriamientos</t>
  </si>
  <si>
    <t xml:space="preserve">Máquinas de mezcla </t>
  </si>
  <si>
    <t>Tanques de almacenamiento</t>
  </si>
  <si>
    <t>Enfriadores</t>
  </si>
  <si>
    <t>Máquina de llenado</t>
  </si>
  <si>
    <t>Bombas y tuberías</t>
  </si>
  <si>
    <t>Vehículos</t>
  </si>
  <si>
    <t>Camioneta ZX Terralord 4X4</t>
  </si>
  <si>
    <t>Activos Diferidos</t>
  </si>
  <si>
    <t>Gastos de constitución</t>
  </si>
  <si>
    <t>Gastos de capacitación</t>
  </si>
  <si>
    <t>Gastos preoperativos</t>
  </si>
  <si>
    <t>Estudios pre-inversión</t>
  </si>
  <si>
    <t>Capital de trabajo</t>
  </si>
  <si>
    <t>Total de inversión</t>
  </si>
  <si>
    <t>Año</t>
  </si>
  <si>
    <t>TACOS (Negros)</t>
  </si>
  <si>
    <t>TACOS (Morados)</t>
  </si>
  <si>
    <t>Capacidad Anual</t>
  </si>
  <si>
    <t>Capacidad Mensual</t>
  </si>
  <si>
    <t>Costos de Materia Prima</t>
  </si>
  <si>
    <t>Unidad de Medida</t>
  </si>
  <si>
    <t>Costo Total Anual</t>
  </si>
  <si>
    <t>Leche </t>
  </si>
  <si>
    <t>Litros </t>
  </si>
  <si>
    <t>Leche en polvo</t>
  </si>
  <si>
    <t>Kilogramos </t>
  </si>
  <si>
    <t>Estabilizador </t>
  </si>
  <si>
    <t>Cultivo láctico </t>
  </si>
  <si>
    <t>Stevia </t>
  </si>
  <si>
    <t>Gramos </t>
  </si>
  <si>
    <t>Fermento </t>
  </si>
  <si>
    <t>Fruta: mango </t>
  </si>
  <si>
    <t>Fruta: higo </t>
  </si>
  <si>
    <t>Fruta: calabaza </t>
  </si>
  <si>
    <t>Fruta: pitahaya </t>
  </si>
  <si>
    <t>Agua </t>
  </si>
  <si>
    <t>Zumo de limón </t>
  </si>
  <si>
    <t>Miel </t>
  </si>
  <si>
    <r>
      <t>Total</t>
    </r>
    <r>
      <rPr>
        <sz val="12"/>
        <color theme="1"/>
        <rFont val="Times New Roman"/>
        <family val="1"/>
      </rPr>
      <t> </t>
    </r>
  </si>
  <si>
    <t>Costo Mano de Obra</t>
  </si>
  <si>
    <t>Número de Trabajadores</t>
  </si>
  <si>
    <t>Sueldo Mensual</t>
  </si>
  <si>
    <t>Sueldo Anual</t>
  </si>
  <si>
    <t>Ayudantes</t>
  </si>
  <si>
    <t>Envase de 80 g</t>
  </si>
  <si>
    <t>Unidad</t>
  </si>
  <si>
    <t>Envase de 120 g</t>
  </si>
  <si>
    <t>Envase de 600g</t>
  </si>
  <si>
    <t>Envase de 1 l</t>
  </si>
  <si>
    <t>Ollas</t>
  </si>
  <si>
    <t>Juego de Cucharones</t>
  </si>
  <si>
    <t>Termómetro</t>
  </si>
  <si>
    <t>Juego de Espátulas</t>
  </si>
  <si>
    <t>Colador</t>
  </si>
  <si>
    <t>Juego de Cuchillos</t>
  </si>
  <si>
    <t>Tablas de cortar</t>
  </si>
  <si>
    <t>Cucharas de medición</t>
  </si>
  <si>
    <t>Licuadora</t>
  </si>
  <si>
    <t>Tazas de medición</t>
  </si>
  <si>
    <t>Bolsas de malla</t>
  </si>
  <si>
    <t>Costo Materia Prima Indirecta</t>
  </si>
  <si>
    <t>Gerente General</t>
  </si>
  <si>
    <t>Secretaria</t>
  </si>
  <si>
    <t>Contador</t>
  </si>
  <si>
    <t>Jefe de producción</t>
  </si>
  <si>
    <t>Jefe de compras y ventas</t>
  </si>
  <si>
    <t>Bodeguero</t>
  </si>
  <si>
    <t>Gastos Sueldos y Salarios</t>
  </si>
  <si>
    <t>Electricidad </t>
  </si>
  <si>
    <t>Mensual </t>
  </si>
  <si>
    <t>Agua Potable </t>
  </si>
  <si>
    <t>m3 </t>
  </si>
  <si>
    <t>Teléfono </t>
  </si>
  <si>
    <t>Minutos </t>
  </si>
  <si>
    <t>Combustible </t>
  </si>
  <si>
    <t>Galones </t>
  </si>
  <si>
    <t>Internet </t>
  </si>
  <si>
    <t>Arriendo </t>
  </si>
  <si>
    <t>Gastos de Insumos</t>
  </si>
  <si>
    <t>Vida Útil</t>
  </si>
  <si>
    <t>(años)</t>
  </si>
  <si>
    <t>Valor Residual</t>
  </si>
  <si>
    <t>Computadoras</t>
  </si>
  <si>
    <t>Máquinas de mezcla</t>
  </si>
  <si>
    <t>Equipo y Maquinaria</t>
  </si>
  <si>
    <t>Costos Mantenimiento Equipo y Maquinaria</t>
  </si>
  <si>
    <t>Resumen costos del proyecto</t>
  </si>
  <si>
    <t>Costos Totales del Proyecto Año 2024</t>
  </si>
  <si>
    <t>Materia Prima</t>
  </si>
  <si>
    <t>Materiales Indirectos</t>
  </si>
  <si>
    <t>Mano de Obra directa</t>
  </si>
  <si>
    <t>Resumen gastos del proyecto</t>
  </si>
  <si>
    <t>Gastos Totales del Proyecto Año 2024</t>
  </si>
  <si>
    <t>Gastos Administrativos</t>
  </si>
  <si>
    <t>Gastos Ventas</t>
  </si>
  <si>
    <t>Resumen de costos y gastos del proyecto</t>
  </si>
  <si>
    <t>Costos y Gastos del Proyecto Año 2024</t>
  </si>
  <si>
    <t>Costos</t>
  </si>
  <si>
    <t>Gastos</t>
  </si>
  <si>
    <t>Sueldos y Salarios</t>
  </si>
  <si>
    <t>Mantenimiento Activos Fijos</t>
  </si>
  <si>
    <t>Electricidad</t>
  </si>
  <si>
    <t>Agua Potable</t>
  </si>
  <si>
    <t>Teléfono</t>
  </si>
  <si>
    <t>Combustible</t>
  </si>
  <si>
    <t>Internet</t>
  </si>
  <si>
    <t>Arriendo</t>
  </si>
  <si>
    <t>Gastos de Venta</t>
  </si>
  <si>
    <t>Publicidad y Promoción</t>
  </si>
  <si>
    <t>Financiamiento</t>
  </si>
  <si>
    <t xml:space="preserve">Valor </t>
  </si>
  <si>
    <t>Porcentaje</t>
  </si>
  <si>
    <t>Aporte de los socios</t>
  </si>
  <si>
    <t>Préstamo</t>
  </si>
  <si>
    <t>Amortización</t>
  </si>
  <si>
    <t>Capital</t>
  </si>
  <si>
    <t>Interés</t>
  </si>
  <si>
    <t>Cuotas</t>
  </si>
  <si>
    <t>Colocar en este apartado la tabla total de amortización</t>
  </si>
  <si>
    <t>Medidas de mitigación</t>
  </si>
  <si>
    <t>Impactos Ambientales</t>
  </si>
  <si>
    <t>Medidas Mitigadoras</t>
  </si>
  <si>
    <t>Materiales</t>
  </si>
  <si>
    <t>Unidad de medida</t>
  </si>
  <si>
    <t>Costo Unitario ($)</t>
  </si>
  <si>
    <t>Costo Total ($)</t>
  </si>
  <si>
    <t>Basura</t>
  </si>
  <si>
    <t>Manejo adecuado de residuos mediante un sistema de recolección selectiva que separe adecuadamente los distintos tipos de residuos sólidos.</t>
  </si>
  <si>
    <t>Tachos recicladores de basura de 120 litros de capacidad.</t>
  </si>
  <si>
    <t>Tachos</t>
  </si>
  <si>
    <t>Energía</t>
  </si>
  <si>
    <t>Fomentar el uso de energías renovables mediante el cambio de tecnología haciendo uso de paneles solares con conexión para focos led, cargadores y computadoras portátiles.</t>
  </si>
  <si>
    <t>Kit de Energía Solar, incluye: 2 paneles monocristalinos, 1 regulador, 2 baterías de 12V 50A, inversor de corriente.</t>
  </si>
  <si>
    <t>Kits</t>
  </si>
  <si>
    <t>Auditivo</t>
  </si>
  <si>
    <t>Implementación de barreras acústicas que impidan la propagación de ruido proveniente de las máquinas y equipos.</t>
  </si>
  <si>
    <t>Aislante acústico Lana de fibra de vidrio.</t>
  </si>
  <si>
    <t>m²</t>
  </si>
  <si>
    <t>Agua</t>
  </si>
  <si>
    <t>Tratamiento primario de aguas residuales para retener sólidos y grasas presentes en el agua residual.</t>
  </si>
  <si>
    <t>Filtros de partículas sólidas y trampa para grasas de acero inoxidable.</t>
  </si>
  <si>
    <t>Filtros</t>
  </si>
  <si>
    <t xml:space="preserve">PRODUCCIÓN DE CANTIDAD </t>
  </si>
  <si>
    <t>PRODUCCIÓN MONETARIA</t>
  </si>
  <si>
    <t>PRECIO</t>
  </si>
  <si>
    <t>TOTAL</t>
  </si>
  <si>
    <t xml:space="preserve">Producto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</si>
  <si>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</si>
  <si>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</si>
  <si>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</si>
  <si>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</si>
  <si>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</si>
  <si>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</si>
  <si>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</si>
  <si>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</si>
  <si>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</si>
  <si>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</si>
  <si>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</si>
  <si>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</si>
  <si>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PRODUCCIÓN</t>
  </si>
  <si>
    <t>TACOS (NEGROS)</t>
  </si>
  <si>
    <t>TACOS (MORADOS)</t>
  </si>
  <si>
    <t>Unidades Mensuales Cantidad</t>
  </si>
  <si>
    <t>Ingresos Mensuales</t>
  </si>
  <si>
    <t>Producto / Servicio</t>
  </si>
  <si>
    <t>Unidades Anuales</t>
  </si>
  <si>
    <t>Años </t>
  </si>
  <si>
    <t>Año 2026</t>
  </si>
  <si>
    <t>Metro lineal</t>
  </si>
  <si>
    <t>Metro cuadrado</t>
  </si>
  <si>
    <t>Kilogramo</t>
  </si>
  <si>
    <t>Espuma EVA</t>
  </si>
  <si>
    <t>Cuero Natural</t>
  </si>
  <si>
    <t>Cuero Sintético</t>
  </si>
  <si>
    <t>ABS Virgen (Resina / Granel)</t>
  </si>
  <si>
    <t>TPR (Goma Termoplástica)</t>
  </si>
  <si>
    <t>PU (Polyuretano para suelas)</t>
  </si>
  <si>
    <t>Acero Inoxidable (Tornillos/Varillas)</t>
  </si>
  <si>
    <t xml:space="preserve">Plancha </t>
  </si>
  <si>
    <t>Metro</t>
  </si>
  <si>
    <t>Costos de Materia Prima Directa</t>
  </si>
  <si>
    <t>Costos de Materia Prima Indirecta</t>
  </si>
  <si>
    <t>Hilo encerado</t>
  </si>
  <si>
    <t>Tintas y ceras</t>
  </si>
  <si>
    <t>Limpiador y protector de cuero</t>
  </si>
  <si>
    <t>Papel/cartón de embalaje</t>
  </si>
  <si>
    <t>Plantillas base</t>
  </si>
  <si>
    <t>Carretes</t>
  </si>
  <si>
    <t>Botella</t>
  </si>
  <si>
    <t>Pegamento industrial (Cuero / Suela)</t>
  </si>
  <si>
    <t>Gastos de Publicidad</t>
  </si>
  <si>
    <t>Resumen Costos</t>
  </si>
  <si>
    <t>Costos Totales del Proyecto Año 2026</t>
  </si>
  <si>
    <t>Imanes de neodimio</t>
  </si>
  <si>
    <t>Tornillos o pasadores de acero</t>
  </si>
  <si>
    <t>Caja</t>
  </si>
  <si>
    <t>Equipo/Máquina</t>
  </si>
  <si>
    <t>Pistola de calor industrial</t>
  </si>
  <si>
    <t>Taladro de banco</t>
  </si>
  <si>
    <t>Mesa de trabajo reforzada</t>
  </si>
  <si>
    <t>Ventilación/extractor de aire</t>
  </si>
  <si>
    <t xml:space="preserve">Costo Total </t>
  </si>
  <si>
    <t>Vida Útil (años)</t>
  </si>
  <si>
    <t>Máquina de Coser Triple Arrastre</t>
  </si>
  <si>
    <t>Prensa Hidráulica para corte</t>
  </si>
  <si>
    <t>Horno Industrial para curado</t>
  </si>
  <si>
    <t>Máquina Lijadora</t>
  </si>
  <si>
    <t>Máquina Rebajadora de cuero</t>
  </si>
  <si>
    <t>Compresor de aire</t>
  </si>
  <si>
    <t>Kit de troqueles (Formas de tacos)</t>
  </si>
  <si>
    <t>Herramientas (Cúter, Martillos, etc.)</t>
  </si>
  <si>
    <t>Gerente Administrativo</t>
  </si>
  <si>
    <t>Jefe de Compras y Ventas</t>
  </si>
  <si>
    <t>Resumen Gastos</t>
  </si>
  <si>
    <t>Gastos Totales del Proyecto Año 2026</t>
  </si>
  <si>
    <t>Resumen de Costos y Gastos</t>
  </si>
  <si>
    <t>Costos y Gastos del Proyecto Año 2026</t>
  </si>
  <si>
    <t>Insumos</t>
  </si>
  <si>
    <t>Amortización de Activos Diferidos</t>
  </si>
  <si>
    <t>ACTIVO</t>
  </si>
  <si>
    <t>COSTO TOTAL</t>
  </si>
  <si>
    <t>VIDA ÚTIL (AÑOS)</t>
  </si>
  <si>
    <t>VALOR RESIDUAL</t>
  </si>
  <si>
    <t>Gastos de Constitución</t>
  </si>
  <si>
    <t>Gastos de Capacitación</t>
  </si>
  <si>
    <t>Gastos Preoperativos</t>
  </si>
  <si>
    <t>Estudios Pre-inversión</t>
  </si>
  <si>
    <t>RUBROS</t>
  </si>
  <si>
    <t>AÑOS</t>
  </si>
  <si>
    <t>Valor Total</t>
  </si>
  <si>
    <t>(+) Ingreso por ventas netas</t>
  </si>
  <si>
    <t>Vida útil (años)</t>
  </si>
  <si>
    <t>Año 1</t>
  </si>
  <si>
    <t>Año 2</t>
  </si>
  <si>
    <t>Año 3</t>
  </si>
  <si>
    <t>Año 4</t>
  </si>
  <si>
    <t>Año 5</t>
  </si>
  <si>
    <t>Valor residual</t>
  </si>
  <si>
    <t>Depreciación</t>
  </si>
  <si>
    <t>(-) Costos</t>
  </si>
  <si>
    <t>Mano de obra directa</t>
  </si>
  <si>
    <t>(-) Gastos</t>
  </si>
  <si>
    <t>(-) Depreciación</t>
  </si>
  <si>
    <t>(-) Amortización Activos Fijos</t>
  </si>
  <si>
    <t>(-) Intereses</t>
  </si>
  <si>
    <t>(=) Utilidad antes de participación</t>
  </si>
  <si>
    <t>(-) 15% participación de trabajadores</t>
  </si>
  <si>
    <t>(=) Utilidad antes impuesto a la renta</t>
  </si>
  <si>
    <t>(-) Impuesto a la renta 25%</t>
  </si>
  <si>
    <t>(=) Utilidad neta</t>
  </si>
  <si>
    <t>(+) Depreciaciones</t>
  </si>
  <si>
    <t>(-) Inversión</t>
  </si>
  <si>
    <t>(-) Activos Fijos</t>
  </si>
  <si>
    <t>Devolución capital</t>
  </si>
  <si>
    <t>Gasto Financiero</t>
  </si>
  <si>
    <t>Flujo total de pago</t>
  </si>
  <si>
    <t>Saldo</t>
  </si>
  <si>
    <t>Saldo inicial</t>
  </si>
  <si>
    <t>Periódos</t>
  </si>
  <si>
    <t>Devolución Capital</t>
  </si>
  <si>
    <t>Flujo Total de Pago</t>
  </si>
  <si>
    <t>Amortización (Prestamo)</t>
  </si>
  <si>
    <t>Valor Deuda</t>
  </si>
  <si>
    <t>Tasa</t>
  </si>
  <si>
    <t>Periodos</t>
  </si>
  <si>
    <t>Cuota</t>
  </si>
  <si>
    <t>(+) Capital de trabajo</t>
  </si>
  <si>
    <t>(+) Préstamo</t>
  </si>
  <si>
    <t>(-) Amortización Préstamo</t>
  </si>
  <si>
    <t>Flujo de Fondos Neto</t>
  </si>
  <si>
    <t>Flujo de Caja</t>
  </si>
  <si>
    <t>Tasa de Descuento=</t>
  </si>
  <si>
    <t xml:space="preserve">Cálculo del Costo de Oportunidad </t>
  </si>
  <si>
    <t>Tasa Utilidad Deseada</t>
  </si>
  <si>
    <t>Tasa Inflación</t>
  </si>
  <si>
    <t>VAN=</t>
  </si>
  <si>
    <t>+</t>
  </si>
  <si>
    <t>WACC=</t>
  </si>
  <si>
    <t>Costo Promedio Ponderado de Capital</t>
  </si>
  <si>
    <t>Impuesto a la Renta</t>
  </si>
  <si>
    <t>Relación C/D</t>
  </si>
  <si>
    <t>% Deuda</t>
  </si>
  <si>
    <t>% Capital</t>
  </si>
  <si>
    <t>CPPC (WACC)</t>
  </si>
  <si>
    <t>TIR</t>
  </si>
  <si>
    <t>VAN - TIR</t>
  </si>
  <si>
    <t>PRI O PAYBACK</t>
  </si>
  <si>
    <t>II</t>
  </si>
  <si>
    <t>FNA</t>
  </si>
  <si>
    <t>RECUPERACIÓN</t>
  </si>
  <si>
    <t>PRK =</t>
  </si>
  <si>
    <t>N-1</t>
  </si>
  <si>
    <t>FNEA</t>
  </si>
  <si>
    <t>*</t>
  </si>
  <si>
    <t>(n-1)</t>
  </si>
  <si>
    <t>3-1</t>
  </si>
  <si>
    <t>Meses</t>
  </si>
  <si>
    <t>0,06*12 =</t>
  </si>
  <si>
    <t>El Proyecto se recupera en 2 años.</t>
  </si>
  <si>
    <t>INVERSIÓN</t>
  </si>
  <si>
    <t>INGRESOS</t>
  </si>
  <si>
    <t>EGRESOS</t>
  </si>
  <si>
    <t>VAB</t>
  </si>
  <si>
    <t>VAC</t>
  </si>
  <si>
    <t>VAN INGRESOS</t>
  </si>
  <si>
    <t>VAN EGRESOS</t>
  </si>
  <si>
    <t xml:space="preserve">VAN EGRESOS +INVERSION </t>
  </si>
  <si>
    <t>RCB</t>
  </si>
  <si>
    <t>BENEFICIO / COSTO</t>
  </si>
  <si>
    <t>Costos Fijos</t>
  </si>
  <si>
    <t>Costos Variables</t>
  </si>
  <si>
    <t>Ventas Totales</t>
  </si>
  <si>
    <t>Precio Unitario</t>
  </si>
  <si>
    <t>Costo Variable Unitario</t>
  </si>
  <si>
    <t>Unidades Vendidas</t>
  </si>
  <si>
    <t>Punto Equilibrio (Q)</t>
  </si>
  <si>
    <t>Punto Equilibrio ($)</t>
  </si>
  <si>
    <t>PUNTO DE EQUILIBRIO</t>
  </si>
  <si>
    <t>Sueldos Administrativos</t>
  </si>
  <si>
    <t>Depreciación Activos</t>
  </si>
  <si>
    <t>Mano de Obra</t>
  </si>
  <si>
    <t>Costos Totales</t>
  </si>
  <si>
    <t>Escenario Optimista</t>
  </si>
  <si>
    <t>Para el escenario optimista se consideró un incremento del 6% en el precio de venta, un aumento del 7% en las unidades vendidas de cada año y una reducción del 3% en los costos de materia prima para cada año y los costos en los materiales indirectos una reducción del 2% en cada año.</t>
  </si>
  <si>
    <t>Precio de Venta incremento 6%</t>
  </si>
  <si>
    <t>Aumento del 7% en las unidades vendidas</t>
  </si>
  <si>
    <t>Reducción del 3% Costos Materia Prima</t>
  </si>
  <si>
    <t>Reducción del 2% Costos Materiales Indirectos</t>
  </si>
  <si>
    <t>Escenario Pesimista</t>
  </si>
  <si>
    <t>Decremento del 5% en las unidades vendidas</t>
  </si>
  <si>
    <t>Incremento del 6% Costos Materia Prima</t>
  </si>
  <si>
    <t>Incremento del 5% Costos Materiales Indirectos</t>
  </si>
  <si>
    <t>Para el escenario pesimista se consideró un decremento del 4% en el precio de venta, una disminución del 4% en las unidades vendidas de cada año, un aumento del 6% en los costos de materia prima para cada año y los costos de los materiales indirectos un aumento del 5% en cada año.</t>
  </si>
  <si>
    <t>Precio de Venta decremento 4%</t>
  </si>
  <si>
    <t>ESCENARIOS</t>
  </si>
  <si>
    <t>Escenraio Pesimista</t>
  </si>
  <si>
    <t>Escenario Normal</t>
  </si>
  <si>
    <t>Variación Positiva</t>
  </si>
  <si>
    <t>Variación Negativa</t>
  </si>
  <si>
    <t>VAN</t>
  </si>
  <si>
    <t>RBC</t>
  </si>
  <si>
    <t>PRI</t>
  </si>
  <si>
    <t>2 Años</t>
  </si>
  <si>
    <t>PRI Escenario Óptimista</t>
  </si>
  <si>
    <t>1-1</t>
  </si>
  <si>
    <t>0,98*12 =</t>
  </si>
  <si>
    <t>0,76*30 =</t>
  </si>
  <si>
    <t>El Proyecto se recupera en 11 meses y 22 días.</t>
  </si>
  <si>
    <t>Días</t>
  </si>
  <si>
    <t>11 Meses y 22 días</t>
  </si>
  <si>
    <t>BENEFICIO / COSTO ÓPTIMISTA</t>
  </si>
  <si>
    <t>(1+1,0150)^1</t>
  </si>
  <si>
    <t>(1+1,0150)^2</t>
  </si>
  <si>
    <t>(1+1,0150)^3</t>
  </si>
  <si>
    <t>(1+1,0150)^4</t>
  </si>
  <si>
    <t>(1+1,0150)^5</t>
  </si>
  <si>
    <t>PRI Escenario Pesimista</t>
  </si>
  <si>
    <t>BENEFICIO / COSTO PESIMISTA</t>
  </si>
  <si>
    <t>5-1</t>
  </si>
  <si>
    <t>0,87*12 =</t>
  </si>
  <si>
    <t>0,44*30 =</t>
  </si>
  <si>
    <t>El Proyecto se recupera en 4 años, 10 meses y 13 días.</t>
  </si>
  <si>
    <t>4 Años, 10 Meses y 13 Días</t>
  </si>
  <si>
    <t>(1+0,0272)^1</t>
  </si>
  <si>
    <t>(1+0,0272)^2</t>
  </si>
  <si>
    <t>(1+0,0272)^3</t>
  </si>
  <si>
    <t>(1+0,0272)^4</t>
  </si>
  <si>
    <t>(1+0,0272)^5</t>
  </si>
  <si>
    <t>3 Años, 1 mes y 9 días</t>
  </si>
  <si>
    <t>2 años, 10 meses y 13 días</t>
  </si>
  <si>
    <t>Ingresos por Ventas</t>
  </si>
  <si>
    <t>TABLA GENERAL TACOS N/M</t>
  </si>
  <si>
    <t>TACOS (COLORES VARIADOS)</t>
  </si>
  <si>
    <t xml:space="preserve">PORCENTAJE DE CRECIMIENTO ANUAL REALISTA: </t>
  </si>
  <si>
    <t>Operarios</t>
  </si>
  <si>
    <t>12 ocasiones</t>
  </si>
  <si>
    <t>12 gigantografías</t>
  </si>
  <si>
    <t>Costo Mensual</t>
  </si>
  <si>
    <t>Gasto Mensual</t>
  </si>
  <si>
    <t>Gastos Operativos</t>
  </si>
  <si>
    <t>TACOS (Colores Variados)</t>
  </si>
  <si>
    <t>TACOS (Varios Colores)</t>
  </si>
  <si>
    <t>TACOS (Varios colores)</t>
  </si>
  <si>
    <t>TACOS (VARIOS COLORES)</t>
  </si>
  <si>
    <t>(-) Amortización Activos Diferidos</t>
  </si>
  <si>
    <t>Flujo de Caja Neto</t>
  </si>
  <si>
    <t xml:space="preserve">(-) Amortización </t>
  </si>
  <si>
    <t>Costo de oportunidad (COP)</t>
  </si>
  <si>
    <t xml:space="preserve">COP= </t>
  </si>
  <si>
    <t>2. WACC= (COP * % Capital) + (Ke Anual * % Deuda) * (1-Imp. Renta)</t>
  </si>
  <si>
    <t>(1+15,6%) * (1+5%) * (1+2,5%) - 1</t>
  </si>
  <si>
    <t>(24,41*60%) + (15,6*40%) * (1-25%)</t>
  </si>
  <si>
    <t>Flujo de Caja Acumulado</t>
  </si>
  <si>
    <t>Flujo de Caja Descontado</t>
  </si>
  <si>
    <t xml:space="preserve">1. COP= (1+I. Préstamo) * (1+% Utilidad) * (1+% Inflación) - 1 </t>
  </si>
  <si>
    <t>Interes Préstamo</t>
  </si>
  <si>
    <t>Interes Anual (Ke) Anual</t>
  </si>
  <si>
    <t>(1+0,1933)^1</t>
  </si>
  <si>
    <t>(1+0,1933)^2</t>
  </si>
  <si>
    <t>(1+0,1933)^3</t>
  </si>
  <si>
    <t>(1+0,1933)^4</t>
  </si>
  <si>
    <t>(1+0,1933)^5</t>
  </si>
  <si>
    <t>(1+0,5268)^1</t>
  </si>
  <si>
    <t>(1+0,5268)^2</t>
  </si>
  <si>
    <t>(1+0,5268)^3</t>
  </si>
  <si>
    <t>(1+0,5268)^4</t>
  </si>
  <si>
    <t>(1+0,5268)^5</t>
  </si>
  <si>
    <t>Sb</t>
  </si>
  <si>
    <t>publicidad</t>
  </si>
  <si>
    <t xml:space="preserve">arriendo </t>
  </si>
  <si>
    <t>sueldos</t>
  </si>
  <si>
    <t xml:space="preserve">depreciciones </t>
  </si>
  <si>
    <t>3.1.2 PRESUPUESTO DE COSTOS</t>
  </si>
  <si>
    <t>Descripción</t>
  </si>
  <si>
    <t>Valor</t>
  </si>
  <si>
    <t>Sueldos Gerente General</t>
  </si>
  <si>
    <t>Sueldos Gerente Administrativo</t>
  </si>
  <si>
    <t>Sueldos Contador</t>
  </si>
  <si>
    <t xml:space="preserve">Sueldos Jefe Produccion </t>
  </si>
  <si>
    <t>Mantenimiento Equipo y Maquinaria</t>
  </si>
  <si>
    <t>Publicidad</t>
  </si>
  <si>
    <t>Sueldos mano de obra de producción</t>
  </si>
  <si>
    <t>Margen de Utilidad</t>
  </si>
  <si>
    <t>Salario nominal</t>
  </si>
  <si>
    <t>Décimo tercero</t>
  </si>
  <si>
    <t>Décimo cuarto</t>
  </si>
  <si>
    <t>Aporte patronal</t>
  </si>
  <si>
    <t>Aporte personal</t>
  </si>
  <si>
    <t>Vacaciones</t>
  </si>
  <si>
    <t>Fondos de reserva</t>
  </si>
  <si>
    <t>Total mensual</t>
  </si>
  <si>
    <t>Total Anual</t>
  </si>
  <si>
    <t>Jefe de Produccion</t>
  </si>
  <si>
    <t>Operario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</si>
</sst>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;[Red]&quot;$&quot;\-#,##0"/>
    <numFmt numFmtId="8" formatCode="&quot;$&quot;#,##0.00;[Red]&quot;$&quot;\-#,##0.00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&quot;$&quot;#,##0.00"/>
    <numFmt numFmtId="165" formatCode="&quot;$&quot;\ #,##0.00_);[Red]\(&quot;$&quot;\ #,##0.00\)"/>
    <numFmt numFmtId="166" formatCode="&quot;$&quot;#,##0.00;[Red]&quot;$&quot;#,##0.00"/>
    <numFmt numFmtId="167" formatCode="0.00000"/>
    <numFmt numFmtId="168" formatCode="_ * #,##0_ ;_ * \-#,##0_ ;_ * &quot;-&quot;??_ ;_ @_ "/>
    <numFmt numFmtId="169" formatCode="_ * #,##0.0000_ ;_ * \-#,##0.0000_ ;_ * &quot;-&quot;??_ ;_ @_ "/>
  </numFmts>
  <fonts count="22">
    <font>
      <sz val="12"/>
      <color theme="1"/>
      <name val="Times New Roman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Times New Roman"/>
      <family val="2"/>
    </font>
    <font>
      <sz val="11"/>
      <color rgb="FF000000"/>
      <name val="Calibri"/>
      <family val="2"/>
    </font>
    <font>
      <b/>
      <sz val="10"/>
      <color theme="1"/>
      <name val="Times New Roman"/>
      <family val="1"/>
    </font>
    <font>
      <b/>
      <sz val="11"/>
      <color theme="4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50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6" fontId="4" fillId="0" borderId="0" xfId="0" applyNumberFormat="1" applyFont="1" applyAlignment="1">
      <alignment horizontal="center" vertical="center" wrapText="1"/>
    </xf>
    <xf numFmtId="8" fontId="3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0" xfId="0" applyFont="1"/>
    <xf numFmtId="0" fontId="6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8" fontId="5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8" fontId="6" fillId="0" borderId="6" xfId="0" applyNumberFormat="1" applyFont="1" applyBorder="1" applyAlignment="1">
      <alignment horizontal="center" vertical="center"/>
    </xf>
    <xf numFmtId="3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8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8" fontId="8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8" fontId="7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8" fontId="4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vertical="center"/>
    </xf>
    <xf numFmtId="8" fontId="3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horizontal="center" vertical="center"/>
    </xf>
    <xf numFmtId="0" fontId="8" fillId="0" borderId="10" xfId="0" applyFont="1" applyBorder="1" applyAlignment="1">
      <alignment vertical="center"/>
    </xf>
    <xf numFmtId="3" fontId="8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8" fontId="4" fillId="0" borderId="1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8" fontId="7" fillId="0" borderId="6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8" fontId="8" fillId="0" borderId="6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8" fontId="7" fillId="0" borderId="12" xfId="0" applyNumberFormat="1" applyFont="1" applyBorder="1" applyAlignment="1">
      <alignment horizontal="center" vertical="center"/>
    </xf>
    <xf numFmtId="8" fontId="7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9" fontId="7" fillId="0" borderId="10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8" fontId="7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10" fillId="0" borderId="10" xfId="0" applyFont="1" applyBorder="1" applyAlignment="1">
      <alignment horizontal="center" vertical="center" wrapText="1"/>
    </xf>
    <xf numFmtId="6" fontId="10" fillId="0" borderId="10" xfId="0" applyNumberFormat="1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0" fillId="0" borderId="16" xfId="0" applyFont="1" applyBorder="1" applyAlignment="1">
      <alignment vertical="center" wrapText="1"/>
    </xf>
    <xf numFmtId="0" fontId="10" fillId="0" borderId="16" xfId="0" applyFont="1" applyBorder="1" applyAlignment="1">
      <alignment horizontal="center" vertical="center" wrapText="1"/>
    </xf>
    <xf numFmtId="8" fontId="11" fillId="0" borderId="16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3" fontId="0" fillId="0" borderId="2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8" fillId="0" borderId="2" xfId="0" applyNumberFormat="1" applyFont="1" applyBorder="1" applyAlignment="1">
      <alignment horizontal="center" vertical="center" wrapText="1"/>
    </xf>
    <xf numFmtId="3" fontId="8" fillId="0" borderId="18" xfId="0" applyNumberFormat="1" applyFont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center" vertical="center" wrapText="1"/>
    </xf>
    <xf numFmtId="4" fontId="0" fillId="0" borderId="2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3" fontId="0" fillId="0" borderId="2" xfId="1" applyFont="1" applyBorder="1"/>
    <xf numFmtId="43" fontId="0" fillId="0" borderId="18" xfId="1" applyFont="1" applyBorder="1"/>
    <xf numFmtId="43" fontId="0" fillId="0" borderId="7" xfId="1" applyFont="1" applyBorder="1"/>
    <xf numFmtId="3" fontId="7" fillId="0" borderId="19" xfId="0" applyNumberFormat="1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4" fontId="7" fillId="0" borderId="19" xfId="0" applyNumberFormat="1" applyFont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textRotation="90" wrapText="1"/>
    </xf>
    <xf numFmtId="0" fontId="13" fillId="3" borderId="6" xfId="0" applyFont="1" applyFill="1" applyBorder="1" applyAlignment="1">
      <alignment horizontal="center" vertical="center" wrapText="1"/>
    </xf>
    <xf numFmtId="0" fontId="13" fillId="3" borderId="19" xfId="0" applyFont="1" applyFill="1" applyBorder="1" applyAlignment="1">
      <alignment horizontal="center" vertical="center" textRotation="90" wrapText="1"/>
    </xf>
    <xf numFmtId="0" fontId="14" fillId="4" borderId="7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3" fontId="13" fillId="4" borderId="6" xfId="0" applyNumberFormat="1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1" fontId="13" fillId="4" borderId="6" xfId="0" applyNumberFormat="1" applyFont="1" applyFill="1" applyBorder="1" applyAlignment="1">
      <alignment horizontal="center" vertical="center" wrapText="1"/>
    </xf>
    <xf numFmtId="8" fontId="14" fillId="4" borderId="6" xfId="0" applyNumberFormat="1" applyFont="1" applyFill="1" applyBorder="1" applyAlignment="1">
      <alignment horizontal="center" vertical="center"/>
    </xf>
    <xf numFmtId="8" fontId="14" fillId="4" borderId="19" xfId="0" applyNumberFormat="1" applyFont="1" applyFill="1" applyBorder="1" applyAlignment="1">
      <alignment horizontal="center" vertical="center"/>
    </xf>
    <xf numFmtId="8" fontId="13" fillId="4" borderId="6" xfId="0" applyNumberFormat="1" applyFont="1" applyFill="1" applyBorder="1" applyAlignment="1">
      <alignment horizontal="center" vertical="center"/>
    </xf>
    <xf numFmtId="8" fontId="0" fillId="0" borderId="0" xfId="0" applyNumberFormat="1"/>
    <xf numFmtId="0" fontId="13" fillId="5" borderId="9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3" fontId="14" fillId="4" borderId="5" xfId="0" applyNumberFormat="1" applyFont="1" applyFill="1" applyBorder="1" applyAlignment="1">
      <alignment horizontal="center" vertical="center" wrapText="1"/>
    </xf>
    <xf numFmtId="3" fontId="14" fillId="4" borderId="6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8" fontId="8" fillId="0" borderId="2" xfId="0" applyNumberFormat="1" applyFont="1" applyBorder="1" applyAlignment="1">
      <alignment horizontal="center" vertical="center"/>
    </xf>
    <xf numFmtId="8" fontId="8" fillId="0" borderId="18" xfId="0" applyNumberFormat="1" applyFont="1" applyBorder="1" applyAlignment="1">
      <alignment horizontal="center" vertical="center"/>
    </xf>
    <xf numFmtId="8" fontId="8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8" fontId="7" fillId="0" borderId="19" xfId="0" applyNumberFormat="1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8" fontId="3" fillId="0" borderId="19" xfId="0" applyNumberFormat="1" applyFont="1" applyBorder="1" applyAlignment="1">
      <alignment horizontal="center" vertical="center"/>
    </xf>
    <xf numFmtId="8" fontId="4" fillId="0" borderId="19" xfId="0" applyNumberFormat="1" applyFont="1" applyBorder="1" applyAlignment="1">
      <alignment horizontal="center" vertical="center"/>
    </xf>
    <xf numFmtId="8" fontId="7" fillId="0" borderId="7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7" xfId="0" applyBorder="1"/>
    <xf numFmtId="0" fontId="4" fillId="0" borderId="5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8" fontId="4" fillId="0" borderId="18" xfId="0" applyNumberFormat="1" applyFont="1" applyBorder="1" applyAlignment="1">
      <alignment horizontal="center" vertical="center"/>
    </xf>
    <xf numFmtId="8" fontId="3" fillId="0" borderId="5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8" fontId="3" fillId="0" borderId="19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8" fontId="7" fillId="2" borderId="10" xfId="0" applyNumberFormat="1" applyFont="1" applyFill="1" applyBorder="1" applyAlignment="1">
      <alignment horizontal="center" vertical="center"/>
    </xf>
    <xf numFmtId="8" fontId="8" fillId="2" borderId="1" xfId="0" applyNumberFormat="1" applyFont="1" applyFill="1" applyBorder="1" applyAlignment="1">
      <alignment horizontal="center" vertical="center"/>
    </xf>
    <xf numFmtId="8" fontId="8" fillId="2" borderId="10" xfId="0" applyNumberFormat="1" applyFont="1" applyFill="1" applyBorder="1" applyAlignment="1">
      <alignment horizontal="center" vertical="center"/>
    </xf>
    <xf numFmtId="8" fontId="8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8" fontId="6" fillId="0" borderId="2" xfId="0" applyNumberFormat="1" applyFont="1" applyBorder="1" applyAlignment="1">
      <alignment horizontal="center" vertical="center"/>
    </xf>
    <xf numFmtId="8" fontId="6" fillId="0" borderId="18" xfId="0" applyNumberFormat="1" applyFont="1" applyBorder="1" applyAlignment="1">
      <alignment horizontal="center" vertical="center"/>
    </xf>
    <xf numFmtId="8" fontId="6" fillId="0" borderId="7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8" fontId="5" fillId="0" borderId="19" xfId="0" applyNumberFormat="1" applyFont="1" applyBorder="1" applyAlignment="1">
      <alignment horizontal="center" vertical="center"/>
    </xf>
    <xf numFmtId="0" fontId="16" fillId="0" borderId="19" xfId="0" applyFont="1" applyBorder="1" applyAlignment="1">
      <alignment vertical="center"/>
    </xf>
    <xf numFmtId="0" fontId="4" fillId="0" borderId="0" xfId="0" applyFont="1"/>
    <xf numFmtId="0" fontId="10" fillId="0" borderId="0" xfId="0" applyFont="1"/>
    <xf numFmtId="0" fontId="10" fillId="0" borderId="19" xfId="0" applyFont="1" applyBorder="1" applyAlignment="1">
      <alignment vertical="center"/>
    </xf>
    <xf numFmtId="8" fontId="11" fillId="7" borderId="19" xfId="0" applyNumberFormat="1" applyFont="1" applyFill="1" applyBorder="1" applyAlignment="1">
      <alignment horizontal="center" vertical="center" wrapText="1"/>
    </xf>
    <xf numFmtId="8" fontId="11" fillId="7" borderId="2" xfId="0" applyNumberFormat="1" applyFont="1" applyFill="1" applyBorder="1" applyAlignment="1">
      <alignment horizontal="center" vertical="center" wrapText="1"/>
    </xf>
    <xf numFmtId="0" fontId="7" fillId="9" borderId="19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8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8" fontId="11" fillId="10" borderId="19" xfId="0" applyNumberFormat="1" applyFont="1" applyFill="1" applyBorder="1" applyAlignment="1">
      <alignment horizontal="center" vertical="center" wrapText="1"/>
    </xf>
    <xf numFmtId="8" fontId="11" fillId="11" borderId="19" xfId="0" applyNumberFormat="1" applyFont="1" applyFill="1" applyBorder="1" applyAlignment="1">
      <alignment horizontal="center" vertical="center" wrapText="1"/>
    </xf>
    <xf numFmtId="8" fontId="11" fillId="0" borderId="19" xfId="0" applyNumberFormat="1" applyFont="1" applyBorder="1" applyAlignment="1">
      <alignment horizontal="center" vertical="center" wrapText="1"/>
    </xf>
    <xf numFmtId="8" fontId="11" fillId="6" borderId="19" xfId="0" applyNumberFormat="1" applyFont="1" applyFill="1" applyBorder="1" applyAlignment="1">
      <alignment horizontal="center" vertical="center" wrapText="1"/>
    </xf>
    <xf numFmtId="8" fontId="11" fillId="6" borderId="5" xfId="0" applyNumberFormat="1" applyFont="1" applyFill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center" vertical="center"/>
    </xf>
    <xf numFmtId="9" fontId="8" fillId="0" borderId="7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vertical="center"/>
    </xf>
    <xf numFmtId="9" fontId="7" fillId="0" borderId="19" xfId="0" applyNumberFormat="1" applyFont="1" applyBorder="1" applyAlignment="1">
      <alignment horizontal="center" vertical="center"/>
    </xf>
    <xf numFmtId="44" fontId="4" fillId="0" borderId="0" xfId="2" applyFont="1"/>
    <xf numFmtId="44" fontId="4" fillId="0" borderId="0" xfId="2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4" fillId="0" borderId="19" xfId="0" applyFont="1" applyBorder="1"/>
    <xf numFmtId="8" fontId="7" fillId="2" borderId="19" xfId="0" applyNumberFormat="1" applyFont="1" applyFill="1" applyBorder="1" applyAlignment="1">
      <alignment horizontal="center" vertical="center"/>
    </xf>
    <xf numFmtId="0" fontId="3" fillId="0" borderId="19" xfId="0" applyFont="1" applyBorder="1"/>
    <xf numFmtId="44" fontId="3" fillId="0" borderId="19" xfId="2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4" fillId="0" borderId="18" xfId="0" applyNumberFormat="1" applyFont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/>
    </xf>
    <xf numFmtId="165" fontId="3" fillId="0" borderId="19" xfId="0" applyNumberFormat="1" applyFont="1" applyBorder="1" applyAlignment="1">
      <alignment horizontal="center" vertical="center"/>
    </xf>
    <xf numFmtId="44" fontId="3" fillId="0" borderId="19" xfId="2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/>
    </xf>
    <xf numFmtId="44" fontId="4" fillId="0" borderId="2" xfId="2" applyFont="1" applyBorder="1"/>
    <xf numFmtId="44" fontId="4" fillId="0" borderId="18" xfId="2" applyFont="1" applyBorder="1"/>
    <xf numFmtId="44" fontId="4" fillId="0" borderId="7" xfId="2" applyFont="1" applyBorder="1"/>
    <xf numFmtId="165" fontId="4" fillId="0" borderId="2" xfId="2" applyNumberFormat="1" applyFont="1" applyBorder="1"/>
    <xf numFmtId="165" fontId="4" fillId="0" borderId="18" xfId="2" applyNumberFormat="1" applyFont="1" applyBorder="1"/>
    <xf numFmtId="44" fontId="3" fillId="0" borderId="19" xfId="0" applyNumberFormat="1" applyFont="1" applyBorder="1"/>
    <xf numFmtId="165" fontId="4" fillId="0" borderId="7" xfId="2" applyNumberFormat="1" applyFont="1" applyBorder="1"/>
    <xf numFmtId="44" fontId="8" fillId="0" borderId="2" xfId="0" applyNumberFormat="1" applyFont="1" applyBorder="1" applyAlignment="1">
      <alignment horizontal="center" vertical="center"/>
    </xf>
    <xf numFmtId="44" fontId="8" fillId="0" borderId="18" xfId="0" applyNumberFormat="1" applyFont="1" applyBorder="1" applyAlignment="1">
      <alignment horizontal="center" vertical="center"/>
    </xf>
    <xf numFmtId="44" fontId="8" fillId="0" borderId="7" xfId="0" applyNumberFormat="1" applyFont="1" applyBorder="1" applyAlignment="1">
      <alignment horizontal="center" vertical="center"/>
    </xf>
    <xf numFmtId="44" fontId="7" fillId="0" borderId="19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right" vertical="center"/>
    </xf>
    <xf numFmtId="8" fontId="6" fillId="4" borderId="19" xfId="0" applyNumberFormat="1" applyFont="1" applyFill="1" applyBorder="1" applyAlignment="1">
      <alignment horizontal="center" vertical="center"/>
    </xf>
    <xf numFmtId="0" fontId="10" fillId="8" borderId="24" xfId="0" applyFont="1" applyFill="1" applyBorder="1" applyAlignment="1">
      <alignment horizontal="right" vertical="center"/>
    </xf>
    <xf numFmtId="0" fontId="11" fillId="10" borderId="19" xfId="0" applyFont="1" applyFill="1" applyBorder="1" applyAlignment="1">
      <alignment vertical="center" wrapText="1"/>
    </xf>
    <xf numFmtId="0" fontId="11" fillId="10" borderId="19" xfId="0" applyFont="1" applyFill="1" applyBorder="1" applyAlignment="1">
      <alignment horizontal="right" vertical="center"/>
    </xf>
    <xf numFmtId="164" fontId="6" fillId="0" borderId="24" xfId="0" applyNumberFormat="1" applyFont="1" applyBorder="1" applyAlignment="1">
      <alignment horizontal="center" vertical="center" wrapText="1"/>
    </xf>
    <xf numFmtId="0" fontId="11" fillId="11" borderId="19" xfId="0" applyFont="1" applyFill="1" applyBorder="1" applyAlignment="1">
      <alignment vertical="center" wrapText="1"/>
    </xf>
    <xf numFmtId="0" fontId="11" fillId="11" borderId="19" xfId="0" applyFont="1" applyFill="1" applyBorder="1" applyAlignment="1">
      <alignment horizontal="right" vertical="center"/>
    </xf>
    <xf numFmtId="0" fontId="11" fillId="0" borderId="19" xfId="0" applyFont="1" applyBorder="1" applyAlignment="1">
      <alignment vertical="center" wrapText="1"/>
    </xf>
    <xf numFmtId="0" fontId="11" fillId="6" borderId="19" xfId="0" applyFont="1" applyFill="1" applyBorder="1" applyAlignment="1">
      <alignment vertical="center" wrapText="1"/>
    </xf>
    <xf numFmtId="0" fontId="10" fillId="8" borderId="25" xfId="0" applyFont="1" applyFill="1" applyBorder="1" applyAlignment="1">
      <alignment vertical="center" wrapText="1"/>
    </xf>
    <xf numFmtId="0" fontId="10" fillId="8" borderId="25" xfId="0" applyFont="1" applyFill="1" applyBorder="1" applyAlignment="1">
      <alignment horizontal="right" vertical="center"/>
    </xf>
    <xf numFmtId="164" fontId="6" fillId="0" borderId="25" xfId="0" applyNumberFormat="1" applyFont="1" applyBorder="1" applyAlignment="1">
      <alignment horizontal="center" vertical="center" wrapText="1"/>
    </xf>
    <xf numFmtId="0" fontId="10" fillId="8" borderId="19" xfId="0" applyFont="1" applyFill="1" applyBorder="1" applyAlignment="1">
      <alignment vertical="center" wrapText="1"/>
    </xf>
    <xf numFmtId="164" fontId="5" fillId="0" borderId="19" xfId="0" applyNumberFormat="1" applyFont="1" applyBorder="1" applyAlignment="1">
      <alignment horizontal="center" vertical="center" wrapText="1"/>
    </xf>
    <xf numFmtId="164" fontId="6" fillId="0" borderId="19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0" fontId="11" fillId="8" borderId="19" xfId="0" applyFont="1" applyFill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8" fontId="10" fillId="0" borderId="18" xfId="0" applyNumberFormat="1" applyFont="1" applyBorder="1" applyAlignment="1">
      <alignment horizontal="center" vertical="center" wrapText="1"/>
    </xf>
    <xf numFmtId="0" fontId="10" fillId="0" borderId="19" xfId="0" applyFont="1" applyBorder="1" applyAlignment="1">
      <alignment wrapText="1"/>
    </xf>
    <xf numFmtId="8" fontId="10" fillId="0" borderId="7" xfId="0" applyNumberFormat="1" applyFont="1" applyBorder="1" applyAlignment="1">
      <alignment horizontal="center" vertical="center" wrapText="1"/>
    </xf>
    <xf numFmtId="0" fontId="10" fillId="0" borderId="19" xfId="0" applyFont="1" applyBorder="1"/>
    <xf numFmtId="164" fontId="6" fillId="0" borderId="26" xfId="0" applyNumberFormat="1" applyFont="1" applyBorder="1" applyAlignment="1">
      <alignment horizontal="center" vertical="center" wrapText="1"/>
    </xf>
    <xf numFmtId="8" fontId="6" fillId="0" borderId="19" xfId="0" applyNumberFormat="1" applyFont="1" applyBorder="1" applyAlignment="1">
      <alignment horizontal="center" vertical="center" wrapText="1"/>
    </xf>
    <xf numFmtId="8" fontId="10" fillId="0" borderId="19" xfId="0" applyNumberFormat="1" applyFont="1" applyBorder="1" applyAlignment="1">
      <alignment horizontal="center" vertical="center" wrapText="1"/>
    </xf>
    <xf numFmtId="164" fontId="6" fillId="0" borderId="18" xfId="0" applyNumberFormat="1" applyFont="1" applyBorder="1" applyAlignment="1">
      <alignment horizontal="center" vertical="center" wrapText="1"/>
    </xf>
    <xf numFmtId="0" fontId="6" fillId="4" borderId="19" xfId="0" applyFont="1" applyFill="1" applyBorder="1" applyAlignment="1">
      <alignment vertical="center" wrapText="1"/>
    </xf>
    <xf numFmtId="0" fontId="10" fillId="8" borderId="19" xfId="0" applyFont="1" applyFill="1" applyBorder="1" applyAlignment="1">
      <alignment horizontal="right" vertical="center"/>
    </xf>
    <xf numFmtId="164" fontId="10" fillId="8" borderId="19" xfId="0" applyNumberFormat="1" applyFont="1" applyFill="1" applyBorder="1" applyAlignment="1">
      <alignment horizontal="right" vertical="center"/>
    </xf>
    <xf numFmtId="164" fontId="10" fillId="8" borderId="19" xfId="2" applyNumberFormat="1" applyFont="1" applyFill="1" applyBorder="1" applyAlignment="1">
      <alignment horizontal="right" vertical="center"/>
    </xf>
    <xf numFmtId="8" fontId="6" fillId="0" borderId="19" xfId="0" applyNumberFormat="1" applyFont="1" applyBorder="1" applyAlignment="1">
      <alignment horizontal="center" vertical="center"/>
    </xf>
    <xf numFmtId="0" fontId="10" fillId="8" borderId="19" xfId="0" applyFont="1" applyFill="1" applyBorder="1" applyAlignment="1">
      <alignment horizontal="left" vertical="center" wrapText="1"/>
    </xf>
    <xf numFmtId="0" fontId="10" fillId="8" borderId="24" xfId="0" applyFont="1" applyFill="1" applyBorder="1" applyAlignment="1">
      <alignment horizontal="left" vertical="center" wrapText="1"/>
    </xf>
    <xf numFmtId="0" fontId="5" fillId="0" borderId="19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10" fontId="11" fillId="7" borderId="19" xfId="0" applyNumberFormat="1" applyFont="1" applyFill="1" applyBorder="1" applyAlignment="1">
      <alignment horizontal="center"/>
    </xf>
    <xf numFmtId="0" fontId="17" fillId="6" borderId="19" xfId="0" applyFont="1" applyFill="1" applyBorder="1" applyAlignment="1">
      <alignment horizontal="center" vertical="center"/>
    </xf>
    <xf numFmtId="0" fontId="17" fillId="0" borderId="19" xfId="0" applyFont="1" applyBorder="1" applyAlignment="1">
      <alignment vertical="center" wrapText="1"/>
    </xf>
    <xf numFmtId="8" fontId="18" fillId="0" borderId="19" xfId="0" applyNumberFormat="1" applyFont="1" applyBorder="1" applyAlignment="1">
      <alignment horizontal="center" vertical="center" wrapText="1"/>
    </xf>
    <xf numFmtId="10" fontId="11" fillId="0" borderId="0" xfId="0" applyNumberFormat="1" applyFont="1" applyAlignment="1">
      <alignment horizontal="center"/>
    </xf>
    <xf numFmtId="10" fontId="10" fillId="0" borderId="2" xfId="3" applyNumberFormat="1" applyFont="1" applyBorder="1"/>
    <xf numFmtId="10" fontId="10" fillId="0" borderId="0" xfId="0" applyNumberFormat="1" applyFont="1"/>
    <xf numFmtId="10" fontId="10" fillId="0" borderId="19" xfId="3" applyNumberFormat="1" applyFont="1" applyBorder="1"/>
    <xf numFmtId="10" fontId="11" fillId="0" borderId="19" xfId="0" applyNumberFormat="1" applyFont="1" applyBorder="1"/>
    <xf numFmtId="0" fontId="11" fillId="0" borderId="0" xfId="0" applyFont="1" applyAlignment="1">
      <alignment horizontal="center"/>
    </xf>
    <xf numFmtId="4" fontId="10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  <xf numFmtId="4" fontId="10" fillId="0" borderId="30" xfId="0" applyNumberFormat="1" applyFont="1" applyBorder="1" applyAlignment="1">
      <alignment horizontal="center"/>
    </xf>
    <xf numFmtId="4" fontId="10" fillId="0" borderId="0" xfId="0" applyNumberFormat="1" applyFont="1" applyAlignment="1">
      <alignment horizontal="center"/>
    </xf>
    <xf numFmtId="10" fontId="10" fillId="0" borderId="2" xfId="3" applyNumberFormat="1" applyFont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4" fontId="11" fillId="7" borderId="19" xfId="1" applyNumberFormat="1" applyFont="1" applyFill="1" applyBorder="1" applyAlignment="1">
      <alignment horizontal="center"/>
    </xf>
    <xf numFmtId="8" fontId="10" fillId="0" borderId="0" xfId="0" applyNumberFormat="1" applyFont="1"/>
    <xf numFmtId="2" fontId="10" fillId="0" borderId="19" xfId="1" applyNumberFormat="1" applyFont="1" applyBorder="1" applyAlignment="1">
      <alignment horizontal="center"/>
    </xf>
    <xf numFmtId="9" fontId="10" fillId="0" borderId="19" xfId="0" applyNumberFormat="1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167" fontId="7" fillId="2" borderId="19" xfId="0" applyNumberFormat="1" applyFont="1" applyFill="1" applyBorder="1" applyAlignment="1">
      <alignment horizontal="center" vertical="center"/>
    </xf>
    <xf numFmtId="0" fontId="0" fillId="0" borderId="19" xfId="0" applyBorder="1"/>
    <xf numFmtId="10" fontId="8" fillId="0" borderId="2" xfId="0" applyNumberFormat="1" applyFont="1" applyBorder="1" applyAlignment="1">
      <alignment horizontal="center" vertical="center"/>
    </xf>
    <xf numFmtId="10" fontId="8" fillId="0" borderId="7" xfId="0" applyNumberFormat="1" applyFont="1" applyBorder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4" fontId="19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4" fontId="11" fillId="0" borderId="0" xfId="1" applyNumberFormat="1" applyFont="1" applyFill="1" applyBorder="1" applyAlignment="1">
      <alignment horizontal="center"/>
    </xf>
    <xf numFmtId="0" fontId="11" fillId="12" borderId="19" xfId="0" applyFont="1" applyFill="1" applyBorder="1" applyAlignment="1">
      <alignment horizontal="center"/>
    </xf>
    <xf numFmtId="4" fontId="11" fillId="12" borderId="19" xfId="1" applyNumberFormat="1" applyFont="1" applyFill="1" applyBorder="1" applyAlignment="1">
      <alignment horizontal="center"/>
    </xf>
    <xf numFmtId="9" fontId="10" fillId="0" borderId="0" xfId="0" applyNumberFormat="1" applyFont="1"/>
    <xf numFmtId="10" fontId="0" fillId="0" borderId="0" xfId="0" applyNumberFormat="1"/>
    <xf numFmtId="43" fontId="0" fillId="0" borderId="0" xfId="1" applyFont="1" applyBorder="1"/>
    <xf numFmtId="10" fontId="0" fillId="0" borderId="19" xfId="0" applyNumberFormat="1" applyBorder="1" applyAlignment="1">
      <alignment horizontal="center" vertical="center"/>
    </xf>
    <xf numFmtId="10" fontId="11" fillId="12" borderId="19" xfId="0" applyNumberFormat="1" applyFont="1" applyFill="1" applyBorder="1" applyAlignment="1">
      <alignment horizontal="center"/>
    </xf>
    <xf numFmtId="0" fontId="3" fillId="12" borderId="19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8" fontId="4" fillId="0" borderId="30" xfId="1" applyNumberFormat="1" applyFont="1" applyBorder="1" applyAlignment="1">
      <alignment horizontal="center" vertical="center"/>
    </xf>
    <xf numFmtId="168" fontId="4" fillId="0" borderId="0" xfId="1" applyNumberFormat="1" applyFont="1" applyBorder="1" applyAlignment="1">
      <alignment horizontal="center" vertical="center"/>
    </xf>
    <xf numFmtId="43" fontId="3" fillId="2" borderId="19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8" fontId="4" fillId="0" borderId="32" xfId="1" applyNumberFormat="1" applyFont="1" applyBorder="1" applyAlignment="1">
      <alignment horizontal="center"/>
    </xf>
    <xf numFmtId="8" fontId="4" fillId="0" borderId="37" xfId="1" applyNumberFormat="1" applyFont="1" applyBorder="1" applyAlignment="1">
      <alignment horizontal="center"/>
    </xf>
    <xf numFmtId="8" fontId="4" fillId="0" borderId="35" xfId="1" applyNumberFormat="1" applyFont="1" applyBorder="1" applyAlignment="1">
      <alignment horizontal="center"/>
    </xf>
    <xf numFmtId="8" fontId="4" fillId="0" borderId="38" xfId="1" applyNumberFormat="1" applyFont="1" applyBorder="1" applyAlignment="1">
      <alignment horizontal="center"/>
    </xf>
    <xf numFmtId="169" fontId="3" fillId="7" borderId="19" xfId="1" applyNumberFormat="1" applyFont="1" applyFill="1" applyBorder="1"/>
    <xf numFmtId="0" fontId="11" fillId="2" borderId="19" xfId="0" applyFont="1" applyFill="1" applyBorder="1" applyAlignment="1">
      <alignment horizontal="center"/>
    </xf>
    <xf numFmtId="4" fontId="11" fillId="2" borderId="19" xfId="1" applyNumberFormat="1" applyFont="1" applyFill="1" applyBorder="1" applyAlignment="1">
      <alignment horizontal="center"/>
    </xf>
    <xf numFmtId="0" fontId="11" fillId="13" borderId="19" xfId="0" applyFont="1" applyFill="1" applyBorder="1" applyAlignment="1">
      <alignment horizontal="center"/>
    </xf>
    <xf numFmtId="0" fontId="11" fillId="0" borderId="19" xfId="0" applyFont="1" applyBorder="1"/>
    <xf numFmtId="8" fontId="13" fillId="4" borderId="19" xfId="0" applyNumberFormat="1" applyFont="1" applyFill="1" applyBorder="1" applyAlignment="1">
      <alignment horizontal="center" vertical="center"/>
    </xf>
    <xf numFmtId="3" fontId="13" fillId="4" borderId="5" xfId="0" applyNumberFormat="1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/>
    </xf>
    <xf numFmtId="8" fontId="0" fillId="7" borderId="19" xfId="0" applyNumberFormat="1" applyFill="1" applyBorder="1" applyAlignment="1">
      <alignment horizontal="center"/>
    </xf>
    <xf numFmtId="0" fontId="3" fillId="0" borderId="19" xfId="0" applyFont="1" applyBorder="1" applyAlignment="1">
      <alignment vertical="center"/>
    </xf>
    <xf numFmtId="4" fontId="4" fillId="0" borderId="19" xfId="0" applyNumberFormat="1" applyFont="1" applyBorder="1" applyAlignment="1">
      <alignment horizontal="center" vertical="center"/>
    </xf>
    <xf numFmtId="4" fontId="4" fillId="0" borderId="19" xfId="0" applyNumberFormat="1" applyFont="1" applyBorder="1" applyAlignment="1">
      <alignment horizontal="center"/>
    </xf>
    <xf numFmtId="10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0" fillId="0" borderId="10" xfId="0" applyBorder="1"/>
    <xf numFmtId="0" fontId="0" fillId="0" borderId="6" xfId="0" applyBorder="1"/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32" xfId="0" applyNumberFormat="1" applyBorder="1" applyAlignment="1">
      <alignment horizontal="center"/>
    </xf>
    <xf numFmtId="3" fontId="0" fillId="2" borderId="32" xfId="0" applyNumberFormat="1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1" fontId="0" fillId="2" borderId="32" xfId="0" applyNumberFormat="1" applyFill="1" applyBorder="1" applyAlignment="1">
      <alignment horizontal="center"/>
    </xf>
    <xf numFmtId="1" fontId="0" fillId="0" borderId="32" xfId="0" applyNumberFormat="1" applyFill="1" applyBorder="1" applyAlignment="1">
      <alignment horizontal="center"/>
    </xf>
    <xf numFmtId="3" fontId="13" fillId="2" borderId="5" xfId="0" applyNumberFormat="1" applyFont="1" applyFill="1" applyBorder="1" applyAlignment="1">
      <alignment horizontal="center" vertical="center" wrapText="1"/>
    </xf>
    <xf numFmtId="8" fontId="13" fillId="2" borderId="19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6" borderId="22" xfId="0" applyFont="1" applyFill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22" xfId="0" applyFont="1" applyFill="1" applyBorder="1" applyAlignment="1">
      <alignment horizontal="center" vertical="center"/>
    </xf>
    <xf numFmtId="0" fontId="11" fillId="6" borderId="23" xfId="0" applyFont="1" applyFill="1" applyBorder="1" applyAlignment="1">
      <alignment horizontal="center" vertical="center"/>
    </xf>
    <xf numFmtId="0" fontId="17" fillId="6" borderId="22" xfId="0" applyFont="1" applyFill="1" applyBorder="1" applyAlignment="1">
      <alignment horizontal="center" vertical="center" wrapText="1"/>
    </xf>
    <xf numFmtId="0" fontId="17" fillId="6" borderId="23" xfId="0" applyFont="1" applyFill="1" applyBorder="1" applyAlignment="1">
      <alignment horizontal="center" vertical="center" wrapText="1"/>
    </xf>
    <xf numFmtId="0" fontId="17" fillId="6" borderId="27" xfId="0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0" fillId="0" borderId="8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7" borderId="8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 wrapText="1"/>
    </xf>
    <xf numFmtId="0" fontId="17" fillId="6" borderId="12" xfId="0" applyFont="1" applyFill="1" applyBorder="1" applyAlignment="1">
      <alignment horizontal="center" vertical="center" wrapText="1"/>
    </xf>
    <xf numFmtId="0" fontId="17" fillId="6" borderId="2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9" fontId="0" fillId="0" borderId="0" xfId="0" applyNumberFormat="1"/>
    <xf numFmtId="0" fontId="8" fillId="0" borderId="13" xfId="0" applyFont="1" applyBorder="1" applyAlignment="1">
      <alignment horizontal="center" vertical="center"/>
    </xf>
    <xf numFmtId="8" fontId="8" fillId="0" borderId="12" xfId="0" applyNumberFormat="1" applyFont="1" applyBorder="1" applyAlignment="1">
      <alignment horizontal="center" vertical="center"/>
    </xf>
    <xf numFmtId="8" fontId="8" fillId="0" borderId="9" xfId="0" applyNumberFormat="1" applyFont="1" applyBorder="1" applyAlignment="1">
      <alignment horizontal="center" vertical="center"/>
    </xf>
    <xf numFmtId="8" fontId="4" fillId="0" borderId="9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8" fontId="8" fillId="0" borderId="39" xfId="0" applyNumberFormat="1" applyFont="1" applyBorder="1" applyAlignment="1">
      <alignment horizontal="center" vertical="center"/>
    </xf>
    <xf numFmtId="8" fontId="8" fillId="0" borderId="40" xfId="0" applyNumberFormat="1" applyFont="1" applyBorder="1" applyAlignment="1">
      <alignment horizontal="center" vertical="center"/>
    </xf>
    <xf numFmtId="8" fontId="3" fillId="0" borderId="32" xfId="0" applyNumberFormat="1" applyFont="1" applyBorder="1" applyAlignment="1">
      <alignment horizontal="center" vertical="center"/>
    </xf>
    <xf numFmtId="164" fontId="0" fillId="0" borderId="18" xfId="2" applyNumberFormat="1" applyFont="1" applyBorder="1" applyAlignment="1">
      <alignment horizontal="center" vertical="center"/>
    </xf>
    <xf numFmtId="164" fontId="0" fillId="0" borderId="7" xfId="2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6" fontId="4" fillId="0" borderId="13" xfId="0" applyNumberFormat="1" applyFont="1" applyBorder="1" applyAlignment="1">
      <alignment horizontal="center" vertical="center" wrapText="1"/>
    </xf>
    <xf numFmtId="6" fontId="4" fillId="0" borderId="20" xfId="0" applyNumberFormat="1" applyFont="1" applyBorder="1" applyAlignment="1">
      <alignment horizontal="center" vertical="center" wrapText="1"/>
    </xf>
    <xf numFmtId="6" fontId="4" fillId="0" borderId="21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6" fontId="4" fillId="0" borderId="12" xfId="0" applyNumberFormat="1" applyFont="1" applyBorder="1" applyAlignment="1">
      <alignment horizontal="center" vertical="center" wrapText="1"/>
    </xf>
    <xf numFmtId="6" fontId="4" fillId="0" borderId="9" xfId="0" applyNumberFormat="1" applyFont="1" applyBorder="1" applyAlignment="1">
      <alignment horizontal="center" vertical="center" wrapText="1"/>
    </xf>
    <xf numFmtId="6" fontId="4" fillId="0" borderId="6" xfId="0" applyNumberFormat="1" applyFont="1" applyBorder="1" applyAlignment="1">
      <alignment horizontal="center" vertical="center" wrapText="1"/>
    </xf>
    <xf numFmtId="8" fontId="3" fillId="0" borderId="5" xfId="0" applyNumberFormat="1" applyFont="1" applyBorder="1" applyAlignment="1">
      <alignment horizontal="center" vertical="center" wrapText="1"/>
    </xf>
    <xf numFmtId="0" fontId="0" fillId="0" borderId="32" xfId="0" applyBorder="1"/>
    <xf numFmtId="6" fontId="0" fillId="0" borderId="2" xfId="0" applyNumberFormat="1" applyBorder="1" applyAlignment="1">
      <alignment horizontal="center"/>
    </xf>
    <xf numFmtId="6" fontId="0" fillId="0" borderId="18" xfId="0" applyNumberFormat="1" applyBorder="1" applyAlignment="1">
      <alignment horizontal="center"/>
    </xf>
    <xf numFmtId="6" fontId="0" fillId="0" borderId="7" xfId="0" applyNumberFormat="1" applyBorder="1" applyAlignment="1">
      <alignment horizontal="center"/>
    </xf>
    <xf numFmtId="6" fontId="0" fillId="0" borderId="19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8" fontId="0" fillId="0" borderId="18" xfId="0" applyNumberFormat="1" applyBorder="1"/>
    <xf numFmtId="0" fontId="0" fillId="0" borderId="7" xfId="0" applyBorder="1" applyAlignment="1">
      <alignment horizontal="center" wrapText="1"/>
    </xf>
    <xf numFmtId="8" fontId="3" fillId="0" borderId="19" xfId="0" applyNumberFormat="1" applyFont="1" applyBorder="1"/>
    <xf numFmtId="0" fontId="4" fillId="0" borderId="21" xfId="0" applyFont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 wrapText="1"/>
    </xf>
    <xf numFmtId="8" fontId="3" fillId="0" borderId="6" xfId="0" applyNumberFormat="1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44" fontId="4" fillId="0" borderId="2" xfId="2" applyNumberFormat="1" applyFont="1" applyBorder="1" applyAlignment="1">
      <alignment horizontal="center" vertical="center"/>
    </xf>
    <xf numFmtId="44" fontId="4" fillId="0" borderId="18" xfId="2" applyNumberFormat="1" applyFont="1" applyBorder="1"/>
    <xf numFmtId="44" fontId="4" fillId="0" borderId="7" xfId="2" applyNumberFormat="1" applyFont="1" applyBorder="1"/>
    <xf numFmtId="8" fontId="4" fillId="0" borderId="0" xfId="0" applyNumberFormat="1" applyFont="1"/>
    <xf numFmtId="44" fontId="0" fillId="0" borderId="0" xfId="2" applyFont="1"/>
    <xf numFmtId="8" fontId="5" fillId="2" borderId="6" xfId="0" applyNumberFormat="1" applyFont="1" applyFill="1" applyBorder="1" applyAlignment="1">
      <alignment horizontal="center" vertical="center"/>
    </xf>
    <xf numFmtId="44" fontId="11" fillId="0" borderId="19" xfId="0" applyNumberFormat="1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/>
    </xf>
    <xf numFmtId="0" fontId="21" fillId="0" borderId="32" xfId="0" applyFont="1" applyBorder="1" applyAlignment="1">
      <alignment horizontal="center" vertical="top"/>
    </xf>
    <xf numFmtId="44" fontId="21" fillId="0" borderId="32" xfId="2" applyFont="1" applyBorder="1" applyAlignment="1">
      <alignment horizontal="center" vertical="top"/>
    </xf>
    <xf numFmtId="0" fontId="21" fillId="0" borderId="32" xfId="0" applyFont="1" applyBorder="1"/>
    <xf numFmtId="44" fontId="21" fillId="0" borderId="32" xfId="2" applyFont="1" applyBorder="1"/>
    <xf numFmtId="0" fontId="0" fillId="0" borderId="32" xfId="0" applyFont="1" applyBorder="1"/>
    <xf numFmtId="44" fontId="1" fillId="0" borderId="32" xfId="2" applyFont="1" applyBorder="1"/>
    <xf numFmtId="44" fontId="0" fillId="0" borderId="32" xfId="2" applyFont="1" applyBorder="1"/>
    <xf numFmtId="0" fontId="0" fillId="0" borderId="40" xfId="0" applyFill="1" applyBorder="1"/>
    <xf numFmtId="44" fontId="1" fillId="0" borderId="0" xfId="2" applyFont="1"/>
    <xf numFmtId="0" fontId="21" fillId="0" borderId="32" xfId="0" applyFont="1" applyFill="1" applyBorder="1"/>
    <xf numFmtId="9" fontId="21" fillId="0" borderId="32" xfId="0" applyNumberFormat="1" applyFont="1" applyBorder="1"/>
    <xf numFmtId="0" fontId="3" fillId="14" borderId="10" xfId="0" applyFont="1" applyFill="1" applyBorder="1" applyAlignment="1">
      <alignment horizontal="center" vertical="center"/>
    </xf>
    <xf numFmtId="44" fontId="4" fillId="0" borderId="0" xfId="2" applyFont="1" applyFill="1" applyBorder="1"/>
    <xf numFmtId="10" fontId="4" fillId="0" borderId="0" xfId="0" applyNumberFormat="1" applyFont="1" applyAlignment="1">
      <alignment vertical="center"/>
    </xf>
    <xf numFmtId="44" fontId="3" fillId="0" borderId="10" xfId="2" applyFont="1" applyFill="1" applyBorder="1" applyAlignment="1">
      <alignment horizontal="center"/>
    </xf>
    <xf numFmtId="0" fontId="4" fillId="0" borderId="1" xfId="0" applyFont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/>
              <a:t>Relación B/C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INGRESOS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'BENEFICIO - COSTO'!$D$8:$D$12</c:f>
              <c:numCache>
                <c:formatCode>"$"#,##0.00_);[Red]\("$"#,##0.00\)</c:formatCode>
                <c:ptCount val="5"/>
                <c:pt idx="0">
                  <c:v>143685</c:v>
                </c:pt>
                <c:pt idx="1">
                  <c:v>147995.54999999999</c:v>
                </c:pt>
                <c:pt idx="2">
                  <c:v>152435.41649999999</c:v>
                </c:pt>
                <c:pt idx="3">
                  <c:v>157008.47899500001</c:v>
                </c:pt>
                <c:pt idx="4">
                  <c:v>161718.73336485002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A94-474B-BE62-54F8AB79FBCD}"/>
            </c:ext>
          </c:extLst>
        </c:ser>
        <c:ser>
          <c:idx val="1"/>
          <c:order val="1"/>
          <c:tx>
            <c:v>EGRESOS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'BENEFICIO - COSTO'!$E$8:$E$12</c:f>
              <c:numCache>
                <c:formatCode>"$"#,##0.00_);[Red]\("$"#,##0.00\)</c:formatCode>
                <c:ptCount val="5"/>
                <c:pt idx="0">
                  <c:v>41980</c:v>
                </c:pt>
                <c:pt idx="1">
                  <c:v>42819.6</c:v>
                </c:pt>
                <c:pt idx="2">
                  <c:v>43675.991999999998</c:v>
                </c:pt>
                <c:pt idx="3">
                  <c:v>44549.511840000006</c:v>
                </c:pt>
                <c:pt idx="4">
                  <c:v>45440.50207680001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A94-474B-BE62-54F8AB79FB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16219184"/>
        <c:axId val="416219968"/>
        <c:axId val="0"/>
      </c:bar3DChart>
      <c:catAx>
        <c:axId val="41621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C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C"/>
          </a:p>
        </c:txPr>
        <c:crossAx val="416219968"/>
        <c:crosses val="autoZero"/>
        <c:auto val="1"/>
        <c:lblAlgn val="ctr"/>
        <c:lblOffset val="100"/>
        <c:noMultiLvlLbl val="0"/>
      </c:catAx>
      <c:valAx>
        <c:axId val="416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C"/>
          </a:p>
        </c:txPr>
        <c:crossAx val="41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C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Punto de Equilibrio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'PUNTO DE EQUILIBRIO'!$F$4</c:f>
              <c:strCache>
                <c:ptCount val="1"/>
                <c:pt idx="0">
                  <c:v>Costos Totales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'PUNTO DE EQUILIBRIO'!$E$5:$E$18</c:f>
              <c:numCache>
                <c:formatCode>General</c:formatCode>
                <c:ptCount val="14"/>
                <c:pt idx="0">
                  <c:v>0</c:v>
                </c:pt>
                <c:pt idx="1">
                  <c:v>36</c:v>
                </c:pt>
                <c:pt idx="2">
                  <c:v>136</c:v>
                </c:pt>
                <c:pt idx="3">
                  <c:v>236</c:v>
                </c:pt>
                <c:pt idx="4">
                  <c:v>336</c:v>
                </c:pt>
                <c:pt idx="5">
                  <c:v>436</c:v>
                </c:pt>
                <c:pt idx="6">
                  <c:v>536</c:v>
                </c:pt>
                <c:pt idx="7">
                  <c:v>636</c:v>
                </c:pt>
                <c:pt idx="8">
                  <c:v>736</c:v>
                </c:pt>
                <c:pt idx="9">
                  <c:v>836</c:v>
                </c:pt>
                <c:pt idx="10">
                  <c:v>936</c:v>
                </c:pt>
                <c:pt idx="11" formatCode="#,##0">
                  <c:v>991.7175121584753</c:v>
                </c:pt>
                <c:pt idx="12">
                  <c:v>1136</c:v>
                </c:pt>
                <c:pt idx="13">
                  <c:v>1236</c:v>
                </c:pt>
              </c:numCache>
            </c:numRef>
          </c:xVal>
          <c:yVal>
            <c:numRef>
              <c:f>'PUNTO DE EQUILIBRIO'!$F$5:$F$18</c:f>
              <c:numCache>
                <c:formatCode>0.00</c:formatCode>
                <c:ptCount val="14"/>
                <c:pt idx="0">
                  <c:v>32556.5</c:v>
                </c:pt>
                <c:pt idx="1">
                  <c:v>32994.67757009346</c:v>
                </c:pt>
                <c:pt idx="2">
                  <c:v>34211.837487019729</c:v>
                </c:pt>
                <c:pt idx="3">
                  <c:v>35428.997403945999</c:v>
                </c:pt>
                <c:pt idx="4">
                  <c:v>36646.157320872277</c:v>
                </c:pt>
                <c:pt idx="5">
                  <c:v>37863.317237798547</c:v>
                </c:pt>
                <c:pt idx="6">
                  <c:v>39080.477154724817</c:v>
                </c:pt>
                <c:pt idx="7">
                  <c:v>40297.637071651086</c:v>
                </c:pt>
                <c:pt idx="8">
                  <c:v>41514.796988577364</c:v>
                </c:pt>
                <c:pt idx="9">
                  <c:v>42731.956905503634</c:v>
                </c:pt>
                <c:pt idx="10">
                  <c:v>43949.116822429904</c:v>
                </c:pt>
                <c:pt idx="11">
                  <c:v>44627.288047131391</c:v>
                </c:pt>
                <c:pt idx="12">
                  <c:v>46383.436656282451</c:v>
                </c:pt>
                <c:pt idx="13">
                  <c:v>47600.596573208721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F43-466C-9782-4BB1C381368D}"/>
            </c:ext>
          </c:extLst>
        </c:ser>
        <c:ser>
          <c:idx val="1"/>
          <c:order val="1"/>
          <c:tx>
            <c:strRef>
              <c:f>'PUNTO DE EQUILIBRIO'!$G$4</c:f>
              <c:strCache>
                <c:ptCount val="1"/>
                <c:pt idx="0">
                  <c:v>Ingresos por Ventas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'PUNTO DE EQUILIBRIO'!$E$5:$E$18</c:f>
              <c:numCache>
                <c:formatCode>General</c:formatCode>
                <c:ptCount val="14"/>
                <c:pt idx="0">
                  <c:v>0</c:v>
                </c:pt>
                <c:pt idx="1">
                  <c:v>36</c:v>
                </c:pt>
                <c:pt idx="2">
                  <c:v>136</c:v>
                </c:pt>
                <c:pt idx="3">
                  <c:v>236</c:v>
                </c:pt>
                <c:pt idx="4">
                  <c:v>336</c:v>
                </c:pt>
                <c:pt idx="5">
                  <c:v>436</c:v>
                </c:pt>
                <c:pt idx="6">
                  <c:v>536</c:v>
                </c:pt>
                <c:pt idx="7">
                  <c:v>636</c:v>
                </c:pt>
                <c:pt idx="8">
                  <c:v>736</c:v>
                </c:pt>
                <c:pt idx="9">
                  <c:v>836</c:v>
                </c:pt>
                <c:pt idx="10">
                  <c:v>936</c:v>
                </c:pt>
                <c:pt idx="11" formatCode="#,##0">
                  <c:v>991.7175121584753</c:v>
                </c:pt>
                <c:pt idx="12">
                  <c:v>1136</c:v>
                </c:pt>
                <c:pt idx="13">
                  <c:v>1236</c:v>
                </c:pt>
              </c:numCache>
            </c:numRef>
          </c:xVal>
          <c:yVal>
            <c:numRef>
              <c:f>'PUNTO DE EQUILIBRIO'!$G$5:$G$18</c:f>
              <c:numCache>
                <c:formatCode>General</c:formatCode>
                <c:ptCount val="14"/>
                <c:pt idx="0">
                  <c:v>0</c:v>
                </c:pt>
                <c:pt idx="1">
                  <c:v>1620</c:v>
                </c:pt>
                <c:pt idx="2">
                  <c:v>6120</c:v>
                </c:pt>
                <c:pt idx="3">
                  <c:v>10620</c:v>
                </c:pt>
                <c:pt idx="4">
                  <c:v>15120</c:v>
                </c:pt>
                <c:pt idx="5">
                  <c:v>19620</c:v>
                </c:pt>
                <c:pt idx="6">
                  <c:v>24120</c:v>
                </c:pt>
                <c:pt idx="7">
                  <c:v>28620</c:v>
                </c:pt>
                <c:pt idx="8">
                  <c:v>33120</c:v>
                </c:pt>
                <c:pt idx="9">
                  <c:v>37620</c:v>
                </c:pt>
                <c:pt idx="10">
                  <c:v>42120</c:v>
                </c:pt>
                <c:pt idx="11" formatCode="0">
                  <c:v>44627.288047131391</c:v>
                </c:pt>
                <c:pt idx="12">
                  <c:v>51120</c:v>
                </c:pt>
                <c:pt idx="13">
                  <c:v>55620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F43-466C-9782-4BB1C3813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01232"/>
        <c:axId val="441100448"/>
      </c:scatterChart>
      <c:valAx>
        <c:axId val="44110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Costos Totales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1100448"/>
        <c:crosses val="autoZero"/>
        <c:crossBetween val="midCat"/>
      </c:valAx>
      <c:valAx>
        <c:axId val="4411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Ingresos</a:t>
                </a:r>
                <a:r>
                  <a:rPr lang="es-EC" baseline="0"/>
                  <a:t> por Ventas</a:t>
                </a: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110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Punto de Equilibrio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'PUNTO DE EQUILIBRIO'!$F$29</c:f>
              <c:strCache>
                <c:ptCount val="1"/>
                <c:pt idx="0">
                  <c:v>Costos Totales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'PUNTO DE EQUILIBRIO'!$E$30:$E$51</c:f>
              <c:numCache>
                <c:formatCode>General</c:formatCode>
                <c:ptCount val="22"/>
                <c:pt idx="0">
                  <c:v>0</c:v>
                </c:pt>
                <c:pt idx="1">
                  <c:v>21</c:v>
                </c:pt>
                <c:pt idx="2">
                  <c:v>121</c:v>
                </c:pt>
                <c:pt idx="3">
                  <c:v>221</c:v>
                </c:pt>
                <c:pt idx="4">
                  <c:v>321</c:v>
                </c:pt>
                <c:pt idx="5">
                  <c:v>421</c:v>
                </c:pt>
                <c:pt idx="6">
                  <c:v>521</c:v>
                </c:pt>
                <c:pt idx="7">
                  <c:v>621</c:v>
                </c:pt>
                <c:pt idx="8">
                  <c:v>721</c:v>
                </c:pt>
                <c:pt idx="9">
                  <c:v>821</c:v>
                </c:pt>
                <c:pt idx="10">
                  <c:v>921</c:v>
                </c:pt>
                <c:pt idx="11">
                  <c:v>1021</c:v>
                </c:pt>
                <c:pt idx="12">
                  <c:v>1121</c:v>
                </c:pt>
                <c:pt idx="13">
                  <c:v>1221</c:v>
                </c:pt>
                <c:pt idx="14" formatCode="#,##0">
                  <c:v>1228.6569513738923</c:v>
                </c:pt>
                <c:pt idx="15">
                  <c:v>1421</c:v>
                </c:pt>
                <c:pt idx="16">
                  <c:v>1521</c:v>
                </c:pt>
                <c:pt idx="17">
                  <c:v>1621</c:v>
                </c:pt>
                <c:pt idx="18">
                  <c:v>1721</c:v>
                </c:pt>
                <c:pt idx="19">
                  <c:v>1821</c:v>
                </c:pt>
                <c:pt idx="20">
                  <c:v>1921</c:v>
                </c:pt>
                <c:pt idx="21">
                  <c:v>2021</c:v>
                </c:pt>
              </c:numCache>
            </c:numRef>
          </c:xVal>
          <c:yVal>
            <c:numRef>
              <c:f>'PUNTO DE EQUILIBRIO'!$F$30:$F$51</c:f>
              <c:numCache>
                <c:formatCode>0.00</c:formatCode>
                <c:ptCount val="22"/>
                <c:pt idx="0">
                  <c:v>32556.5</c:v>
                </c:pt>
                <c:pt idx="1">
                  <c:v>32945.049723756907</c:v>
                </c:pt>
                <c:pt idx="2">
                  <c:v>34795.286503551695</c:v>
                </c:pt>
                <c:pt idx="3">
                  <c:v>36645.523283346491</c:v>
                </c:pt>
                <c:pt idx="4">
                  <c:v>38495.760063141279</c:v>
                </c:pt>
                <c:pt idx="5">
                  <c:v>40345.996842936067</c:v>
                </c:pt>
                <c:pt idx="6">
                  <c:v>42196.233622730862</c:v>
                </c:pt>
                <c:pt idx="7">
                  <c:v>44046.470402525651</c:v>
                </c:pt>
                <c:pt idx="8">
                  <c:v>45896.707182320446</c:v>
                </c:pt>
                <c:pt idx="9">
                  <c:v>47746.943962115234</c:v>
                </c:pt>
                <c:pt idx="10">
                  <c:v>49597.180741910022</c:v>
                </c:pt>
                <c:pt idx="11">
                  <c:v>51447.417521704818</c:v>
                </c:pt>
                <c:pt idx="12">
                  <c:v>53297.654301499606</c:v>
                </c:pt>
                <c:pt idx="13">
                  <c:v>55147.891081294394</c:v>
                </c:pt>
                <c:pt idx="14">
                  <c:v>55289.562811825155</c:v>
                </c:pt>
                <c:pt idx="15">
                  <c:v>58848.364640883978</c:v>
                </c:pt>
                <c:pt idx="16">
                  <c:v>60698.601420678766</c:v>
                </c:pt>
                <c:pt idx="17">
                  <c:v>62548.838200473561</c:v>
                </c:pt>
                <c:pt idx="18">
                  <c:v>64399.074980268349</c:v>
                </c:pt>
                <c:pt idx="19">
                  <c:v>66249.311760063138</c:v>
                </c:pt>
                <c:pt idx="20">
                  <c:v>68099.548539857933</c:v>
                </c:pt>
                <c:pt idx="21">
                  <c:v>69949.785319652729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FF3-4E89-85A2-81438BFA910B}"/>
            </c:ext>
          </c:extLst>
        </c:ser>
        <c:ser>
          <c:idx val="1"/>
          <c:order val="1"/>
          <c:tx>
            <c:strRef>
              <c:f>'PUNTO DE EQUILIBRIO'!$G$29</c:f>
              <c:strCache>
                <c:ptCount val="1"/>
                <c:pt idx="0">
                  <c:v>Ingresos por Ventas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'PUNTO DE EQUILIBRIO'!$E$30:$E$51</c:f>
              <c:numCache>
                <c:formatCode>General</c:formatCode>
                <c:ptCount val="22"/>
                <c:pt idx="0">
                  <c:v>0</c:v>
                </c:pt>
                <c:pt idx="1">
                  <c:v>21</c:v>
                </c:pt>
                <c:pt idx="2">
                  <c:v>121</c:v>
                </c:pt>
                <c:pt idx="3">
                  <c:v>221</c:v>
                </c:pt>
                <c:pt idx="4">
                  <c:v>321</c:v>
                </c:pt>
                <c:pt idx="5">
                  <c:v>421</c:v>
                </c:pt>
                <c:pt idx="6">
                  <c:v>521</c:v>
                </c:pt>
                <c:pt idx="7">
                  <c:v>621</c:v>
                </c:pt>
                <c:pt idx="8">
                  <c:v>721</c:v>
                </c:pt>
                <c:pt idx="9">
                  <c:v>821</c:v>
                </c:pt>
                <c:pt idx="10">
                  <c:v>921</c:v>
                </c:pt>
                <c:pt idx="11">
                  <c:v>1021</c:v>
                </c:pt>
                <c:pt idx="12">
                  <c:v>1121</c:v>
                </c:pt>
                <c:pt idx="13">
                  <c:v>1221</c:v>
                </c:pt>
                <c:pt idx="14" formatCode="#,##0">
                  <c:v>1228.6569513738923</c:v>
                </c:pt>
                <c:pt idx="15">
                  <c:v>1421</c:v>
                </c:pt>
                <c:pt idx="16">
                  <c:v>1521</c:v>
                </c:pt>
                <c:pt idx="17">
                  <c:v>1621</c:v>
                </c:pt>
                <c:pt idx="18">
                  <c:v>1721</c:v>
                </c:pt>
                <c:pt idx="19">
                  <c:v>1821</c:v>
                </c:pt>
                <c:pt idx="20">
                  <c:v>1921</c:v>
                </c:pt>
                <c:pt idx="21">
                  <c:v>2021</c:v>
                </c:pt>
              </c:numCache>
            </c:numRef>
          </c:xVal>
          <c:yVal>
            <c:numRef>
              <c:f>'PUNTO DE EQUILIBRIO'!$G$30:$G$51</c:f>
              <c:numCache>
                <c:formatCode>General</c:formatCode>
                <c:ptCount val="22"/>
                <c:pt idx="0">
                  <c:v>0</c:v>
                </c:pt>
                <c:pt idx="1">
                  <c:v>945</c:v>
                </c:pt>
                <c:pt idx="2">
                  <c:v>5445</c:v>
                </c:pt>
                <c:pt idx="3">
                  <c:v>9945</c:v>
                </c:pt>
                <c:pt idx="4">
                  <c:v>14445</c:v>
                </c:pt>
                <c:pt idx="5">
                  <c:v>18945</c:v>
                </c:pt>
                <c:pt idx="6">
                  <c:v>23445</c:v>
                </c:pt>
                <c:pt idx="7">
                  <c:v>27945</c:v>
                </c:pt>
                <c:pt idx="8">
                  <c:v>32445</c:v>
                </c:pt>
                <c:pt idx="9">
                  <c:v>36945</c:v>
                </c:pt>
                <c:pt idx="10">
                  <c:v>41445</c:v>
                </c:pt>
                <c:pt idx="11" formatCode="0">
                  <c:v>45945</c:v>
                </c:pt>
                <c:pt idx="12">
                  <c:v>50445</c:v>
                </c:pt>
                <c:pt idx="13">
                  <c:v>54945</c:v>
                </c:pt>
                <c:pt idx="14" formatCode="0">
                  <c:v>55289.562811825155</c:v>
                </c:pt>
                <c:pt idx="15">
                  <c:v>63945</c:v>
                </c:pt>
                <c:pt idx="16">
                  <c:v>68445</c:v>
                </c:pt>
                <c:pt idx="17">
                  <c:v>72945</c:v>
                </c:pt>
                <c:pt idx="18">
                  <c:v>77445</c:v>
                </c:pt>
                <c:pt idx="19">
                  <c:v>81945</c:v>
                </c:pt>
                <c:pt idx="20">
                  <c:v>86445</c:v>
                </c:pt>
                <c:pt idx="21">
                  <c:v>90945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FF3-4E89-85A2-81438BFA9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02016"/>
        <c:axId val="441105544"/>
      </c:scatterChart>
      <c:valAx>
        <c:axId val="4411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Costos Totales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1105544"/>
        <c:crosses val="autoZero"/>
        <c:crossBetween val="midCat"/>
      </c:valAx>
      <c:valAx>
        <c:axId val="44110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Ingresos</a:t>
                </a:r>
                <a:r>
                  <a:rPr lang="es-EC" baseline="0"/>
                  <a:t> por Ventas</a:t>
                </a: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110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Punto</a:t>
            </a:r>
            <a:r>
              <a:rPr lang="es-EC" baseline="0"/>
              <a:t> de Equilibrio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'PUNTO DE EQUILIBRIO'!$F$53</c:f>
              <c:strCache>
                <c:ptCount val="1"/>
                <c:pt idx="0">
                  <c:v>Costos Totales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'PUNTO DE EQUILIBRIO'!$E$54:$E$75</c:f>
              <c:numCache>
                <c:formatCode>General</c:formatCode>
                <c:ptCount val="22"/>
                <c:pt idx="0">
                  <c:v>0</c:v>
                </c:pt>
                <c:pt idx="1">
                  <c:v>267</c:v>
                </c:pt>
                <c:pt idx="2">
                  <c:v>467</c:v>
                </c:pt>
                <c:pt idx="3">
                  <c:v>667</c:v>
                </c:pt>
                <c:pt idx="4">
                  <c:v>867</c:v>
                </c:pt>
                <c:pt idx="5">
                  <c:v>1067</c:v>
                </c:pt>
                <c:pt idx="6">
                  <c:v>1267</c:v>
                </c:pt>
                <c:pt idx="7">
                  <c:v>1467</c:v>
                </c:pt>
                <c:pt idx="8">
                  <c:v>1667</c:v>
                </c:pt>
                <c:pt idx="9">
                  <c:v>1867</c:v>
                </c:pt>
                <c:pt idx="10">
                  <c:v>2067</c:v>
                </c:pt>
                <c:pt idx="11" formatCode="#,##0">
                  <c:v>2147.7872830578513</c:v>
                </c:pt>
                <c:pt idx="12">
                  <c:v>2467</c:v>
                </c:pt>
                <c:pt idx="13">
                  <c:v>2667</c:v>
                </c:pt>
                <c:pt idx="14">
                  <c:v>2867</c:v>
                </c:pt>
                <c:pt idx="15">
                  <c:v>3067</c:v>
                </c:pt>
                <c:pt idx="16">
                  <c:v>3267</c:v>
                </c:pt>
                <c:pt idx="17">
                  <c:v>3467</c:v>
                </c:pt>
                <c:pt idx="18">
                  <c:v>3667</c:v>
                </c:pt>
                <c:pt idx="19">
                  <c:v>3867</c:v>
                </c:pt>
                <c:pt idx="20">
                  <c:v>4067</c:v>
                </c:pt>
                <c:pt idx="21">
                  <c:v>4267</c:v>
                </c:pt>
              </c:numCache>
            </c:numRef>
          </c:xVal>
          <c:yVal>
            <c:numRef>
              <c:f>'PUNTO DE EQUILIBRIO'!$F$54:$F$75</c:f>
              <c:numCache>
                <c:formatCode>0.00</c:formatCode>
                <c:ptCount val="22"/>
                <c:pt idx="0">
                  <c:v>65113</c:v>
                </c:pt>
                <c:pt idx="1">
                  <c:v>69033.543376135291</c:v>
                </c:pt>
                <c:pt idx="2">
                  <c:v>71970.27998747259</c:v>
                </c:pt>
                <c:pt idx="3">
                  <c:v>74907.016598809889</c:v>
                </c:pt>
                <c:pt idx="4">
                  <c:v>77843.753210147202</c:v>
                </c:pt>
                <c:pt idx="5">
                  <c:v>80780.489821484502</c:v>
                </c:pt>
                <c:pt idx="6">
                  <c:v>83717.226432821801</c:v>
                </c:pt>
                <c:pt idx="7">
                  <c:v>86653.9630441591</c:v>
                </c:pt>
                <c:pt idx="8">
                  <c:v>89590.699655496399</c:v>
                </c:pt>
                <c:pt idx="9">
                  <c:v>92527.436266833698</c:v>
                </c:pt>
                <c:pt idx="10">
                  <c:v>95464.172878170997</c:v>
                </c:pt>
                <c:pt idx="11">
                  <c:v>96650.427737603313</c:v>
                </c:pt>
                <c:pt idx="12">
                  <c:v>101337.6461008456</c:v>
                </c:pt>
                <c:pt idx="13">
                  <c:v>104274.38271218291</c:v>
                </c:pt>
                <c:pt idx="14">
                  <c:v>107211.11932352019</c:v>
                </c:pt>
                <c:pt idx="15">
                  <c:v>110147.85593485751</c:v>
                </c:pt>
                <c:pt idx="16">
                  <c:v>113084.59254619479</c:v>
                </c:pt>
                <c:pt idx="17">
                  <c:v>116021.32915753211</c:v>
                </c:pt>
                <c:pt idx="18">
                  <c:v>118958.06576886939</c:v>
                </c:pt>
                <c:pt idx="19">
                  <c:v>121894.8023802067</c:v>
                </c:pt>
                <c:pt idx="20">
                  <c:v>124831.538991544</c:v>
                </c:pt>
                <c:pt idx="21">
                  <c:v>127768.2756028813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C0B-4FA7-A171-1B800D9F8F07}"/>
            </c:ext>
          </c:extLst>
        </c:ser>
        <c:ser>
          <c:idx val="1"/>
          <c:order val="1"/>
          <c:tx>
            <c:strRef>
              <c:f>'PUNTO DE EQUILIBRIO'!$G$53</c:f>
              <c:strCache>
                <c:ptCount val="1"/>
                <c:pt idx="0">
                  <c:v>Ingresos por Ventas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'PUNTO DE EQUILIBRIO'!$E$54:$E$75</c:f>
              <c:numCache>
                <c:formatCode>General</c:formatCode>
                <c:ptCount val="22"/>
                <c:pt idx="0">
                  <c:v>0</c:v>
                </c:pt>
                <c:pt idx="1">
                  <c:v>267</c:v>
                </c:pt>
                <c:pt idx="2">
                  <c:v>467</c:v>
                </c:pt>
                <c:pt idx="3">
                  <c:v>667</c:v>
                </c:pt>
                <c:pt idx="4">
                  <c:v>867</c:v>
                </c:pt>
                <c:pt idx="5">
                  <c:v>1067</c:v>
                </c:pt>
                <c:pt idx="6">
                  <c:v>1267</c:v>
                </c:pt>
                <c:pt idx="7">
                  <c:v>1467</c:v>
                </c:pt>
                <c:pt idx="8">
                  <c:v>1667</c:v>
                </c:pt>
                <c:pt idx="9">
                  <c:v>1867</c:v>
                </c:pt>
                <c:pt idx="10">
                  <c:v>2067</c:v>
                </c:pt>
                <c:pt idx="11" formatCode="#,##0">
                  <c:v>2147.7872830578513</c:v>
                </c:pt>
                <c:pt idx="12">
                  <c:v>2467</c:v>
                </c:pt>
                <c:pt idx="13">
                  <c:v>2667</c:v>
                </c:pt>
                <c:pt idx="14">
                  <c:v>2867</c:v>
                </c:pt>
                <c:pt idx="15">
                  <c:v>3067</c:v>
                </c:pt>
                <c:pt idx="16">
                  <c:v>3267</c:v>
                </c:pt>
                <c:pt idx="17">
                  <c:v>3467</c:v>
                </c:pt>
                <c:pt idx="18">
                  <c:v>3667</c:v>
                </c:pt>
                <c:pt idx="19">
                  <c:v>3867</c:v>
                </c:pt>
                <c:pt idx="20">
                  <c:v>4067</c:v>
                </c:pt>
                <c:pt idx="21">
                  <c:v>4267</c:v>
                </c:pt>
              </c:numCache>
            </c:numRef>
          </c:xVal>
          <c:yVal>
            <c:numRef>
              <c:f>'PUNTO DE EQUILIBRIO'!$G$54:$G$75</c:f>
              <c:numCache>
                <c:formatCode>General</c:formatCode>
                <c:ptCount val="22"/>
                <c:pt idx="0">
                  <c:v>0</c:v>
                </c:pt>
                <c:pt idx="1">
                  <c:v>12015</c:v>
                </c:pt>
                <c:pt idx="2">
                  <c:v>21015</c:v>
                </c:pt>
                <c:pt idx="3">
                  <c:v>30015</c:v>
                </c:pt>
                <c:pt idx="4">
                  <c:v>39015</c:v>
                </c:pt>
                <c:pt idx="5">
                  <c:v>48015</c:v>
                </c:pt>
                <c:pt idx="6">
                  <c:v>57015</c:v>
                </c:pt>
                <c:pt idx="7">
                  <c:v>66015</c:v>
                </c:pt>
                <c:pt idx="8">
                  <c:v>75015</c:v>
                </c:pt>
                <c:pt idx="9">
                  <c:v>84015</c:v>
                </c:pt>
                <c:pt idx="10">
                  <c:v>93015</c:v>
                </c:pt>
                <c:pt idx="11" formatCode="0">
                  <c:v>96650.427737603313</c:v>
                </c:pt>
                <c:pt idx="12">
                  <c:v>111015</c:v>
                </c:pt>
                <c:pt idx="13">
                  <c:v>120015</c:v>
                </c:pt>
                <c:pt idx="14" formatCode="0">
                  <c:v>129015</c:v>
                </c:pt>
                <c:pt idx="15">
                  <c:v>138015</c:v>
                </c:pt>
                <c:pt idx="16">
                  <c:v>147015</c:v>
                </c:pt>
                <c:pt idx="17">
                  <c:v>156015</c:v>
                </c:pt>
                <c:pt idx="18">
                  <c:v>165015</c:v>
                </c:pt>
                <c:pt idx="19">
                  <c:v>174015</c:v>
                </c:pt>
                <c:pt idx="20">
                  <c:v>183015</c:v>
                </c:pt>
                <c:pt idx="21">
                  <c:v>192015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C0B-4FA7-A171-1B800D9F8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07896"/>
        <c:axId val="441105936"/>
      </c:scatterChart>
      <c:valAx>
        <c:axId val="44110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Costos</a:t>
                </a:r>
                <a:r>
                  <a:rPr lang="es-EC" baseline="0"/>
                  <a:t> Totales</a:t>
                </a: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1105936"/>
        <c:crosses val="autoZero"/>
        <c:crossBetween val="midCat"/>
      </c:valAx>
      <c:valAx>
        <c:axId val="4411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Ingresos</a:t>
                </a:r>
                <a:r>
                  <a:rPr lang="es-EC" baseline="0"/>
                  <a:t> por Ventas</a:t>
                </a: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1107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/>
              <a:t>Relación B/C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INGRESOS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'BENEFICIO - COSTO'!$D$8:$D$12</c:f>
              <c:numCache>
                <c:formatCode>"$"#,##0.00_);[Red]\("$"#,##0.00\)</c:formatCode>
                <c:ptCount val="5"/>
                <c:pt idx="0">
                  <c:v>143685</c:v>
                </c:pt>
                <c:pt idx="1">
                  <c:v>147995.54999999999</c:v>
                </c:pt>
                <c:pt idx="2">
                  <c:v>152435.41649999999</c:v>
                </c:pt>
                <c:pt idx="3">
                  <c:v>157008.47899500001</c:v>
                </c:pt>
                <c:pt idx="4">
                  <c:v>161718.73336485002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70-4A6B-AF11-869E6D9C98DD}"/>
            </c:ext>
          </c:extLst>
        </c:ser>
        <c:ser>
          <c:idx val="1"/>
          <c:order val="1"/>
          <c:tx>
            <c:v>EGRESOS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'BENEFICIO - COSTO'!$E$8:$E$12</c:f>
              <c:numCache>
                <c:formatCode>"$"#,##0.00_);[Red]\("$"#,##0.00\)</c:formatCode>
                <c:ptCount val="5"/>
                <c:pt idx="0">
                  <c:v>41980</c:v>
                </c:pt>
                <c:pt idx="1">
                  <c:v>42819.6</c:v>
                </c:pt>
                <c:pt idx="2">
                  <c:v>43675.991999999998</c:v>
                </c:pt>
                <c:pt idx="3">
                  <c:v>44549.511840000006</c:v>
                </c:pt>
                <c:pt idx="4">
                  <c:v>45440.50207680001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70-4A6B-AF11-869E6D9C98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41107504"/>
        <c:axId val="441100840"/>
        <c:axId val="0"/>
      </c:bar3DChart>
      <c:catAx>
        <c:axId val="4411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C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C"/>
          </a:p>
        </c:txPr>
        <c:crossAx val="441100840"/>
        <c:crosses val="autoZero"/>
        <c:auto val="1"/>
        <c:lblAlgn val="ctr"/>
        <c:lblOffset val="100"/>
        <c:noMultiLvlLbl val="0"/>
      </c:catAx>
      <c:valAx>
        <c:axId val="44110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C"/>
          </a:p>
        </c:txPr>
        <c:crossAx val="4411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C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/>
              <a:t>Relación B/C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INGRESOS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'BENEFICIO - COSTO'!$D$8:$D$12</c:f>
              <c:numCache>
                <c:formatCode>"$"#,##0.00_);[Red]\("$"#,##0.00\)</c:formatCode>
                <c:ptCount val="5"/>
                <c:pt idx="0">
                  <c:v>143685</c:v>
                </c:pt>
                <c:pt idx="1">
                  <c:v>147995.54999999999</c:v>
                </c:pt>
                <c:pt idx="2">
                  <c:v>152435.41649999999</c:v>
                </c:pt>
                <c:pt idx="3">
                  <c:v>157008.47899500001</c:v>
                </c:pt>
                <c:pt idx="4">
                  <c:v>161718.73336485002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4F-4507-A072-085EE2E530CD}"/>
            </c:ext>
          </c:extLst>
        </c:ser>
        <c:ser>
          <c:idx val="1"/>
          <c:order val="1"/>
          <c:tx>
            <c:v>EGRESOS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'BENEFICIO - COSTO'!$E$8:$E$12</c:f>
              <c:numCache>
                <c:formatCode>"$"#,##0.00_);[Red]\("$"#,##0.00\)</c:formatCode>
                <c:ptCount val="5"/>
                <c:pt idx="0">
                  <c:v>41980</c:v>
                </c:pt>
                <c:pt idx="1">
                  <c:v>42819.6</c:v>
                </c:pt>
                <c:pt idx="2">
                  <c:v>43675.991999999998</c:v>
                </c:pt>
                <c:pt idx="3">
                  <c:v>44549.511840000006</c:v>
                </c:pt>
                <c:pt idx="4">
                  <c:v>45440.50207680001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4F-4507-A072-085EE2E530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41102408"/>
        <c:axId val="441103584"/>
        <c:axId val="0"/>
      </c:bar3DChart>
      <c:catAx>
        <c:axId val="441102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C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C"/>
          </a:p>
        </c:txPr>
        <c:crossAx val="441103584"/>
        <c:crosses val="autoZero"/>
        <c:auto val="1"/>
        <c:lblAlgn val="ctr"/>
        <c:lblOffset val="100"/>
        <c:noMultiLvlLbl val="0"/>
      </c:catAx>
      <c:valAx>
        <c:axId val="4411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C"/>
          </a:p>
        </c:txPr>
        <c:crossAx val="44110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C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371475</xdr:colOff>
      <xdr:row>10</xdr:row>
      <xdr:rowOff>152400</xdr:rowOff>
    </xdr:from>
    <xdr:to>
      <xdr:col>14</xdr:col>
      <xdr:colOff>187325</xdr:colOff>
      <xdr:row>15</xdr:row>
      <xdr:rowOff>61056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FC141EC6-6711-45B7-B04B-00B09BEBF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63300" y="2886075"/>
          <a:ext cx="3168650" cy="9087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114300</xdr:rowOff>
    </xdr:from>
    <xdr:to>
      <xdr:col>15</xdr:col>
      <xdr:colOff>28575</xdr:colOff>
      <xdr:row>13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7423851E-8EF2-4062-B37A-E2A9A48FE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728662</xdr:colOff>
      <xdr:row>2</xdr:row>
      <xdr:rowOff>190500</xdr:rowOff>
    </xdr:from>
    <xdr:to>
      <xdr:col>12</xdr:col>
      <xdr:colOff>23812</xdr:colOff>
      <xdr:row>16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7D5CB7D2-E6F5-8523-67CD-A6D852EC2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814387</xdr:colOff>
      <xdr:row>27</xdr:row>
      <xdr:rowOff>200025</xdr:rowOff>
    </xdr:from>
    <xdr:to>
      <xdr:col>12</xdr:col>
      <xdr:colOff>109537</xdr:colOff>
      <xdr:row>41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9D6B44D7-144B-5CF4-5B37-5ECF84669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547687</xdr:colOff>
      <xdr:row>51</xdr:row>
      <xdr:rowOff>180975</xdr:rowOff>
    </xdr:from>
    <xdr:to>
      <xdr:col>11</xdr:col>
      <xdr:colOff>681037</xdr:colOff>
      <xdr:row>65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BC2BAAC8-3DB9-DFEA-572D-114D88B10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30</xdr:row>
      <xdr:rowOff>114300</xdr:rowOff>
    </xdr:from>
    <xdr:to>
      <xdr:col>15</xdr:col>
      <xdr:colOff>28575</xdr:colOff>
      <xdr:row>43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CC8EEDA-5362-4CB3-8640-83BF2A91E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86</xdr:row>
      <xdr:rowOff>114300</xdr:rowOff>
    </xdr:from>
    <xdr:to>
      <xdr:col>15</xdr:col>
      <xdr:colOff>28575</xdr:colOff>
      <xdr:row>99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272A61C8-0BE3-45DA-B7D8-69B4CD2ED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yan/Downloads/PRESUPUE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 Total"/>
      <sheetName val="MANO DE OBRA"/>
      <sheetName val="Inversión Inicial"/>
      <sheetName val="Ingresos Anuales"/>
      <sheetName val="Costos"/>
      <sheetName val="Punto de Eq"/>
      <sheetName val="mp"/>
      <sheetName val="gsb"/>
      <sheetName val="mantenimiento"/>
    </sheetNames>
    <sheetDataSet>
      <sheetData sheetId="0"/>
      <sheetData sheetId="1">
        <row r="12">
          <cell r="C12">
            <v>20366.400000000001</v>
          </cell>
        </row>
        <row r="24">
          <cell r="C24">
            <v>16972</v>
          </cell>
        </row>
        <row r="36">
          <cell r="C36">
            <v>11031.8</v>
          </cell>
        </row>
        <row r="48">
          <cell r="C48">
            <v>11880.4</v>
          </cell>
        </row>
        <row r="72">
          <cell r="C72">
            <v>11031.8</v>
          </cell>
        </row>
        <row r="84">
          <cell r="C84">
            <v>11031.8</v>
          </cell>
        </row>
      </sheetData>
      <sheetData sheetId="2">
        <row r="19">
          <cell r="C19">
            <v>30700</v>
          </cell>
        </row>
      </sheetData>
      <sheetData sheetId="3"/>
      <sheetData sheetId="4"/>
      <sheetData sheetId="5"/>
      <sheetData sheetId="6"/>
      <sheetData sheetId="7">
        <row r="8">
          <cell r="B8">
            <v>15360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2"/>
  <sheetViews>
    <sheetView showGridLines="0" topLeftCell="A226" workbookViewId="0">
      <selection activeCell="D29" sqref="D29"/>
    </sheetView>
  </sheetViews>
  <sheetFormatPr baseColWidth="10" defaultRowHeight="15.6"/>
  <cols>
    <col min="1" max="1" width="3.59765625" customWidth="1"/>
    <col min="2" max="2" width="25.5" customWidth="1"/>
    <col min="3" max="3" width="17.59765625" customWidth="1"/>
    <col min="4" max="4" width="16" customWidth="1"/>
    <col min="5" max="5" width="16.3984375" customWidth="1"/>
    <col min="6" max="6" width="17.5" customWidth="1"/>
  </cols>
  <sheetData>
    <row r="2" spans="2:9">
      <c r="B2" s="6" t="s">
        <v>223</v>
      </c>
      <c r="H2" s="6" t="s">
        <v>12</v>
      </c>
    </row>
    <row r="3" spans="2:9" ht="16.2" thickBot="1"/>
    <row r="4" spans="2:9" ht="16.2" thickBot="1">
      <c r="B4" s="1" t="s">
        <v>0</v>
      </c>
      <c r="C4" s="1" t="s">
        <v>1</v>
      </c>
      <c r="D4" s="1" t="s">
        <v>2</v>
      </c>
      <c r="E4" s="1" t="s">
        <v>3</v>
      </c>
    </row>
    <row r="5" spans="2:9">
      <c r="B5" s="2" t="s">
        <v>4</v>
      </c>
      <c r="C5" s="3" t="s">
        <v>5</v>
      </c>
      <c r="D5" s="4">
        <v>20</v>
      </c>
      <c r="E5" s="4">
        <v>60</v>
      </c>
    </row>
    <row r="6" spans="2:9">
      <c r="B6" s="2" t="s">
        <v>6</v>
      </c>
      <c r="C6" s="3" t="s">
        <v>7</v>
      </c>
      <c r="D6" s="4">
        <v>10</v>
      </c>
      <c r="E6" s="4">
        <v>20</v>
      </c>
    </row>
    <row r="7" spans="2:9" ht="16.2" thickBot="1">
      <c r="B7" s="2" t="s">
        <v>8</v>
      </c>
      <c r="C7" s="3" t="s">
        <v>9</v>
      </c>
      <c r="D7" s="4">
        <v>17</v>
      </c>
      <c r="E7" s="4">
        <v>289</v>
      </c>
    </row>
    <row r="8" spans="2:9" ht="16.2" thickBot="1">
      <c r="B8" s="1" t="s">
        <v>10</v>
      </c>
      <c r="C8" s="1" t="s">
        <v>11</v>
      </c>
      <c r="D8" s="1" t="s">
        <v>11</v>
      </c>
      <c r="E8" s="5">
        <v>369</v>
      </c>
    </row>
    <row r="11" spans="2:9">
      <c r="B11" s="6" t="s">
        <v>12</v>
      </c>
    </row>
    <row r="12" spans="2:9" ht="16.2" thickBot="1"/>
    <row r="13" spans="2:9" ht="16.2" thickBot="1">
      <c r="B13" s="364" t="s">
        <v>13</v>
      </c>
      <c r="C13" s="366" t="s">
        <v>14</v>
      </c>
      <c r="D13" s="367"/>
      <c r="E13" s="367"/>
      <c r="F13" s="367"/>
      <c r="G13" s="367"/>
      <c r="H13" s="368"/>
      <c r="I13" s="7" t="s">
        <v>15</v>
      </c>
    </row>
    <row r="14" spans="2:9" ht="16.2" thickBot="1">
      <c r="B14" s="365"/>
      <c r="C14" s="8">
        <v>0</v>
      </c>
      <c r="D14" s="8">
        <v>1</v>
      </c>
      <c r="E14" s="8">
        <v>2</v>
      </c>
      <c r="F14" s="8">
        <v>3</v>
      </c>
      <c r="G14" s="8">
        <v>4</v>
      </c>
      <c r="H14" s="8">
        <v>5</v>
      </c>
      <c r="I14" s="10"/>
    </row>
    <row r="15" spans="2:9" ht="16.2" thickBot="1">
      <c r="B15" s="11" t="s">
        <v>16</v>
      </c>
      <c r="C15" s="10"/>
      <c r="D15" s="10"/>
      <c r="E15" s="10"/>
      <c r="F15" s="10"/>
      <c r="G15" s="10"/>
      <c r="H15" s="10"/>
      <c r="I15" s="10"/>
    </row>
    <row r="16" spans="2:9" ht="16.2" thickBot="1">
      <c r="B16" s="11" t="s">
        <v>17</v>
      </c>
      <c r="C16" s="12">
        <v>3800</v>
      </c>
      <c r="D16" s="8"/>
      <c r="E16" s="10"/>
      <c r="F16" s="10"/>
      <c r="G16" s="10"/>
      <c r="H16" s="10"/>
      <c r="I16" s="12">
        <v>3800</v>
      </c>
    </row>
    <row r="17" spans="2:11" ht="16.2" thickBot="1">
      <c r="B17" s="13" t="s">
        <v>18</v>
      </c>
      <c r="C17" s="14">
        <v>1400</v>
      </c>
      <c r="D17" s="10"/>
      <c r="E17" s="10"/>
      <c r="F17" s="10"/>
      <c r="G17" s="10"/>
      <c r="H17" s="10"/>
      <c r="I17" s="10"/>
    </row>
    <row r="18" spans="2:11" ht="16.2" thickBot="1">
      <c r="B18" s="13" t="s">
        <v>19</v>
      </c>
      <c r="C18" s="14">
        <v>600</v>
      </c>
      <c r="D18" s="10"/>
      <c r="E18" s="10"/>
      <c r="F18" s="10"/>
      <c r="G18" s="10"/>
      <c r="H18" s="10"/>
      <c r="I18" s="10"/>
    </row>
    <row r="19" spans="2:11" ht="16.2" thickBot="1">
      <c r="B19" s="13" t="s">
        <v>20</v>
      </c>
      <c r="C19" s="14">
        <v>800</v>
      </c>
      <c r="D19" s="10"/>
      <c r="E19" s="10"/>
      <c r="F19" s="10"/>
      <c r="G19" s="10"/>
      <c r="H19" s="10"/>
      <c r="I19" s="10"/>
    </row>
    <row r="20" spans="2:11" ht="16.2" thickBot="1">
      <c r="B20" s="13" t="s">
        <v>21</v>
      </c>
      <c r="C20" s="14">
        <v>1000</v>
      </c>
      <c r="D20" s="10"/>
      <c r="E20" s="10"/>
      <c r="F20" s="10"/>
      <c r="G20" s="10"/>
      <c r="H20" s="10"/>
      <c r="I20" s="10"/>
    </row>
    <row r="21" spans="2:11" ht="16.2" thickBot="1">
      <c r="B21" s="11" t="s">
        <v>22</v>
      </c>
      <c r="C21" s="12">
        <v>750</v>
      </c>
      <c r="D21" s="8"/>
      <c r="E21" s="10"/>
      <c r="F21" s="10"/>
      <c r="G21" s="10"/>
      <c r="H21" s="10"/>
      <c r="I21" s="12">
        <v>750</v>
      </c>
    </row>
    <row r="22" spans="2:11" ht="16.2" thickBot="1">
      <c r="B22" s="13" t="s">
        <v>23</v>
      </c>
      <c r="C22" s="14">
        <v>500</v>
      </c>
      <c r="D22" s="10"/>
      <c r="E22" s="10"/>
      <c r="F22" s="10"/>
      <c r="G22" s="10"/>
      <c r="H22" s="10"/>
      <c r="I22" s="10"/>
    </row>
    <row r="23" spans="2:11" ht="16.2" thickBot="1">
      <c r="B23" s="13" t="s">
        <v>24</v>
      </c>
      <c r="C23" s="14">
        <v>250</v>
      </c>
      <c r="D23" s="10"/>
      <c r="E23" s="10"/>
      <c r="F23" s="10"/>
      <c r="G23" s="10"/>
      <c r="H23" s="10"/>
      <c r="I23" s="10"/>
    </row>
    <row r="24" spans="2:11" ht="16.2" thickBot="1">
      <c r="B24" s="11" t="s">
        <v>25</v>
      </c>
      <c r="C24" s="12">
        <v>5800</v>
      </c>
      <c r="D24" s="8"/>
      <c r="E24" s="10"/>
      <c r="F24" s="12">
        <v>5800</v>
      </c>
      <c r="G24" s="10"/>
      <c r="H24" s="10"/>
      <c r="I24" s="12">
        <v>11600</v>
      </c>
    </row>
    <row r="25" spans="2:11" ht="16.2" thickBot="1">
      <c r="B25" s="13" t="s">
        <v>26</v>
      </c>
      <c r="C25" s="14">
        <v>1000</v>
      </c>
      <c r="D25" s="10"/>
      <c r="E25" s="10"/>
      <c r="F25" s="14">
        <v>1000</v>
      </c>
      <c r="G25" s="10"/>
      <c r="H25" s="10"/>
      <c r="I25" s="10"/>
      <c r="K25" s="119"/>
    </row>
    <row r="26" spans="2:11" ht="16.2" thickBot="1">
      <c r="B26" s="13" t="s">
        <v>27</v>
      </c>
      <c r="C26" s="14">
        <v>4800</v>
      </c>
      <c r="D26" s="10"/>
      <c r="E26" s="10"/>
      <c r="F26" s="14">
        <v>4800</v>
      </c>
      <c r="G26" s="10"/>
      <c r="H26" s="10"/>
      <c r="I26" s="10"/>
    </row>
    <row r="27" spans="2:11" ht="16.2" thickBot="1">
      <c r="B27" s="11" t="s">
        <v>28</v>
      </c>
      <c r="C27" s="12">
        <v>10635</v>
      </c>
      <c r="D27" s="8"/>
      <c r="E27" s="10"/>
      <c r="F27" s="10"/>
      <c r="G27" s="10"/>
      <c r="H27" s="10"/>
      <c r="I27" s="12">
        <v>10635</v>
      </c>
    </row>
    <row r="28" spans="2:11" ht="16.2" thickBot="1">
      <c r="B28" s="13" t="s">
        <v>29</v>
      </c>
      <c r="C28" s="14">
        <v>1420</v>
      </c>
      <c r="D28" s="10"/>
      <c r="E28" s="10"/>
      <c r="F28" s="10"/>
      <c r="G28" s="10"/>
      <c r="H28" s="10"/>
      <c r="I28" s="10"/>
    </row>
    <row r="29" spans="2:11" ht="16.2" thickBot="1">
      <c r="B29" s="13" t="s">
        <v>30</v>
      </c>
      <c r="C29" s="14">
        <v>1125</v>
      </c>
      <c r="D29" s="10"/>
      <c r="E29" s="10"/>
      <c r="F29" s="10"/>
      <c r="G29" s="10"/>
      <c r="H29" s="10"/>
      <c r="I29" s="10"/>
    </row>
    <row r="30" spans="2:11" ht="16.2" thickBot="1">
      <c r="B30" s="13" t="s">
        <v>31</v>
      </c>
      <c r="C30" s="14">
        <v>980</v>
      </c>
      <c r="D30" s="10"/>
      <c r="E30" s="10"/>
      <c r="F30" s="10"/>
      <c r="G30" s="10"/>
      <c r="H30" s="10"/>
      <c r="I30" s="10"/>
    </row>
    <row r="31" spans="2:11" ht="16.2" thickBot="1">
      <c r="B31" s="13" t="s">
        <v>32</v>
      </c>
      <c r="C31" s="14">
        <v>1345</v>
      </c>
      <c r="D31" s="10"/>
      <c r="E31" s="10"/>
      <c r="F31" s="10"/>
      <c r="G31" s="10"/>
      <c r="H31" s="10"/>
      <c r="I31" s="10"/>
    </row>
    <row r="32" spans="2:11" ht="16.2" thickBot="1">
      <c r="B32" s="13" t="s">
        <v>33</v>
      </c>
      <c r="C32" s="14">
        <v>1350</v>
      </c>
      <c r="D32" s="10"/>
      <c r="E32" s="10"/>
      <c r="F32" s="10"/>
      <c r="G32" s="10"/>
      <c r="H32" s="10"/>
      <c r="I32" s="10"/>
    </row>
    <row r="33" spans="2:11" ht="16.2" thickBot="1">
      <c r="B33" s="13" t="s">
        <v>34</v>
      </c>
      <c r="C33" s="14">
        <v>1115</v>
      </c>
      <c r="D33" s="10"/>
      <c r="E33" s="10"/>
      <c r="F33" s="10"/>
      <c r="G33" s="10"/>
      <c r="H33" s="10"/>
      <c r="I33" s="10"/>
    </row>
    <row r="34" spans="2:11" ht="16.2" thickBot="1">
      <c r="B34" s="13" t="s">
        <v>35</v>
      </c>
      <c r="C34" s="14">
        <v>1000</v>
      </c>
      <c r="D34" s="10"/>
      <c r="E34" s="10"/>
      <c r="F34" s="10"/>
      <c r="G34" s="10"/>
      <c r="H34" s="10"/>
      <c r="I34" s="10"/>
    </row>
    <row r="35" spans="2:11" ht="16.2" thickBot="1">
      <c r="B35" s="13" t="s">
        <v>36</v>
      </c>
      <c r="C35" s="14">
        <v>1500</v>
      </c>
      <c r="D35" s="10"/>
      <c r="E35" s="10"/>
      <c r="F35" s="10"/>
      <c r="G35" s="10"/>
      <c r="H35" s="10"/>
      <c r="I35" s="10"/>
    </row>
    <row r="36" spans="2:11" ht="16.2" thickBot="1">
      <c r="B36" s="13" t="s">
        <v>37</v>
      </c>
      <c r="C36" s="14">
        <v>800</v>
      </c>
      <c r="D36" s="10"/>
      <c r="E36" s="10"/>
      <c r="F36" s="10"/>
      <c r="G36" s="10"/>
      <c r="H36" s="10"/>
      <c r="I36" s="10"/>
    </row>
    <row r="37" spans="2:11" ht="16.2" thickBot="1">
      <c r="B37" s="11" t="s">
        <v>38</v>
      </c>
      <c r="C37" s="12">
        <v>25000</v>
      </c>
      <c r="D37" s="8"/>
      <c r="E37" s="10"/>
      <c r="F37" s="10"/>
      <c r="G37" s="10"/>
      <c r="H37" s="10"/>
      <c r="I37" s="12">
        <v>25000</v>
      </c>
    </row>
    <row r="38" spans="2:11" ht="16.2" thickBot="1">
      <c r="B38" s="13" t="s">
        <v>39</v>
      </c>
      <c r="C38" s="14">
        <v>25000</v>
      </c>
      <c r="D38" s="10"/>
      <c r="E38" s="10"/>
      <c r="F38" s="10"/>
      <c r="G38" s="10"/>
      <c r="H38" s="10"/>
      <c r="I38" s="10"/>
    </row>
    <row r="39" spans="2:11" ht="16.2" thickBot="1">
      <c r="B39" s="11" t="s">
        <v>15</v>
      </c>
      <c r="C39" s="12">
        <v>45985</v>
      </c>
      <c r="D39" s="8"/>
      <c r="E39" s="10"/>
      <c r="F39" s="12">
        <v>5800</v>
      </c>
      <c r="G39" s="10"/>
      <c r="H39" s="10"/>
      <c r="I39" s="12">
        <v>51785</v>
      </c>
      <c r="K39" s="119"/>
    </row>
    <row r="40" spans="2:11" ht="16.2" thickBot="1">
      <c r="B40" s="11" t="s">
        <v>40</v>
      </c>
      <c r="C40" s="8"/>
      <c r="D40" s="10"/>
      <c r="E40" s="10"/>
      <c r="F40" s="10"/>
      <c r="G40" s="10"/>
      <c r="H40" s="10"/>
      <c r="I40" s="10"/>
    </row>
    <row r="41" spans="2:11" ht="16.2" thickBot="1">
      <c r="B41" s="13" t="s">
        <v>41</v>
      </c>
      <c r="C41" s="14">
        <v>1000</v>
      </c>
      <c r="D41" s="10"/>
      <c r="E41" s="10"/>
      <c r="F41" s="10"/>
      <c r="G41" s="10"/>
      <c r="H41" s="10"/>
      <c r="I41" s="10"/>
    </row>
    <row r="42" spans="2:11" ht="16.2" thickBot="1">
      <c r="B42" s="13" t="s">
        <v>42</v>
      </c>
      <c r="C42" s="14">
        <v>600</v>
      </c>
      <c r="D42" s="10"/>
      <c r="E42" s="10"/>
      <c r="F42" s="10"/>
      <c r="G42" s="10"/>
      <c r="H42" s="10"/>
      <c r="I42" s="10"/>
    </row>
    <row r="43" spans="2:11" ht="16.2" thickBot="1">
      <c r="B43" s="13" t="s">
        <v>43</v>
      </c>
      <c r="C43" s="14">
        <v>450</v>
      </c>
      <c r="D43" s="10"/>
      <c r="E43" s="10"/>
      <c r="F43" s="10"/>
      <c r="G43" s="10"/>
      <c r="H43" s="10"/>
      <c r="I43" s="10"/>
    </row>
    <row r="44" spans="2:11" ht="16.2" thickBot="1">
      <c r="B44" s="13" t="s">
        <v>44</v>
      </c>
      <c r="C44" s="14">
        <v>250</v>
      </c>
      <c r="D44" s="10"/>
      <c r="E44" s="10"/>
      <c r="F44" s="10"/>
      <c r="G44" s="10"/>
      <c r="H44" s="10"/>
      <c r="I44" s="10"/>
    </row>
    <row r="45" spans="2:11" ht="16.2" thickBot="1">
      <c r="B45" s="11" t="s">
        <v>15</v>
      </c>
      <c r="C45" s="12">
        <v>2300</v>
      </c>
      <c r="D45" s="8"/>
      <c r="E45" s="10"/>
      <c r="F45" s="10"/>
      <c r="G45" s="10"/>
      <c r="H45" s="10"/>
      <c r="I45" s="12">
        <v>2300</v>
      </c>
    </row>
    <row r="46" spans="2:11" ht="16.2" thickBot="1">
      <c r="B46" s="13" t="s">
        <v>45</v>
      </c>
      <c r="C46" s="14">
        <v>41580.75</v>
      </c>
      <c r="D46" s="10"/>
      <c r="E46" s="10"/>
      <c r="F46" s="10"/>
      <c r="G46" s="10"/>
      <c r="H46" s="10"/>
      <c r="I46" s="10"/>
    </row>
    <row r="47" spans="2:11" ht="16.2" thickBot="1">
      <c r="B47" s="11" t="s">
        <v>15</v>
      </c>
      <c r="C47" s="12">
        <v>41580.75</v>
      </c>
      <c r="D47" s="8"/>
      <c r="E47" s="10"/>
      <c r="F47" s="10"/>
      <c r="G47" s="10"/>
      <c r="H47" s="10"/>
      <c r="I47" s="12">
        <v>41580.75</v>
      </c>
    </row>
    <row r="48" spans="2:11" ht="16.2" thickBot="1">
      <c r="B48" s="11" t="s">
        <v>46</v>
      </c>
      <c r="C48" s="12">
        <v>89865.75</v>
      </c>
      <c r="D48" s="10"/>
      <c r="E48" s="10"/>
      <c r="F48" s="12">
        <v>5800</v>
      </c>
      <c r="G48" s="10"/>
      <c r="H48" s="10"/>
      <c r="I48" s="12">
        <v>95665.75</v>
      </c>
      <c r="K48" s="119"/>
    </row>
    <row r="50" spans="2:10">
      <c r="D50" s="119"/>
    </row>
    <row r="51" spans="2:10">
      <c r="C51" s="119"/>
      <c r="D51" s="119"/>
      <c r="E51" s="119"/>
      <c r="F51" s="119"/>
    </row>
    <row r="52" spans="2:10">
      <c r="B52" s="6" t="s">
        <v>52</v>
      </c>
      <c r="J52">
        <f>60*12</f>
        <v>720</v>
      </c>
    </row>
    <row r="53" spans="2:10" ht="16.2" thickBot="1"/>
    <row r="54" spans="2:10">
      <c r="B54" s="371" t="s">
        <v>13</v>
      </c>
      <c r="C54" s="369" t="s">
        <v>53</v>
      </c>
      <c r="D54" s="369" t="s">
        <v>1</v>
      </c>
      <c r="E54" s="369" t="s">
        <v>2</v>
      </c>
      <c r="F54" s="369" t="s">
        <v>54</v>
      </c>
      <c r="G54" s="19"/>
    </row>
    <row r="55" spans="2:10" ht="16.2" thickBot="1">
      <c r="B55" s="372"/>
      <c r="C55" s="370"/>
      <c r="D55" s="370"/>
      <c r="E55" s="370"/>
      <c r="F55" s="370"/>
      <c r="G55" s="19"/>
    </row>
    <row r="56" spans="2:10">
      <c r="B56" s="20" t="s">
        <v>55</v>
      </c>
      <c r="C56" s="21" t="s">
        <v>56</v>
      </c>
      <c r="D56" s="22">
        <v>7000</v>
      </c>
      <c r="E56" s="23">
        <v>0.8</v>
      </c>
      <c r="F56" s="23">
        <v>5600</v>
      </c>
      <c r="G56" s="19"/>
    </row>
    <row r="57" spans="2:10">
      <c r="B57" s="20" t="s">
        <v>57</v>
      </c>
      <c r="C57" s="21" t="s">
        <v>58</v>
      </c>
      <c r="D57" s="24">
        <v>60</v>
      </c>
      <c r="E57" s="23">
        <v>4</v>
      </c>
      <c r="F57" s="23">
        <v>240</v>
      </c>
      <c r="G57" s="19"/>
    </row>
    <row r="58" spans="2:10">
      <c r="B58" s="20" t="s">
        <v>59</v>
      </c>
      <c r="C58" s="21" t="s">
        <v>58</v>
      </c>
      <c r="D58" s="24">
        <v>40</v>
      </c>
      <c r="E58" s="23">
        <v>3.5</v>
      </c>
      <c r="F58" s="23">
        <v>140</v>
      </c>
      <c r="G58" s="19"/>
    </row>
    <row r="59" spans="2:10">
      <c r="B59" s="20" t="s">
        <v>60</v>
      </c>
      <c r="C59" s="21" t="s">
        <v>58</v>
      </c>
      <c r="D59" s="24">
        <v>30</v>
      </c>
      <c r="E59" s="23">
        <v>3.5</v>
      </c>
      <c r="F59" s="23">
        <v>105</v>
      </c>
      <c r="G59" s="19"/>
    </row>
    <row r="60" spans="2:10">
      <c r="B60" s="20" t="s">
        <v>61</v>
      </c>
      <c r="C60" s="21" t="s">
        <v>62</v>
      </c>
      <c r="D60" s="24">
        <v>2000</v>
      </c>
      <c r="E60" s="23">
        <v>0.1</v>
      </c>
      <c r="F60" s="23">
        <v>200</v>
      </c>
      <c r="G60" s="19"/>
    </row>
    <row r="61" spans="2:10">
      <c r="B61" s="20" t="s">
        <v>63</v>
      </c>
      <c r="C61" s="21" t="s">
        <v>58</v>
      </c>
      <c r="D61" s="24">
        <v>2000</v>
      </c>
      <c r="E61" s="23">
        <v>0.15</v>
      </c>
      <c r="F61" s="23">
        <v>300</v>
      </c>
      <c r="G61" s="19"/>
    </row>
    <row r="62" spans="2:10">
      <c r="B62" s="20" t="s">
        <v>64</v>
      </c>
      <c r="C62" s="21" t="s">
        <v>58</v>
      </c>
      <c r="D62" s="24">
        <v>100</v>
      </c>
      <c r="E62" s="23">
        <v>1.25</v>
      </c>
      <c r="F62" s="23">
        <v>125</v>
      </c>
      <c r="G62" s="19"/>
    </row>
    <row r="63" spans="2:10">
      <c r="B63" s="20" t="s">
        <v>65</v>
      </c>
      <c r="C63" s="21" t="s">
        <v>58</v>
      </c>
      <c r="D63" s="24">
        <v>100</v>
      </c>
      <c r="E63" s="23">
        <v>1.3</v>
      </c>
      <c r="F63" s="23">
        <v>130</v>
      </c>
      <c r="G63" s="19"/>
    </row>
    <row r="64" spans="2:10">
      <c r="B64" s="20" t="s">
        <v>66</v>
      </c>
      <c r="C64" s="21" t="s">
        <v>58</v>
      </c>
      <c r="D64" s="24">
        <v>100</v>
      </c>
      <c r="E64" s="23">
        <v>1.35</v>
      </c>
      <c r="F64" s="23">
        <v>135</v>
      </c>
      <c r="G64" s="19"/>
    </row>
    <row r="65" spans="2:7">
      <c r="B65" s="20" t="s">
        <v>67</v>
      </c>
      <c r="C65" s="21" t="s">
        <v>58</v>
      </c>
      <c r="D65" s="24">
        <v>100</v>
      </c>
      <c r="E65" s="23">
        <v>1.5</v>
      </c>
      <c r="F65" s="23">
        <v>150</v>
      </c>
      <c r="G65" s="19"/>
    </row>
    <row r="66" spans="2:7">
      <c r="B66" s="20" t="s">
        <v>68</v>
      </c>
      <c r="C66" s="21" t="s">
        <v>56</v>
      </c>
      <c r="D66" s="24">
        <v>5000</v>
      </c>
      <c r="E66" s="23">
        <v>0.1</v>
      </c>
      <c r="F66" s="23">
        <v>500</v>
      </c>
      <c r="G66" s="19"/>
    </row>
    <row r="67" spans="2:7">
      <c r="B67" s="20" t="s">
        <v>69</v>
      </c>
      <c r="C67" s="21" t="s">
        <v>58</v>
      </c>
      <c r="D67" s="22">
        <v>1000</v>
      </c>
      <c r="E67" s="23">
        <v>0.25</v>
      </c>
      <c r="F67" s="23">
        <v>250</v>
      </c>
      <c r="G67" s="19"/>
    </row>
    <row r="68" spans="2:7" ht="16.2" thickBot="1">
      <c r="B68" s="25" t="s">
        <v>70</v>
      </c>
      <c r="C68" s="26" t="s">
        <v>58</v>
      </c>
      <c r="D68" s="27">
        <v>25</v>
      </c>
      <c r="E68" s="28">
        <v>1.5</v>
      </c>
      <c r="F68" s="28">
        <v>37.5</v>
      </c>
      <c r="G68" s="19"/>
    </row>
    <row r="69" spans="2:7" ht="16.2" thickBot="1">
      <c r="B69" s="29" t="s">
        <v>71</v>
      </c>
      <c r="C69" s="377"/>
      <c r="D69" s="377"/>
      <c r="E69" s="377"/>
      <c r="F69" s="30">
        <v>7912.5</v>
      </c>
      <c r="G69" s="19"/>
    </row>
    <row r="72" spans="2:7">
      <c r="B72" s="6" t="s">
        <v>72</v>
      </c>
    </row>
    <row r="73" spans="2:7" ht="16.2" thickBot="1"/>
    <row r="74" spans="2:7">
      <c r="B74" s="371" t="s">
        <v>13</v>
      </c>
      <c r="C74" s="371" t="s">
        <v>73</v>
      </c>
      <c r="D74" s="369" t="s">
        <v>74</v>
      </c>
      <c r="E74" s="369" t="s">
        <v>75</v>
      </c>
      <c r="F74" s="19"/>
    </row>
    <row r="75" spans="2:7" ht="16.2" thickBot="1">
      <c r="B75" s="372"/>
      <c r="C75" s="372"/>
      <c r="D75" s="370"/>
      <c r="E75" s="370"/>
      <c r="F75" s="19"/>
    </row>
    <row r="76" spans="2:7">
      <c r="B76" s="20" t="s">
        <v>76</v>
      </c>
      <c r="C76" s="21">
        <v>3</v>
      </c>
      <c r="D76" s="33">
        <v>450</v>
      </c>
      <c r="E76" s="33">
        <v>16200</v>
      </c>
      <c r="F76" s="19"/>
    </row>
    <row r="77" spans="2:7" ht="16.2" thickBot="1">
      <c r="B77" s="29" t="s">
        <v>15</v>
      </c>
      <c r="C77" s="34"/>
      <c r="D77" s="35">
        <v>450</v>
      </c>
      <c r="E77" s="35">
        <v>16200</v>
      </c>
      <c r="F77" s="19"/>
    </row>
    <row r="81" spans="2:8">
      <c r="B81" s="6" t="s">
        <v>93</v>
      </c>
    </row>
    <row r="82" spans="2:8" ht="16.2" thickBot="1"/>
    <row r="83" spans="2:8">
      <c r="B83" s="371" t="s">
        <v>13</v>
      </c>
      <c r="C83" s="369" t="s">
        <v>53</v>
      </c>
      <c r="D83" s="369" t="s">
        <v>1</v>
      </c>
      <c r="E83" s="369" t="s">
        <v>2</v>
      </c>
      <c r="F83" s="369" t="s">
        <v>54</v>
      </c>
      <c r="G83" s="19"/>
      <c r="H83" s="19"/>
    </row>
    <row r="84" spans="2:8" ht="16.2" thickBot="1">
      <c r="B84" s="372"/>
      <c r="C84" s="370"/>
      <c r="D84" s="370"/>
      <c r="E84" s="370"/>
      <c r="F84" s="370"/>
      <c r="G84" s="36"/>
      <c r="H84" s="19"/>
    </row>
    <row r="85" spans="2:8">
      <c r="B85" s="37" t="s">
        <v>77</v>
      </c>
      <c r="C85" s="24" t="s">
        <v>78</v>
      </c>
      <c r="D85" s="38">
        <v>30500</v>
      </c>
      <c r="E85" s="23">
        <v>0.1</v>
      </c>
      <c r="F85" s="23">
        <v>3050</v>
      </c>
      <c r="G85" s="19"/>
      <c r="H85" s="19"/>
    </row>
    <row r="86" spans="2:8">
      <c r="B86" s="37" t="s">
        <v>79</v>
      </c>
      <c r="C86" s="24" t="s">
        <v>78</v>
      </c>
      <c r="D86" s="38">
        <v>24000</v>
      </c>
      <c r="E86" s="23">
        <v>0.15</v>
      </c>
      <c r="F86" s="23">
        <v>3600</v>
      </c>
      <c r="G86" s="19"/>
      <c r="H86" s="19"/>
    </row>
    <row r="87" spans="2:8">
      <c r="B87" s="37" t="s">
        <v>80</v>
      </c>
      <c r="C87" s="24" t="s">
        <v>78</v>
      </c>
      <c r="D87" s="38">
        <v>17100</v>
      </c>
      <c r="E87" s="23">
        <v>0.22</v>
      </c>
      <c r="F87" s="23">
        <v>3762</v>
      </c>
      <c r="G87" s="19"/>
      <c r="H87" s="19"/>
    </row>
    <row r="88" spans="2:8">
      <c r="B88" s="37" t="s">
        <v>81</v>
      </c>
      <c r="C88" s="24" t="s">
        <v>78</v>
      </c>
      <c r="D88" s="38">
        <v>13100</v>
      </c>
      <c r="E88" s="23">
        <v>0.25</v>
      </c>
      <c r="F88" s="23">
        <v>3275</v>
      </c>
      <c r="G88" s="19"/>
      <c r="H88" s="19"/>
    </row>
    <row r="89" spans="2:8">
      <c r="B89" s="37" t="s">
        <v>82</v>
      </c>
      <c r="C89" s="24" t="s">
        <v>78</v>
      </c>
      <c r="D89" s="24">
        <v>10</v>
      </c>
      <c r="E89" s="23">
        <v>5</v>
      </c>
      <c r="F89" s="23">
        <v>50</v>
      </c>
      <c r="G89" s="19"/>
      <c r="H89" s="19"/>
    </row>
    <row r="90" spans="2:8">
      <c r="B90" s="37" t="s">
        <v>83</v>
      </c>
      <c r="C90" s="24" t="s">
        <v>78</v>
      </c>
      <c r="D90" s="24">
        <v>5</v>
      </c>
      <c r="E90" s="23">
        <v>3</v>
      </c>
      <c r="F90" s="23">
        <v>15</v>
      </c>
      <c r="G90" s="19"/>
      <c r="H90" s="19"/>
    </row>
    <row r="91" spans="2:8">
      <c r="B91" s="37" t="s">
        <v>84</v>
      </c>
      <c r="C91" s="24" t="s">
        <v>78</v>
      </c>
      <c r="D91" s="24">
        <v>5</v>
      </c>
      <c r="E91" s="23">
        <v>5</v>
      </c>
      <c r="F91" s="23">
        <v>25</v>
      </c>
      <c r="G91" s="19"/>
      <c r="H91" s="19"/>
    </row>
    <row r="92" spans="2:8">
      <c r="B92" s="37" t="s">
        <v>85</v>
      </c>
      <c r="C92" s="24" t="s">
        <v>78</v>
      </c>
      <c r="D92" s="24">
        <v>5</v>
      </c>
      <c r="E92" s="23">
        <v>4</v>
      </c>
      <c r="F92" s="23">
        <v>20</v>
      </c>
      <c r="G92" s="19"/>
      <c r="H92" s="19"/>
    </row>
    <row r="93" spans="2:8">
      <c r="B93" s="37" t="s">
        <v>86</v>
      </c>
      <c r="C93" s="24" t="s">
        <v>78</v>
      </c>
      <c r="D93" s="24">
        <v>5</v>
      </c>
      <c r="E93" s="23">
        <v>1</v>
      </c>
      <c r="F93" s="23">
        <v>5</v>
      </c>
      <c r="G93" s="19"/>
      <c r="H93" s="19"/>
    </row>
    <row r="94" spans="2:8">
      <c r="B94" s="37" t="s">
        <v>87</v>
      </c>
      <c r="C94" s="24" t="s">
        <v>78</v>
      </c>
      <c r="D94" s="24">
        <v>5</v>
      </c>
      <c r="E94" s="23">
        <v>4</v>
      </c>
      <c r="F94" s="23">
        <v>20</v>
      </c>
      <c r="G94" s="19"/>
      <c r="H94" s="19"/>
    </row>
    <row r="95" spans="2:8">
      <c r="B95" s="37" t="s">
        <v>88</v>
      </c>
      <c r="C95" s="24" t="s">
        <v>78</v>
      </c>
      <c r="D95" s="24">
        <v>5</v>
      </c>
      <c r="E95" s="23">
        <v>0.8</v>
      </c>
      <c r="F95" s="23">
        <v>4</v>
      </c>
      <c r="G95" s="19"/>
      <c r="H95" s="19"/>
    </row>
    <row r="96" spans="2:8">
      <c r="B96" s="37" t="s">
        <v>89</v>
      </c>
      <c r="C96" s="24" t="s">
        <v>78</v>
      </c>
      <c r="D96" s="24">
        <v>5</v>
      </c>
      <c r="E96" s="23">
        <v>3</v>
      </c>
      <c r="F96" s="23">
        <v>15</v>
      </c>
      <c r="G96" s="19"/>
      <c r="H96" s="19"/>
    </row>
    <row r="97" spans="2:8">
      <c r="B97" s="37" t="s">
        <v>90</v>
      </c>
      <c r="C97" s="24" t="s">
        <v>78</v>
      </c>
      <c r="D97" s="24">
        <v>5</v>
      </c>
      <c r="E97" s="23">
        <v>20</v>
      </c>
      <c r="F97" s="23">
        <v>100</v>
      </c>
      <c r="G97" s="19"/>
      <c r="H97" s="19"/>
    </row>
    <row r="98" spans="2:8">
      <c r="B98" s="37" t="s">
        <v>91</v>
      </c>
      <c r="C98" s="24" t="s">
        <v>78</v>
      </c>
      <c r="D98" s="24">
        <v>5</v>
      </c>
      <c r="E98" s="23">
        <v>2</v>
      </c>
      <c r="F98" s="23">
        <v>10</v>
      </c>
      <c r="G98" s="19"/>
      <c r="H98" s="19"/>
    </row>
    <row r="99" spans="2:8">
      <c r="B99" s="37" t="s">
        <v>92</v>
      </c>
      <c r="C99" s="24" t="s">
        <v>78</v>
      </c>
      <c r="D99" s="24">
        <v>10</v>
      </c>
      <c r="E99" s="23">
        <v>1.5</v>
      </c>
      <c r="F99" s="23">
        <v>15</v>
      </c>
      <c r="G99" s="19"/>
      <c r="H99" s="19"/>
    </row>
    <row r="100" spans="2:8" ht="16.2" thickBot="1">
      <c r="B100" s="39" t="s">
        <v>77</v>
      </c>
      <c r="C100" s="27" t="s">
        <v>78</v>
      </c>
      <c r="D100" s="40">
        <v>30500</v>
      </c>
      <c r="E100" s="28">
        <v>0.1</v>
      </c>
      <c r="F100" s="28">
        <v>3050</v>
      </c>
      <c r="G100" s="19"/>
      <c r="H100" s="19"/>
    </row>
    <row r="101" spans="2:8" ht="16.2" thickBot="1">
      <c r="B101" s="41" t="s">
        <v>15</v>
      </c>
      <c r="C101" s="373"/>
      <c r="D101" s="373"/>
      <c r="E101" s="373"/>
      <c r="F101" s="30">
        <v>13966</v>
      </c>
      <c r="G101" s="19"/>
      <c r="H101" s="19"/>
    </row>
    <row r="104" spans="2:8" ht="16.2" thickBot="1">
      <c r="B104" s="6" t="s">
        <v>100</v>
      </c>
    </row>
    <row r="105" spans="2:8">
      <c r="B105" s="371" t="s">
        <v>13</v>
      </c>
      <c r="C105" s="371" t="s">
        <v>73</v>
      </c>
      <c r="D105" s="369" t="s">
        <v>74</v>
      </c>
      <c r="E105" s="369" t="s">
        <v>75</v>
      </c>
      <c r="F105" s="19"/>
    </row>
    <row r="106" spans="2:8" ht="16.2" thickBot="1">
      <c r="B106" s="372"/>
      <c r="C106" s="372"/>
      <c r="D106" s="370"/>
      <c r="E106" s="370"/>
      <c r="F106" s="19"/>
    </row>
    <row r="107" spans="2:8">
      <c r="B107" s="37" t="s">
        <v>94</v>
      </c>
      <c r="C107" s="24">
        <v>1</v>
      </c>
      <c r="D107" s="23">
        <v>550</v>
      </c>
      <c r="E107" s="23">
        <v>6600</v>
      </c>
      <c r="F107" s="19"/>
    </row>
    <row r="108" spans="2:8">
      <c r="B108" s="37" t="s">
        <v>95</v>
      </c>
      <c r="C108" s="24">
        <v>1</v>
      </c>
      <c r="D108" s="23">
        <v>450</v>
      </c>
      <c r="E108" s="23">
        <v>5400</v>
      </c>
      <c r="F108" s="19"/>
    </row>
    <row r="109" spans="2:8">
      <c r="B109" s="37" t="s">
        <v>96</v>
      </c>
      <c r="C109" s="24">
        <v>1</v>
      </c>
      <c r="D109" s="23">
        <v>500</v>
      </c>
      <c r="E109" s="23">
        <v>6000</v>
      </c>
      <c r="F109" s="19"/>
    </row>
    <row r="110" spans="2:8">
      <c r="B110" s="37" t="s">
        <v>97</v>
      </c>
      <c r="C110" s="24">
        <v>1</v>
      </c>
      <c r="D110" s="23">
        <v>500</v>
      </c>
      <c r="E110" s="23">
        <v>6000</v>
      </c>
      <c r="F110" s="19"/>
    </row>
    <row r="111" spans="2:8">
      <c r="B111" s="37" t="s">
        <v>98</v>
      </c>
      <c r="C111" s="24">
        <v>1</v>
      </c>
      <c r="D111" s="23">
        <v>500</v>
      </c>
      <c r="E111" s="23">
        <v>6000</v>
      </c>
      <c r="F111" s="19"/>
    </row>
    <row r="112" spans="2:8" ht="16.2" thickBot="1">
      <c r="B112" s="39" t="s">
        <v>99</v>
      </c>
      <c r="C112" s="27">
        <v>1</v>
      </c>
      <c r="D112" s="28">
        <v>450</v>
      </c>
      <c r="E112" s="28">
        <v>5400</v>
      </c>
      <c r="F112" s="19"/>
    </row>
    <row r="113" spans="2:10" ht="16.2" thickBot="1">
      <c r="B113" s="41" t="s">
        <v>15</v>
      </c>
      <c r="C113" s="27"/>
      <c r="D113" s="30">
        <v>3100</v>
      </c>
      <c r="E113" s="165">
        <v>35400</v>
      </c>
      <c r="F113" s="19"/>
    </row>
    <row r="116" spans="2:10">
      <c r="B116" s="6" t="s">
        <v>111</v>
      </c>
    </row>
    <row r="117" spans="2:10" ht="16.2" thickBot="1">
      <c r="B117" s="16" t="s">
        <v>13</v>
      </c>
      <c r="C117" s="18" t="s">
        <v>53</v>
      </c>
      <c r="D117" s="32" t="s">
        <v>1</v>
      </c>
      <c r="E117" s="32" t="s">
        <v>2</v>
      </c>
      <c r="F117" s="32" t="s">
        <v>54</v>
      </c>
    </row>
    <row r="118" spans="2:10">
      <c r="B118" s="42" t="s">
        <v>101</v>
      </c>
      <c r="C118" s="42" t="s">
        <v>102</v>
      </c>
      <c r="D118" s="21">
        <v>12</v>
      </c>
      <c r="E118" s="23">
        <v>150</v>
      </c>
      <c r="F118" s="23">
        <v>1800</v>
      </c>
    </row>
    <row r="119" spans="2:10">
      <c r="B119" s="3" t="s">
        <v>103</v>
      </c>
      <c r="C119" s="3" t="s">
        <v>104</v>
      </c>
      <c r="D119" s="21">
        <v>12</v>
      </c>
      <c r="E119" s="23">
        <v>5</v>
      </c>
      <c r="F119" s="23">
        <v>60</v>
      </c>
    </row>
    <row r="120" spans="2:10">
      <c r="B120" s="3" t="s">
        <v>105</v>
      </c>
      <c r="C120" s="3" t="s">
        <v>106</v>
      </c>
      <c r="D120" s="21">
        <v>100</v>
      </c>
      <c r="E120" s="23">
        <v>0.4</v>
      </c>
      <c r="F120" s="23">
        <v>40</v>
      </c>
    </row>
    <row r="121" spans="2:10">
      <c r="B121" s="3" t="s">
        <v>107</v>
      </c>
      <c r="C121" s="3" t="s">
        <v>108</v>
      </c>
      <c r="D121" s="21">
        <v>60</v>
      </c>
      <c r="E121" s="23">
        <v>2.2000000000000002</v>
      </c>
      <c r="F121" s="23">
        <v>132</v>
      </c>
    </row>
    <row r="122" spans="2:10">
      <c r="B122" s="3" t="s">
        <v>109</v>
      </c>
      <c r="C122" s="3" t="s">
        <v>102</v>
      </c>
      <c r="D122" s="21">
        <v>12</v>
      </c>
      <c r="E122" s="23">
        <v>75</v>
      </c>
      <c r="F122" s="23">
        <v>900</v>
      </c>
    </row>
    <row r="123" spans="2:10" ht="16.2" thickBot="1">
      <c r="B123" s="43" t="s">
        <v>110</v>
      </c>
      <c r="C123" s="43" t="s">
        <v>102</v>
      </c>
      <c r="D123" s="21">
        <v>12</v>
      </c>
      <c r="E123" s="23">
        <v>450</v>
      </c>
      <c r="F123" s="28">
        <v>5400</v>
      </c>
    </row>
    <row r="124" spans="2:10" ht="16.2" thickBot="1">
      <c r="B124" s="31" t="s">
        <v>71</v>
      </c>
      <c r="C124" s="43"/>
      <c r="D124" s="44"/>
      <c r="E124" s="44"/>
      <c r="F124" s="165">
        <v>8332</v>
      </c>
    </row>
    <row r="127" spans="2:10" ht="16.2" thickBot="1">
      <c r="B127" s="6" t="s">
        <v>117</v>
      </c>
    </row>
    <row r="128" spans="2:10">
      <c r="B128" s="371" t="s">
        <v>13</v>
      </c>
      <c r="C128" s="369" t="s">
        <v>1</v>
      </c>
      <c r="D128" s="369" t="s">
        <v>2</v>
      </c>
      <c r="E128" s="369" t="s">
        <v>3</v>
      </c>
      <c r="F128" s="17" t="s">
        <v>112</v>
      </c>
      <c r="G128" s="369" t="s">
        <v>114</v>
      </c>
      <c r="H128" s="369" t="s">
        <v>15</v>
      </c>
      <c r="I128" s="19"/>
      <c r="J128" s="19"/>
    </row>
    <row r="129" spans="2:10" ht="16.2" thickBot="1">
      <c r="B129" s="372"/>
      <c r="C129" s="370"/>
      <c r="D129" s="370"/>
      <c r="E129" s="370"/>
      <c r="F129" s="31" t="s">
        <v>113</v>
      </c>
      <c r="G129" s="370"/>
      <c r="H129" s="370"/>
      <c r="I129" s="36"/>
      <c r="J129" s="19"/>
    </row>
    <row r="130" spans="2:10">
      <c r="B130" s="20" t="s">
        <v>18</v>
      </c>
      <c r="C130" s="21">
        <v>6</v>
      </c>
      <c r="D130" s="33">
        <v>233.33</v>
      </c>
      <c r="E130" s="33">
        <v>1400</v>
      </c>
      <c r="F130" s="21">
        <v>10</v>
      </c>
      <c r="G130" s="33">
        <v>700</v>
      </c>
      <c r="H130" s="33">
        <v>700</v>
      </c>
      <c r="I130" s="19"/>
      <c r="J130" s="19"/>
    </row>
    <row r="131" spans="2:10">
      <c r="B131" s="20" t="s">
        <v>19</v>
      </c>
      <c r="C131" s="21">
        <v>12</v>
      </c>
      <c r="D131" s="33">
        <v>50</v>
      </c>
      <c r="E131" s="33">
        <v>600</v>
      </c>
      <c r="F131" s="21">
        <v>10</v>
      </c>
      <c r="G131" s="33">
        <v>300</v>
      </c>
      <c r="H131" s="33">
        <v>300</v>
      </c>
      <c r="I131" s="19"/>
      <c r="J131" s="19"/>
    </row>
    <row r="132" spans="2:10">
      <c r="B132" s="20" t="s">
        <v>20</v>
      </c>
      <c r="C132" s="21">
        <v>4</v>
      </c>
      <c r="D132" s="33">
        <v>200</v>
      </c>
      <c r="E132" s="33">
        <v>800</v>
      </c>
      <c r="F132" s="21">
        <v>10</v>
      </c>
      <c r="G132" s="33">
        <v>400</v>
      </c>
      <c r="H132" s="33">
        <v>400</v>
      </c>
      <c r="I132" s="19"/>
      <c r="J132" s="19"/>
    </row>
    <row r="133" spans="2:10">
      <c r="B133" s="20" t="s">
        <v>21</v>
      </c>
      <c r="C133" s="21">
        <v>4</v>
      </c>
      <c r="D133" s="33">
        <v>250</v>
      </c>
      <c r="E133" s="33">
        <v>1000</v>
      </c>
      <c r="F133" s="21">
        <v>10</v>
      </c>
      <c r="G133" s="33">
        <v>500</v>
      </c>
      <c r="H133" s="33">
        <v>500</v>
      </c>
      <c r="I133" s="19"/>
      <c r="J133" s="19"/>
    </row>
    <row r="134" spans="2:10">
      <c r="B134" s="20" t="s">
        <v>23</v>
      </c>
      <c r="C134" s="21">
        <v>4</v>
      </c>
      <c r="D134" s="33">
        <v>125</v>
      </c>
      <c r="E134" s="33">
        <v>500</v>
      </c>
      <c r="F134" s="21">
        <v>5</v>
      </c>
      <c r="G134" s="33">
        <v>0</v>
      </c>
      <c r="H134" s="33">
        <v>500</v>
      </c>
      <c r="I134" s="19"/>
      <c r="J134" s="19"/>
    </row>
    <row r="135" spans="2:10">
      <c r="B135" s="20" t="s">
        <v>24</v>
      </c>
      <c r="C135" s="21">
        <v>10</v>
      </c>
      <c r="D135" s="33">
        <v>25</v>
      </c>
      <c r="E135" s="33">
        <v>250</v>
      </c>
      <c r="F135" s="21">
        <v>10</v>
      </c>
      <c r="G135" s="33">
        <v>125</v>
      </c>
      <c r="H135" s="33">
        <v>125</v>
      </c>
      <c r="I135" s="19"/>
      <c r="J135" s="19"/>
    </row>
    <row r="136" spans="2:10">
      <c r="B136" s="20" t="s">
        <v>26</v>
      </c>
      <c r="C136" s="21">
        <v>2</v>
      </c>
      <c r="D136" s="33">
        <v>500</v>
      </c>
      <c r="E136" s="33">
        <v>1000</v>
      </c>
      <c r="F136" s="21">
        <v>3</v>
      </c>
      <c r="G136" s="33">
        <v>0</v>
      </c>
      <c r="H136" s="33">
        <v>1000</v>
      </c>
      <c r="I136" s="19"/>
      <c r="J136" s="19"/>
    </row>
    <row r="137" spans="2:10">
      <c r="B137" s="20" t="s">
        <v>115</v>
      </c>
      <c r="C137" s="21">
        <v>6</v>
      </c>
      <c r="D137" s="33">
        <v>800</v>
      </c>
      <c r="E137" s="33">
        <v>4800</v>
      </c>
      <c r="F137" s="21">
        <v>3</v>
      </c>
      <c r="G137" s="33">
        <v>0</v>
      </c>
      <c r="H137" s="33">
        <v>4800</v>
      </c>
      <c r="I137" s="19"/>
      <c r="J137" s="19"/>
    </row>
    <row r="138" spans="2:10">
      <c r="B138" s="20" t="s">
        <v>29</v>
      </c>
      <c r="C138" s="21">
        <v>2</v>
      </c>
      <c r="D138" s="33">
        <v>710</v>
      </c>
      <c r="E138" s="33">
        <v>1420</v>
      </c>
      <c r="F138" s="21">
        <v>10</v>
      </c>
      <c r="G138" s="33">
        <v>710</v>
      </c>
      <c r="H138" s="33">
        <v>710</v>
      </c>
      <c r="I138" s="19"/>
      <c r="J138" s="19"/>
    </row>
    <row r="139" spans="2:10">
      <c r="B139" s="20" t="s">
        <v>30</v>
      </c>
      <c r="C139" s="21">
        <v>2</v>
      </c>
      <c r="D139" s="33">
        <v>562.5</v>
      </c>
      <c r="E139" s="33">
        <v>1125</v>
      </c>
      <c r="F139" s="21">
        <v>10</v>
      </c>
      <c r="G139" s="33">
        <v>562.5</v>
      </c>
      <c r="H139" s="33">
        <v>562.5</v>
      </c>
      <c r="I139" s="19"/>
      <c r="J139" s="19"/>
    </row>
    <row r="140" spans="2:10">
      <c r="B140" s="20" t="s">
        <v>31</v>
      </c>
      <c r="C140" s="21">
        <v>2</v>
      </c>
      <c r="D140" s="33">
        <v>490</v>
      </c>
      <c r="E140" s="33">
        <v>980</v>
      </c>
      <c r="F140" s="21">
        <v>10</v>
      </c>
      <c r="G140" s="33">
        <v>490</v>
      </c>
      <c r="H140" s="33">
        <v>490</v>
      </c>
      <c r="I140" s="19"/>
      <c r="J140" s="19"/>
    </row>
    <row r="141" spans="2:10">
      <c r="B141" s="20" t="s">
        <v>32</v>
      </c>
      <c r="C141" s="21">
        <v>2</v>
      </c>
      <c r="D141" s="33">
        <v>672.5</v>
      </c>
      <c r="E141" s="33">
        <v>1345</v>
      </c>
      <c r="F141" s="21">
        <v>10</v>
      </c>
      <c r="G141" s="33">
        <v>672.5</v>
      </c>
      <c r="H141" s="33">
        <v>672.5</v>
      </c>
      <c r="I141" s="19"/>
      <c r="J141" s="19"/>
    </row>
    <row r="142" spans="2:10">
      <c r="B142" s="20" t="s">
        <v>116</v>
      </c>
      <c r="C142" s="21">
        <v>2</v>
      </c>
      <c r="D142" s="33">
        <v>675</v>
      </c>
      <c r="E142" s="33">
        <v>1350</v>
      </c>
      <c r="F142" s="21">
        <v>10</v>
      </c>
      <c r="G142" s="33">
        <v>675</v>
      </c>
      <c r="H142" s="33">
        <v>675</v>
      </c>
      <c r="I142" s="19"/>
      <c r="J142" s="19"/>
    </row>
    <row r="143" spans="2:10">
      <c r="B143" s="20" t="s">
        <v>34</v>
      </c>
      <c r="C143" s="21">
        <v>2</v>
      </c>
      <c r="D143" s="33">
        <v>557.5</v>
      </c>
      <c r="E143" s="33">
        <v>1115</v>
      </c>
      <c r="F143" s="21">
        <v>10</v>
      </c>
      <c r="G143" s="33">
        <v>557.5</v>
      </c>
      <c r="H143" s="33">
        <v>557.5</v>
      </c>
      <c r="I143" s="19"/>
      <c r="J143" s="19"/>
    </row>
    <row r="144" spans="2:10">
      <c r="B144" s="20" t="s">
        <v>35</v>
      </c>
      <c r="C144" s="21">
        <v>2</v>
      </c>
      <c r="D144" s="33">
        <v>500</v>
      </c>
      <c r="E144" s="33">
        <v>1000</v>
      </c>
      <c r="F144" s="21">
        <v>10</v>
      </c>
      <c r="G144" s="33">
        <v>500</v>
      </c>
      <c r="H144" s="33">
        <v>500</v>
      </c>
      <c r="I144" s="19"/>
      <c r="J144" s="19"/>
    </row>
    <row r="145" spans="2:10">
      <c r="B145" s="20" t="s">
        <v>36</v>
      </c>
      <c r="C145" s="21">
        <v>2</v>
      </c>
      <c r="D145" s="33">
        <v>750</v>
      </c>
      <c r="E145" s="33">
        <v>1500</v>
      </c>
      <c r="F145" s="21">
        <v>10</v>
      </c>
      <c r="G145" s="33">
        <v>750</v>
      </c>
      <c r="H145" s="33">
        <v>750</v>
      </c>
      <c r="I145" s="19"/>
      <c r="J145" s="19"/>
    </row>
    <row r="146" spans="2:10">
      <c r="B146" s="20" t="s">
        <v>37</v>
      </c>
      <c r="C146" s="21">
        <v>40</v>
      </c>
      <c r="D146" s="33">
        <v>20</v>
      </c>
      <c r="E146" s="33">
        <v>800</v>
      </c>
      <c r="F146" s="21">
        <v>10</v>
      </c>
      <c r="G146" s="33">
        <v>400</v>
      </c>
      <c r="H146" s="33">
        <v>400</v>
      </c>
      <c r="I146" s="19"/>
      <c r="J146" s="19"/>
    </row>
    <row r="147" spans="2:10" ht="16.2" thickBot="1">
      <c r="B147" s="25" t="s">
        <v>39</v>
      </c>
      <c r="C147" s="26">
        <v>1</v>
      </c>
      <c r="D147" s="45">
        <v>25000</v>
      </c>
      <c r="E147" s="45">
        <v>25000</v>
      </c>
      <c r="F147" s="26">
        <v>5</v>
      </c>
      <c r="G147" s="45">
        <v>0</v>
      </c>
      <c r="H147" s="45">
        <v>25000</v>
      </c>
      <c r="I147" s="19"/>
      <c r="J147" s="19"/>
    </row>
    <row r="148" spans="2:10" ht="16.2" thickBot="1">
      <c r="B148" s="29" t="s">
        <v>15</v>
      </c>
      <c r="C148" s="34"/>
      <c r="D148" s="34"/>
      <c r="E148" s="35">
        <v>45985</v>
      </c>
      <c r="F148" s="34"/>
      <c r="G148" s="35">
        <v>7342.5</v>
      </c>
      <c r="H148" s="35">
        <v>38642.5</v>
      </c>
      <c r="I148" s="19"/>
      <c r="J148" s="19"/>
    </row>
    <row r="151" spans="2:10" ht="16.2" thickBot="1">
      <c r="B151" s="6" t="s">
        <v>118</v>
      </c>
    </row>
    <row r="152" spans="2:10" ht="16.2" thickBot="1">
      <c r="B152" s="374" t="s">
        <v>13</v>
      </c>
      <c r="C152" s="376" t="s">
        <v>14</v>
      </c>
      <c r="D152" s="377"/>
      <c r="E152" s="377"/>
      <c r="F152" s="377"/>
      <c r="G152" s="377"/>
    </row>
    <row r="153" spans="2:10" ht="16.2" thickBot="1">
      <c r="B153" s="375"/>
      <c r="C153" s="32">
        <v>1</v>
      </c>
      <c r="D153" s="46">
        <v>2</v>
      </c>
      <c r="E153" s="46">
        <v>3</v>
      </c>
      <c r="F153" s="46">
        <v>4</v>
      </c>
      <c r="G153" s="46">
        <v>5</v>
      </c>
    </row>
    <row r="154" spans="2:10">
      <c r="B154" s="47" t="s">
        <v>18</v>
      </c>
      <c r="C154" s="36"/>
      <c r="D154" s="36"/>
      <c r="E154" s="36"/>
      <c r="F154" s="36"/>
      <c r="G154" s="36"/>
    </row>
    <row r="155" spans="2:10">
      <c r="B155" s="47" t="s">
        <v>19</v>
      </c>
      <c r="C155" s="36"/>
      <c r="D155" s="36"/>
      <c r="E155" s="36"/>
      <c r="F155" s="36"/>
      <c r="G155" s="36"/>
    </row>
    <row r="156" spans="2:10">
      <c r="B156" s="47" t="s">
        <v>20</v>
      </c>
      <c r="C156" s="36"/>
      <c r="D156" s="36"/>
      <c r="E156" s="36"/>
      <c r="F156" s="36"/>
      <c r="G156" s="36"/>
    </row>
    <row r="157" spans="2:10">
      <c r="B157" s="47" t="s">
        <v>21</v>
      </c>
      <c r="C157" s="36"/>
      <c r="D157" s="36"/>
      <c r="E157" s="36"/>
      <c r="F157" s="36"/>
      <c r="G157" s="36"/>
    </row>
    <row r="158" spans="2:10">
      <c r="B158" s="47" t="s">
        <v>23</v>
      </c>
      <c r="C158" s="36"/>
      <c r="D158" s="36"/>
      <c r="E158" s="36"/>
      <c r="F158" s="36"/>
      <c r="G158" s="36"/>
    </row>
    <row r="159" spans="2:10">
      <c r="B159" s="47" t="s">
        <v>24</v>
      </c>
      <c r="C159" s="36"/>
      <c r="D159" s="36"/>
      <c r="E159" s="36"/>
      <c r="F159" s="36"/>
      <c r="G159" s="36"/>
    </row>
    <row r="160" spans="2:10">
      <c r="B160" s="47" t="s">
        <v>26</v>
      </c>
      <c r="C160" s="23">
        <v>80</v>
      </c>
      <c r="D160" s="23">
        <v>80</v>
      </c>
      <c r="E160" s="23">
        <v>80</v>
      </c>
      <c r="F160" s="23">
        <v>80</v>
      </c>
      <c r="G160" s="23">
        <v>80</v>
      </c>
    </row>
    <row r="161" spans="2:7">
      <c r="B161" s="47" t="s">
        <v>115</v>
      </c>
      <c r="C161" s="23">
        <v>50</v>
      </c>
      <c r="D161" s="23">
        <v>50</v>
      </c>
      <c r="E161" s="23">
        <v>50</v>
      </c>
      <c r="F161" s="23">
        <v>50</v>
      </c>
      <c r="G161" s="23">
        <v>50</v>
      </c>
    </row>
    <row r="162" spans="2:7">
      <c r="B162" s="47" t="s">
        <v>29</v>
      </c>
      <c r="C162" s="23">
        <v>100</v>
      </c>
      <c r="D162" s="23">
        <v>100</v>
      </c>
      <c r="E162" s="23">
        <v>100</v>
      </c>
      <c r="F162" s="23">
        <v>100</v>
      </c>
      <c r="G162" s="23">
        <v>100</v>
      </c>
    </row>
    <row r="163" spans="2:7">
      <c r="B163" s="47" t="s">
        <v>30</v>
      </c>
      <c r="C163" s="23">
        <v>80</v>
      </c>
      <c r="D163" s="23">
        <v>80</v>
      </c>
      <c r="E163" s="23">
        <v>80</v>
      </c>
      <c r="F163" s="23">
        <v>80</v>
      </c>
      <c r="G163" s="23">
        <v>80</v>
      </c>
    </row>
    <row r="164" spans="2:7">
      <c r="B164" s="47" t="s">
        <v>31</v>
      </c>
      <c r="C164" s="23">
        <v>50</v>
      </c>
      <c r="D164" s="23">
        <v>50</v>
      </c>
      <c r="E164" s="23">
        <v>50</v>
      </c>
      <c r="F164" s="23">
        <v>50</v>
      </c>
      <c r="G164" s="23">
        <v>50</v>
      </c>
    </row>
    <row r="165" spans="2:7">
      <c r="B165" s="47" t="s">
        <v>32</v>
      </c>
      <c r="C165" s="23">
        <v>50</v>
      </c>
      <c r="D165" s="23">
        <v>50</v>
      </c>
      <c r="E165" s="23">
        <v>50</v>
      </c>
      <c r="F165" s="23">
        <v>50</v>
      </c>
      <c r="G165" s="23">
        <v>50</v>
      </c>
    </row>
    <row r="166" spans="2:7">
      <c r="B166" s="47" t="s">
        <v>116</v>
      </c>
      <c r="C166" s="23">
        <v>50</v>
      </c>
      <c r="D166" s="23">
        <v>50</v>
      </c>
      <c r="E166" s="23">
        <v>50</v>
      </c>
      <c r="F166" s="23">
        <v>50</v>
      </c>
      <c r="G166" s="23">
        <v>50</v>
      </c>
    </row>
    <row r="167" spans="2:7">
      <c r="B167" s="47" t="s">
        <v>34</v>
      </c>
      <c r="C167" s="23">
        <v>30</v>
      </c>
      <c r="D167" s="23">
        <v>30</v>
      </c>
      <c r="E167" s="23">
        <v>30</v>
      </c>
      <c r="F167" s="23">
        <v>30</v>
      </c>
      <c r="G167" s="23">
        <v>30</v>
      </c>
    </row>
    <row r="168" spans="2:7">
      <c r="B168" s="47" t="s">
        <v>35</v>
      </c>
      <c r="C168" s="23">
        <v>40</v>
      </c>
      <c r="D168" s="23">
        <v>40</v>
      </c>
      <c r="E168" s="23">
        <v>40</v>
      </c>
      <c r="F168" s="23">
        <v>40</v>
      </c>
      <c r="G168" s="23">
        <v>40</v>
      </c>
    </row>
    <row r="169" spans="2:7">
      <c r="B169" s="47" t="s">
        <v>36</v>
      </c>
      <c r="C169" s="23">
        <v>50</v>
      </c>
      <c r="D169" s="23">
        <v>50</v>
      </c>
      <c r="E169" s="23">
        <v>50</v>
      </c>
      <c r="F169" s="23">
        <v>50</v>
      </c>
      <c r="G169" s="23">
        <v>50</v>
      </c>
    </row>
    <row r="170" spans="2:7">
      <c r="B170" s="47" t="s">
        <v>37</v>
      </c>
      <c r="C170" s="23">
        <v>25</v>
      </c>
      <c r="D170" s="23">
        <v>25</v>
      </c>
      <c r="E170" s="23">
        <v>25</v>
      </c>
      <c r="F170" s="23">
        <v>25</v>
      </c>
      <c r="G170" s="23">
        <v>25</v>
      </c>
    </row>
    <row r="171" spans="2:7" ht="16.2" thickBot="1">
      <c r="B171" s="48" t="s">
        <v>39</v>
      </c>
      <c r="C171" s="28">
        <v>350</v>
      </c>
      <c r="D171" s="28">
        <v>350</v>
      </c>
      <c r="E171" s="28">
        <v>350</v>
      </c>
      <c r="F171" s="28">
        <v>350</v>
      </c>
      <c r="G171" s="28">
        <v>350</v>
      </c>
    </row>
    <row r="172" spans="2:7" ht="16.2" thickBot="1">
      <c r="B172" s="49" t="s">
        <v>15</v>
      </c>
      <c r="C172" s="165">
        <v>955</v>
      </c>
      <c r="D172" s="30">
        <v>955</v>
      </c>
      <c r="E172" s="30">
        <v>955</v>
      </c>
      <c r="F172" s="30">
        <v>955</v>
      </c>
      <c r="G172" s="30">
        <v>955</v>
      </c>
    </row>
    <row r="175" spans="2:7" ht="16.2" thickBot="1">
      <c r="B175" s="50" t="s">
        <v>119</v>
      </c>
    </row>
    <row r="176" spans="2:7">
      <c r="B176" s="371" t="s">
        <v>120</v>
      </c>
      <c r="C176" s="371"/>
      <c r="D176" s="19"/>
      <c r="E176" s="19"/>
    </row>
    <row r="177" spans="2:5" ht="16.2" thickBot="1">
      <c r="B177" s="372"/>
      <c r="C177" s="372"/>
      <c r="D177" s="36"/>
      <c r="E177" s="19"/>
    </row>
    <row r="178" spans="2:5">
      <c r="B178" s="37" t="s">
        <v>121</v>
      </c>
      <c r="C178" s="23">
        <v>7912.5</v>
      </c>
      <c r="D178" s="19"/>
      <c r="E178" s="19"/>
    </row>
    <row r="179" spans="2:5">
      <c r="B179" s="37" t="s">
        <v>122</v>
      </c>
      <c r="C179" s="23">
        <v>13966</v>
      </c>
      <c r="D179" s="19"/>
      <c r="E179" s="19"/>
    </row>
    <row r="180" spans="2:5" ht="16.2" thickBot="1">
      <c r="B180" s="39" t="s">
        <v>123</v>
      </c>
      <c r="C180" s="28">
        <v>16200</v>
      </c>
      <c r="D180" s="19"/>
      <c r="E180" s="19"/>
    </row>
    <row r="181" spans="2:5" ht="16.2" thickBot="1">
      <c r="B181" s="51" t="s">
        <v>15</v>
      </c>
      <c r="C181" s="30">
        <v>38078.5</v>
      </c>
      <c r="D181" s="19"/>
      <c r="E181" s="19"/>
    </row>
    <row r="184" spans="2:5" ht="16.2" thickBot="1">
      <c r="B184" s="50" t="s">
        <v>124</v>
      </c>
    </row>
    <row r="185" spans="2:5">
      <c r="B185" s="371" t="s">
        <v>125</v>
      </c>
      <c r="C185" s="371"/>
      <c r="D185" s="19"/>
      <c r="E185" s="19"/>
    </row>
    <row r="186" spans="2:5" ht="16.2" thickBot="1">
      <c r="B186" s="372"/>
      <c r="C186" s="372"/>
      <c r="D186" s="36"/>
      <c r="E186" s="19"/>
    </row>
    <row r="187" spans="2:5">
      <c r="B187" s="37" t="s">
        <v>126</v>
      </c>
      <c r="C187" s="23">
        <v>44687</v>
      </c>
      <c r="D187" s="19"/>
      <c r="E187" s="19"/>
    </row>
    <row r="188" spans="2:5" ht="16.2" thickBot="1">
      <c r="B188" s="39" t="s">
        <v>127</v>
      </c>
      <c r="C188" s="28">
        <v>396</v>
      </c>
      <c r="D188" s="19"/>
      <c r="E188" s="19"/>
    </row>
    <row r="189" spans="2:5" ht="16.2" thickBot="1">
      <c r="B189" s="51" t="s">
        <v>15</v>
      </c>
      <c r="C189" s="30">
        <v>45083</v>
      </c>
      <c r="D189" s="19"/>
      <c r="E189" s="19"/>
    </row>
    <row r="192" spans="2:5" ht="16.2" thickBot="1">
      <c r="B192" s="50" t="s">
        <v>128</v>
      </c>
    </row>
    <row r="193" spans="2:6">
      <c r="B193" s="378" t="s">
        <v>129</v>
      </c>
      <c r="C193" s="371"/>
      <c r="D193" s="379"/>
      <c r="E193" s="19"/>
      <c r="F193" s="19"/>
    </row>
    <row r="194" spans="2:6" ht="16.2" thickBot="1">
      <c r="B194" s="380"/>
      <c r="C194" s="381"/>
      <c r="D194" s="382"/>
      <c r="E194" s="9"/>
      <c r="F194" s="19"/>
    </row>
    <row r="195" spans="2:6" ht="16.2" thickBot="1">
      <c r="B195" s="52" t="s">
        <v>130</v>
      </c>
      <c r="C195" s="53"/>
      <c r="D195" s="54">
        <v>38078.5</v>
      </c>
      <c r="E195" s="19"/>
      <c r="F195" s="19"/>
    </row>
    <row r="196" spans="2:6" ht="16.2" thickBot="1">
      <c r="B196" s="55" t="s">
        <v>121</v>
      </c>
      <c r="C196" s="56">
        <v>7912.5</v>
      </c>
      <c r="D196" s="57"/>
      <c r="E196" s="19"/>
      <c r="F196" s="19"/>
    </row>
    <row r="197" spans="2:6" ht="16.2" thickBot="1">
      <c r="B197" s="55" t="s">
        <v>122</v>
      </c>
      <c r="C197" s="56">
        <v>13966</v>
      </c>
      <c r="D197" s="57"/>
      <c r="E197" s="19"/>
      <c r="F197" s="19"/>
    </row>
    <row r="198" spans="2:6" ht="16.2" thickBot="1">
      <c r="B198" s="55" t="s">
        <v>123</v>
      </c>
      <c r="C198" s="56">
        <v>16200</v>
      </c>
      <c r="D198" s="57"/>
      <c r="E198" s="19"/>
      <c r="F198" s="19"/>
    </row>
    <row r="199" spans="2:6" ht="16.2" thickBot="1">
      <c r="B199" s="52" t="s">
        <v>131</v>
      </c>
      <c r="C199" s="53"/>
      <c r="D199" s="58">
        <v>45083</v>
      </c>
      <c r="E199" s="19"/>
      <c r="F199" s="19"/>
    </row>
    <row r="200" spans="2:6" ht="16.2" thickBot="1">
      <c r="B200" s="52" t="s">
        <v>126</v>
      </c>
      <c r="C200" s="59">
        <v>44687</v>
      </c>
      <c r="D200" s="60"/>
      <c r="E200" s="19"/>
      <c r="F200" s="19"/>
    </row>
    <row r="201" spans="2:6" ht="16.2" thickBot="1">
      <c r="B201" s="55" t="s">
        <v>132</v>
      </c>
      <c r="C201" s="166">
        <v>35400</v>
      </c>
      <c r="D201" s="61"/>
      <c r="E201" s="19"/>
      <c r="F201" s="19"/>
    </row>
    <row r="202" spans="2:6" ht="16.2" thickBot="1">
      <c r="B202" s="55" t="s">
        <v>133</v>
      </c>
      <c r="C202" s="167">
        <v>955</v>
      </c>
      <c r="D202" s="61"/>
      <c r="E202" s="19"/>
      <c r="F202" s="19"/>
    </row>
    <row r="203" spans="2:6" ht="16.2" thickBot="1">
      <c r="B203" s="55" t="s">
        <v>134</v>
      </c>
      <c r="C203" s="167">
        <v>1800</v>
      </c>
      <c r="D203" s="61"/>
      <c r="E203" s="19"/>
      <c r="F203" s="19"/>
    </row>
    <row r="204" spans="2:6" ht="16.2" thickBot="1">
      <c r="B204" s="55" t="s">
        <v>135</v>
      </c>
      <c r="C204" s="167">
        <v>60</v>
      </c>
      <c r="D204" s="61"/>
      <c r="E204" s="19"/>
      <c r="F204" s="19"/>
    </row>
    <row r="205" spans="2:6" ht="16.2" thickBot="1">
      <c r="B205" s="55" t="s">
        <v>136</v>
      </c>
      <c r="C205" s="167">
        <v>40</v>
      </c>
      <c r="D205" s="61"/>
      <c r="E205" s="19"/>
      <c r="F205" s="19"/>
    </row>
    <row r="206" spans="2:6" ht="16.2" thickBot="1">
      <c r="B206" s="55" t="s">
        <v>137</v>
      </c>
      <c r="C206" s="167">
        <v>132</v>
      </c>
      <c r="D206" s="61"/>
      <c r="E206" s="19"/>
      <c r="F206" s="19"/>
    </row>
    <row r="207" spans="2:6" ht="16.2" thickBot="1">
      <c r="B207" s="55" t="s">
        <v>138</v>
      </c>
      <c r="C207" s="167">
        <v>900</v>
      </c>
      <c r="D207" s="61"/>
      <c r="E207" s="19"/>
      <c r="F207" s="19"/>
    </row>
    <row r="208" spans="2:6" ht="16.2" thickBot="1">
      <c r="B208" s="55" t="s">
        <v>139</v>
      </c>
      <c r="C208" s="167">
        <v>5400</v>
      </c>
      <c r="D208" s="61"/>
      <c r="E208" s="19"/>
      <c r="F208" s="19"/>
    </row>
    <row r="209" spans="2:6" ht="16.2" thickBot="1">
      <c r="B209" s="52" t="s">
        <v>140</v>
      </c>
      <c r="C209" s="30">
        <v>396</v>
      </c>
      <c r="D209" s="61"/>
      <c r="E209" s="19"/>
      <c r="F209" s="19"/>
    </row>
    <row r="210" spans="2:6" ht="16.2" thickBot="1">
      <c r="B210" s="55" t="s">
        <v>141</v>
      </c>
      <c r="C210" s="28">
        <v>396</v>
      </c>
      <c r="D210" s="55"/>
      <c r="E210" s="19"/>
      <c r="F210" s="19"/>
    </row>
    <row r="211" spans="2:6" ht="16.2" thickBot="1">
      <c r="B211" s="62" t="s">
        <v>15</v>
      </c>
      <c r="C211" s="53"/>
      <c r="D211" s="54">
        <v>83161.5</v>
      </c>
      <c r="E211" s="19"/>
      <c r="F211" s="19"/>
    </row>
    <row r="214" spans="2:6" ht="16.2" thickBot="1">
      <c r="B214" s="50" t="s">
        <v>142</v>
      </c>
    </row>
    <row r="215" spans="2:6" ht="16.2" thickBot="1">
      <c r="B215" s="46" t="s">
        <v>13</v>
      </c>
      <c r="C215" s="46" t="s">
        <v>143</v>
      </c>
      <c r="D215" s="46" t="s">
        <v>144</v>
      </c>
    </row>
    <row r="216" spans="2:6">
      <c r="B216" s="37" t="s">
        <v>145</v>
      </c>
      <c r="C216" s="23">
        <v>44932.88</v>
      </c>
      <c r="D216" s="63">
        <v>0.5</v>
      </c>
    </row>
    <row r="217" spans="2:6" ht="16.2" thickBot="1">
      <c r="B217" s="39" t="s">
        <v>146</v>
      </c>
      <c r="C217" s="28">
        <v>44932.88</v>
      </c>
      <c r="D217" s="64">
        <v>0.5</v>
      </c>
    </row>
    <row r="218" spans="2:6" ht="16.2" thickBot="1">
      <c r="B218" s="41" t="s">
        <v>15</v>
      </c>
      <c r="C218" s="30">
        <v>89865.75</v>
      </c>
      <c r="D218" s="65">
        <v>1</v>
      </c>
    </row>
    <row r="221" spans="2:6" ht="16.2" thickBot="1">
      <c r="B221" s="50" t="s">
        <v>147</v>
      </c>
    </row>
    <row r="222" spans="2:6" ht="16.2" thickBot="1">
      <c r="B222" s="66" t="s">
        <v>47</v>
      </c>
      <c r="C222" s="66" t="s">
        <v>148</v>
      </c>
      <c r="D222" s="66" t="s">
        <v>149</v>
      </c>
      <c r="E222" s="66" t="s">
        <v>150</v>
      </c>
    </row>
    <row r="223" spans="2:6">
      <c r="B223" s="24">
        <v>1</v>
      </c>
      <c r="C223" s="23">
        <v>6786.16</v>
      </c>
      <c r="D223" s="23">
        <v>5551.29</v>
      </c>
      <c r="E223" s="23">
        <v>12337.45</v>
      </c>
    </row>
    <row r="224" spans="2:6">
      <c r="B224" s="24">
        <v>2</v>
      </c>
      <c r="C224" s="23">
        <v>7741.99</v>
      </c>
      <c r="D224" s="23">
        <v>4595.46</v>
      </c>
      <c r="E224" s="23">
        <v>12337.45</v>
      </c>
    </row>
    <row r="225" spans="2:8">
      <c r="B225" s="24">
        <v>3</v>
      </c>
      <c r="C225" s="23">
        <v>8832.4500000000007</v>
      </c>
      <c r="D225" s="23">
        <v>3505</v>
      </c>
      <c r="E225" s="23">
        <v>12337.45</v>
      </c>
    </row>
    <row r="226" spans="2:8">
      <c r="B226" s="24">
        <v>4</v>
      </c>
      <c r="C226" s="23">
        <v>10076.5</v>
      </c>
      <c r="D226" s="23">
        <v>2260.9499999999998</v>
      </c>
      <c r="E226" s="23">
        <v>12337.45</v>
      </c>
    </row>
    <row r="227" spans="2:8" ht="16.2" thickBot="1">
      <c r="B227" s="24">
        <v>5</v>
      </c>
      <c r="C227" s="23">
        <v>11495.78</v>
      </c>
      <c r="D227" s="23">
        <v>841.67</v>
      </c>
      <c r="E227" s="23">
        <v>12337.45</v>
      </c>
    </row>
    <row r="228" spans="2:8" ht="16.2" thickBot="1">
      <c r="B228" s="66" t="s">
        <v>15</v>
      </c>
      <c r="C228" s="67">
        <v>44932.88</v>
      </c>
      <c r="D228" s="67">
        <v>16754.36</v>
      </c>
      <c r="E228" s="67">
        <v>61687.24</v>
      </c>
    </row>
    <row r="231" spans="2:8">
      <c r="B231" t="s">
        <v>151</v>
      </c>
    </row>
    <row r="235" spans="2:8">
      <c r="B235" s="68" t="s">
        <v>152</v>
      </c>
    </row>
    <row r="236" spans="2:8" ht="16.2" thickBot="1"/>
    <row r="237" spans="2:8" ht="28.2" thickBot="1">
      <c r="B237" s="69" t="s">
        <v>153</v>
      </c>
      <c r="C237" s="69" t="s">
        <v>154</v>
      </c>
      <c r="D237" s="69" t="s">
        <v>155</v>
      </c>
      <c r="E237" s="69" t="s">
        <v>156</v>
      </c>
      <c r="F237" s="69" t="s">
        <v>1</v>
      </c>
      <c r="G237" s="69" t="s">
        <v>157</v>
      </c>
      <c r="H237" s="69" t="s">
        <v>158</v>
      </c>
    </row>
    <row r="238" spans="2:8" ht="97.2" thickBot="1">
      <c r="B238" s="70" t="s">
        <v>159</v>
      </c>
      <c r="C238" s="71" t="s">
        <v>160</v>
      </c>
      <c r="D238" s="71" t="s">
        <v>161</v>
      </c>
      <c r="E238" s="72" t="s">
        <v>162</v>
      </c>
      <c r="F238" s="72">
        <v>3</v>
      </c>
      <c r="G238" s="73">
        <v>50</v>
      </c>
      <c r="H238" s="73">
        <v>150</v>
      </c>
    </row>
    <row r="239" spans="2:8" ht="124.8" thickBot="1">
      <c r="B239" s="70" t="s">
        <v>163</v>
      </c>
      <c r="C239" s="71" t="s">
        <v>164</v>
      </c>
      <c r="D239" s="71" t="s">
        <v>165</v>
      </c>
      <c r="E239" s="72" t="s">
        <v>166</v>
      </c>
      <c r="F239" s="72">
        <v>1</v>
      </c>
      <c r="G239" s="73">
        <v>440</v>
      </c>
      <c r="H239" s="73">
        <v>440</v>
      </c>
    </row>
    <row r="240" spans="2:8" ht="83.4" thickBot="1">
      <c r="B240" s="70" t="s">
        <v>167</v>
      </c>
      <c r="C240" s="71" t="s">
        <v>168</v>
      </c>
      <c r="D240" s="71" t="s">
        <v>169</v>
      </c>
      <c r="E240" s="72" t="s">
        <v>170</v>
      </c>
      <c r="F240" s="72">
        <v>20</v>
      </c>
      <c r="G240" s="73">
        <v>8</v>
      </c>
      <c r="H240" s="73">
        <v>160</v>
      </c>
    </row>
    <row r="241" spans="2:8" ht="69.599999999999994" thickBot="1">
      <c r="B241" s="70" t="s">
        <v>171</v>
      </c>
      <c r="C241" s="71" t="s">
        <v>172</v>
      </c>
      <c r="D241" s="71" t="s">
        <v>173</v>
      </c>
      <c r="E241" s="72" t="s">
        <v>174</v>
      </c>
      <c r="F241" s="72">
        <v>1</v>
      </c>
      <c r="G241" s="73">
        <v>140</v>
      </c>
      <c r="H241" s="73">
        <v>140</v>
      </c>
    </row>
    <row r="242" spans="2:8" ht="16.2" thickBot="1">
      <c r="B242" s="74" t="s">
        <v>15</v>
      </c>
      <c r="C242" s="75"/>
      <c r="D242" s="75"/>
      <c r="E242" s="76"/>
      <c r="F242" s="76"/>
      <c r="G242" s="76"/>
      <c r="H242" s="77">
        <v>890</v>
      </c>
    </row>
  </sheetData>
  <mergeCells count="33">
    <mergeCell ref="B83:B84"/>
    <mergeCell ref="B54:B55"/>
    <mergeCell ref="F83:F84"/>
    <mergeCell ref="F54:F55"/>
    <mergeCell ref="E54:E55"/>
    <mergeCell ref="D54:D55"/>
    <mergeCell ref="C54:C55"/>
    <mergeCell ref="C69:E69"/>
    <mergeCell ref="B74:B75"/>
    <mergeCell ref="C74:C75"/>
    <mergeCell ref="D74:D75"/>
    <mergeCell ref="E74:E75"/>
    <mergeCell ref="B152:B153"/>
    <mergeCell ref="C152:G152"/>
    <mergeCell ref="B176:C177"/>
    <mergeCell ref="B185:C186"/>
    <mergeCell ref="B193:D194"/>
    <mergeCell ref="B13:B14"/>
    <mergeCell ref="C13:H13"/>
    <mergeCell ref="H128:H129"/>
    <mergeCell ref="B105:B106"/>
    <mergeCell ref="C105:C106"/>
    <mergeCell ref="D105:D106"/>
    <mergeCell ref="E105:E106"/>
    <mergeCell ref="B128:B129"/>
    <mergeCell ref="C128:C129"/>
    <mergeCell ref="D128:D129"/>
    <mergeCell ref="E128:E129"/>
    <mergeCell ref="G128:G129"/>
    <mergeCell ref="C101:E101"/>
    <mergeCell ref="E83:E84"/>
    <mergeCell ref="D83:D84"/>
    <mergeCell ref="C83:C84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3"/>
  <sheetViews>
    <sheetView showGridLines="0" topLeftCell="A3" zoomScale="70" zoomScaleNormal="70" workbookViewId="0">
      <selection activeCell="L32" sqref="L32"/>
    </sheetView>
  </sheetViews>
  <sheetFormatPr baseColWidth="10" defaultColWidth="11" defaultRowHeight="13.8"/>
  <cols>
    <col min="1" max="1" width="3.59765625" style="183" customWidth="1"/>
    <col min="2" max="2" width="34.09765625" style="183" customWidth="1"/>
    <col min="3" max="8" width="11" style="183"/>
    <col min="9" max="9" width="13.8984375" style="183" customWidth="1"/>
    <col min="10" max="16384" width="11" style="183"/>
  </cols>
  <sheetData>
    <row r="1" spans="2:12" ht="14.4" thickBot="1"/>
    <row r="2" spans="2:12" ht="14.4" thickBot="1">
      <c r="B2" s="406" t="s">
        <v>303</v>
      </c>
      <c r="C2" s="407"/>
      <c r="D2" s="408"/>
    </row>
    <row r="3" spans="2:12" ht="14.4" thickBot="1"/>
    <row r="4" spans="2:12" ht="14.4" thickBot="1">
      <c r="B4" s="409" t="s">
        <v>260</v>
      </c>
      <c r="C4" s="411" t="s">
        <v>261</v>
      </c>
      <c r="D4" s="412"/>
      <c r="E4" s="412"/>
      <c r="F4" s="412"/>
      <c r="G4" s="412"/>
      <c r="H4" s="412"/>
      <c r="I4" s="413" t="s">
        <v>262</v>
      </c>
    </row>
    <row r="5" spans="2:12" ht="14.4" thickBot="1">
      <c r="B5" s="410"/>
      <c r="C5" s="227">
        <v>0</v>
      </c>
      <c r="D5" s="227">
        <v>1</v>
      </c>
      <c r="E5" s="227">
        <v>2</v>
      </c>
      <c r="F5" s="227">
        <v>3</v>
      </c>
      <c r="G5" s="227">
        <v>4</v>
      </c>
      <c r="H5" s="227">
        <v>5</v>
      </c>
      <c r="I5" s="414"/>
      <c r="L5" s="183" t="s">
        <v>342</v>
      </c>
    </row>
    <row r="6" spans="2:12" ht="14.4" thickBot="1">
      <c r="B6" s="228" t="s">
        <v>263</v>
      </c>
      <c r="C6" s="229"/>
      <c r="D6" s="185">
        <f>SUM(D7:D8)</f>
        <v>143685</v>
      </c>
      <c r="E6" s="185">
        <f t="shared" ref="E6:H6" si="0">SUM(E7:E8)</f>
        <v>147995.54999999999</v>
      </c>
      <c r="F6" s="185">
        <f t="shared" si="0"/>
        <v>152435.41649999999</v>
      </c>
      <c r="G6" s="185">
        <f t="shared" si="0"/>
        <v>157008.47899500001</v>
      </c>
      <c r="H6" s="185">
        <f t="shared" si="0"/>
        <v>161718.73336485002</v>
      </c>
      <c r="I6" s="186">
        <f>SUM(D6:H6)</f>
        <v>762843.17885985004</v>
      </c>
      <c r="L6" s="183" t="s">
        <v>440</v>
      </c>
    </row>
    <row r="7" spans="2:12" ht="14.4" thickBot="1">
      <c r="B7" s="256" t="s">
        <v>193</v>
      </c>
      <c r="C7" s="257"/>
      <c r="D7" s="230">
        <f>PRODUCCIÓN!S15</f>
        <v>86670</v>
      </c>
      <c r="E7" s="230">
        <f>PRODUCCIÓN!T15</f>
        <v>89270.1</v>
      </c>
      <c r="F7" s="230">
        <f>PRODUCCIÓN!U15</f>
        <v>91948.202999999994</v>
      </c>
      <c r="G7" s="230">
        <f>PRODUCCIÓN!V15</f>
        <v>94706.649090000006</v>
      </c>
      <c r="H7" s="230">
        <f>PRODUCCIÓN!W15</f>
        <v>97547.848562700019</v>
      </c>
      <c r="I7" s="251"/>
      <c r="L7" s="183" t="s">
        <v>441</v>
      </c>
    </row>
    <row r="8" spans="2:12" ht="14.4" thickBot="1">
      <c r="B8" s="256" t="s">
        <v>413</v>
      </c>
      <c r="C8" s="257"/>
      <c r="D8" s="230">
        <f>PRODUCCIÓN!S16</f>
        <v>57015</v>
      </c>
      <c r="E8" s="230">
        <f>PRODUCCIÓN!T16</f>
        <v>58725.45</v>
      </c>
      <c r="F8" s="230">
        <f>PRODUCCIÓN!U16</f>
        <v>60487.213499999998</v>
      </c>
      <c r="G8" s="230">
        <f>PRODUCCIÓN!V16</f>
        <v>62301.829904999999</v>
      </c>
      <c r="H8" s="230">
        <f>PRODUCCIÓN!W16</f>
        <v>64170.884802150002</v>
      </c>
      <c r="I8" s="251"/>
      <c r="L8" s="183" t="s">
        <v>442</v>
      </c>
    </row>
    <row r="9" spans="2:12" ht="14.4" thickBot="1">
      <c r="B9" s="232" t="s">
        <v>272</v>
      </c>
      <c r="C9" s="233"/>
      <c r="D9" s="191">
        <f>SUM(D10:D12)</f>
        <v>41980</v>
      </c>
      <c r="E9" s="191">
        <f>SUM(E10:E12)</f>
        <v>42819.6</v>
      </c>
      <c r="F9" s="191">
        <f>SUM(F10:F12)</f>
        <v>43675.991999999998</v>
      </c>
      <c r="G9" s="191">
        <f>SUM(G10:G12)</f>
        <v>44549.511840000006</v>
      </c>
      <c r="H9" s="191">
        <f>SUM(H10:H12)</f>
        <v>45440.50207680001</v>
      </c>
      <c r="I9" s="191">
        <f>SUM(D9:H9)</f>
        <v>218465.60591680001</v>
      </c>
      <c r="L9" s="183" t="s">
        <v>443</v>
      </c>
    </row>
    <row r="10" spans="2:12" ht="14.4" thickBot="1">
      <c r="B10" s="261" t="s">
        <v>121</v>
      </c>
      <c r="C10" s="257"/>
      <c r="D10" s="244">
        <f>'COSTOS Y GASTOS'!C40</f>
        <v>15200</v>
      </c>
      <c r="E10" s="244">
        <f>D10*1.02</f>
        <v>15504</v>
      </c>
      <c r="F10" s="244">
        <f t="shared" ref="F10:H10" si="1">E10*1.02</f>
        <v>15814.08</v>
      </c>
      <c r="G10" s="244">
        <f t="shared" si="1"/>
        <v>16130.3616</v>
      </c>
      <c r="H10" s="244">
        <f t="shared" si="1"/>
        <v>16452.968831999999</v>
      </c>
      <c r="I10" s="258"/>
      <c r="L10" s="183" t="s">
        <v>444</v>
      </c>
    </row>
    <row r="11" spans="2:12" ht="14.4" thickBot="1">
      <c r="B11" s="261" t="s">
        <v>122</v>
      </c>
      <c r="C11" s="257"/>
      <c r="D11" s="244">
        <f>'COSTOS Y GASTOS'!C41</f>
        <v>15500</v>
      </c>
      <c r="E11" s="244">
        <f t="shared" ref="E11:H12" si="2">D11*1.02</f>
        <v>15810</v>
      </c>
      <c r="F11" s="244">
        <f t="shared" si="2"/>
        <v>16126.2</v>
      </c>
      <c r="G11" s="244">
        <f t="shared" si="2"/>
        <v>16448.724000000002</v>
      </c>
      <c r="H11" s="244">
        <f t="shared" si="2"/>
        <v>16777.698480000003</v>
      </c>
      <c r="I11" s="258"/>
    </row>
    <row r="12" spans="2:12" ht="14.4" thickBot="1">
      <c r="B12" s="261" t="s">
        <v>273</v>
      </c>
      <c r="C12" s="257"/>
      <c r="D12" s="244">
        <f>'COSTOS Y GASTOS'!C42</f>
        <v>11280</v>
      </c>
      <c r="E12" s="244">
        <f t="shared" si="2"/>
        <v>11505.6</v>
      </c>
      <c r="F12" s="244">
        <f t="shared" si="2"/>
        <v>11735.712000000001</v>
      </c>
      <c r="G12" s="244">
        <f t="shared" si="2"/>
        <v>11970.426240000001</v>
      </c>
      <c r="H12" s="244">
        <f t="shared" si="2"/>
        <v>12209.834764800002</v>
      </c>
      <c r="I12" s="258"/>
    </row>
    <row r="13" spans="2:12" ht="14.4" thickBot="1">
      <c r="B13" s="235" t="s">
        <v>274</v>
      </c>
      <c r="C13" s="236"/>
      <c r="D13" s="192">
        <f>SUM(D14:D15)</f>
        <v>68825</v>
      </c>
      <c r="E13" s="192">
        <f>SUM(E14:E15)</f>
        <v>69504.850000000006</v>
      </c>
      <c r="F13" s="192">
        <f>SUM(F14:F15)</f>
        <v>70191.498500000002</v>
      </c>
      <c r="G13" s="192">
        <f>SUM(G14:G15)</f>
        <v>70885.013485000003</v>
      </c>
      <c r="H13" s="192">
        <f>SUM(H14:H15)</f>
        <v>71585.463619850008</v>
      </c>
      <c r="I13" s="192">
        <f>SUM(D13:H13)</f>
        <v>350991.82560485002</v>
      </c>
    </row>
    <row r="14" spans="2:12" ht="14.4" thickBot="1">
      <c r="B14" s="261" t="s">
        <v>126</v>
      </c>
      <c r="C14" s="257"/>
      <c r="D14" s="244">
        <f>'COSTOS Y GASTOS'!C125</f>
        <v>67985</v>
      </c>
      <c r="E14" s="244">
        <f>D14*1.01</f>
        <v>68664.850000000006</v>
      </c>
      <c r="F14" s="244">
        <f t="shared" ref="F14:H14" si="3">E14*1.01</f>
        <v>69351.498500000002</v>
      </c>
      <c r="G14" s="244">
        <f t="shared" si="3"/>
        <v>70045.013485000003</v>
      </c>
      <c r="H14" s="244">
        <f t="shared" si="3"/>
        <v>70745.463619850008</v>
      </c>
      <c r="I14" s="259"/>
    </row>
    <row r="15" spans="2:12" ht="14.4" thickBot="1">
      <c r="B15" s="261" t="s">
        <v>127</v>
      </c>
      <c r="C15" s="257"/>
      <c r="D15" s="244">
        <f>'COSTOS Y GASTOS'!C127</f>
        <v>840</v>
      </c>
      <c r="E15" s="244">
        <f t="shared" ref="E14:H15" si="4">D15</f>
        <v>840</v>
      </c>
      <c r="F15" s="244">
        <f t="shared" si="4"/>
        <v>840</v>
      </c>
      <c r="G15" s="244">
        <f t="shared" si="4"/>
        <v>840</v>
      </c>
      <c r="H15" s="244">
        <f t="shared" si="4"/>
        <v>840</v>
      </c>
      <c r="I15" s="259"/>
    </row>
    <row r="16" spans="2:12" ht="14.4" thickBot="1">
      <c r="B16" s="237" t="s">
        <v>275</v>
      </c>
      <c r="C16" s="193"/>
      <c r="D16" s="193">
        <f>DEPRECIACIÓN!E22</f>
        <v>3005.5</v>
      </c>
      <c r="E16" s="193">
        <f>DEPRECIACIÓN!F22</f>
        <v>3005.5</v>
      </c>
      <c r="F16" s="193">
        <f>DEPRECIACIÓN!G22</f>
        <v>3005.5</v>
      </c>
      <c r="G16" s="193">
        <f>DEPRECIACIÓN!H22</f>
        <v>3005.5</v>
      </c>
      <c r="H16" s="193">
        <f>DEPRECIACIÓN!I22</f>
        <v>3005.5</v>
      </c>
      <c r="I16" s="193"/>
    </row>
    <row r="17" spans="2:9" ht="14.4" thickBot="1">
      <c r="B17" s="237" t="s">
        <v>419</v>
      </c>
      <c r="C17" s="193"/>
      <c r="D17" s="193">
        <f>INVERSIÓN!F82</f>
        <v>1532.5539903887582</v>
      </c>
      <c r="E17" s="193">
        <f>INVERSIÓN!F83</f>
        <v>1789.4893891057773</v>
      </c>
      <c r="F17" s="486">
        <f>INVERSIÓN!F84</f>
        <v>2089.5004638041223</v>
      </c>
      <c r="G17" s="193">
        <f>INVERSIÓN!F85</f>
        <v>2439.8089280760551</v>
      </c>
      <c r="H17" s="486">
        <f>INVERSIÓN!F86</f>
        <v>2848.8472286252891</v>
      </c>
      <c r="I17" s="193"/>
    </row>
    <row r="18" spans="2:9" ht="14.4" thickBot="1">
      <c r="B18" s="237" t="s">
        <v>277</v>
      </c>
      <c r="C18" s="193"/>
      <c r="D18" s="193">
        <f>INVERSIÓN!D92</f>
        <v>1562.7189004362472</v>
      </c>
      <c r="E18" s="193">
        <f>INVERSIÓN!D93</f>
        <v>1305.7835017192276</v>
      </c>
      <c r="F18" s="193">
        <f>INVERSIÓN!D94</f>
        <v>1005.7724270208828</v>
      </c>
      <c r="G18" s="193">
        <f>INVERSIÓN!D95</f>
        <v>655.46396274895005</v>
      </c>
      <c r="H18" s="193">
        <f>INVERSIÓN!D96</f>
        <v>246.42566219971619</v>
      </c>
      <c r="I18" s="193"/>
    </row>
    <row r="19" spans="2:9" ht="14.4" thickBot="1">
      <c r="B19" s="238" t="s">
        <v>278</v>
      </c>
      <c r="C19" s="194"/>
      <c r="D19" s="194">
        <f>D6-D9-D13-D16-D17-D18</f>
        <v>26779.227109174994</v>
      </c>
      <c r="E19" s="194">
        <f t="shared" ref="E19:H19" si="5">E6-E9-E13-E16-E17-E18</f>
        <v>29570.327109174974</v>
      </c>
      <c r="F19" s="194">
        <f t="shared" si="5"/>
        <v>32467.153109174989</v>
      </c>
      <c r="G19" s="194">
        <f t="shared" si="5"/>
        <v>35473.180779174996</v>
      </c>
      <c r="H19" s="194">
        <f t="shared" si="5"/>
        <v>38591.994777374995</v>
      </c>
      <c r="I19" s="194">
        <f>SUM(D19:H19)</f>
        <v>162881.88288407493</v>
      </c>
    </row>
    <row r="20" spans="2:9" ht="14.4" thickBot="1">
      <c r="B20" s="261" t="s">
        <v>279</v>
      </c>
      <c r="C20" s="257"/>
      <c r="D20" s="244">
        <f>D19*15%</f>
        <v>4016.8840663762489</v>
      </c>
      <c r="E20" s="244">
        <f>E19*15%</f>
        <v>4435.5490663762457</v>
      </c>
      <c r="F20" s="244">
        <f>F19*15%</f>
        <v>4870.0729663762486</v>
      </c>
      <c r="G20" s="244">
        <f>G19*15%</f>
        <v>5320.9771168762491</v>
      </c>
      <c r="H20" s="244">
        <f>H19*15%</f>
        <v>5788.7992166062495</v>
      </c>
      <c r="I20" s="257"/>
    </row>
    <row r="21" spans="2:9" ht="14.4" thickBot="1">
      <c r="B21" s="238" t="s">
        <v>280</v>
      </c>
      <c r="C21" s="194"/>
      <c r="D21" s="194">
        <f>D19-D20</f>
        <v>22762.343042798744</v>
      </c>
      <c r="E21" s="194">
        <f>E19-E20</f>
        <v>25134.778042798727</v>
      </c>
      <c r="F21" s="194">
        <f>F19-F20</f>
        <v>27597.080142798739</v>
      </c>
      <c r="G21" s="194">
        <f>G19-G20</f>
        <v>30152.203662298747</v>
      </c>
      <c r="H21" s="194">
        <f>H19-H20</f>
        <v>32803.195560768749</v>
      </c>
      <c r="I21" s="194">
        <f>SUM(D21:H21)</f>
        <v>138449.60045146372</v>
      </c>
    </row>
    <row r="22" spans="2:9" ht="14.4" thickBot="1">
      <c r="B22" s="262" t="s">
        <v>281</v>
      </c>
      <c r="C22" s="231"/>
      <c r="D22" s="244">
        <f>D21*25%</f>
        <v>5690.585760699686</v>
      </c>
      <c r="E22" s="234">
        <f>E21*25%</f>
        <v>6283.6945106996818</v>
      </c>
      <c r="F22" s="234">
        <f>F21*25%</f>
        <v>6899.2700356996847</v>
      </c>
      <c r="G22" s="234">
        <f>G21*25%</f>
        <v>7538.0509155746868</v>
      </c>
      <c r="H22" s="234">
        <f>H21*25%</f>
        <v>8200.7988901921872</v>
      </c>
      <c r="I22" s="257"/>
    </row>
    <row r="23" spans="2:9" ht="14.4" thickBot="1">
      <c r="B23" s="238" t="s">
        <v>282</v>
      </c>
      <c r="C23" s="194">
        <f>C53</f>
        <v>-26750.5</v>
      </c>
      <c r="D23" s="194">
        <f>D21-D22</f>
        <v>17071.757282099057</v>
      </c>
      <c r="E23" s="194">
        <f>E21-E22</f>
        <v>18851.083532099045</v>
      </c>
      <c r="F23" s="194">
        <f>F21-F22</f>
        <v>20697.810107099052</v>
      </c>
      <c r="G23" s="194">
        <f>G21-G22</f>
        <v>22614.152746724059</v>
      </c>
      <c r="H23" s="194">
        <f>H21-H22</f>
        <v>24602.396670576563</v>
      </c>
      <c r="I23" s="194">
        <f>SUM(D23:H23)</f>
        <v>103837.20033859779</v>
      </c>
    </row>
    <row r="24" spans="2:9" ht="14.4" thickBot="1">
      <c r="B24" s="239" t="s">
        <v>283</v>
      </c>
      <c r="C24" s="240"/>
      <c r="D24" s="244">
        <f>D16</f>
        <v>3005.5</v>
      </c>
      <c r="E24" s="244">
        <f>E16</f>
        <v>3005.5</v>
      </c>
      <c r="F24" s="244">
        <f>F16</f>
        <v>3005.5</v>
      </c>
      <c r="G24" s="244">
        <f>G16</f>
        <v>3005.5</v>
      </c>
      <c r="H24" s="244">
        <f>H16</f>
        <v>3005.5</v>
      </c>
      <c r="I24" s="257"/>
    </row>
    <row r="25" spans="2:9" ht="14.4" thickBot="1">
      <c r="B25" s="242" t="s">
        <v>284</v>
      </c>
      <c r="C25" s="243">
        <f>+C26+C44</f>
        <v>19200</v>
      </c>
      <c r="D25" s="244"/>
      <c r="E25" s="244"/>
      <c r="F25" s="243">
        <v>-4500</v>
      </c>
      <c r="G25" s="244"/>
      <c r="H25" s="244"/>
      <c r="I25" s="245"/>
    </row>
    <row r="26" spans="2:9" ht="14.4" thickBot="1">
      <c r="B26" s="246" t="s">
        <v>285</v>
      </c>
      <c r="C26" s="243">
        <f>SUM(C27:C43)</f>
        <v>17100</v>
      </c>
      <c r="D26" s="244"/>
      <c r="E26" s="244"/>
      <c r="F26" s="244"/>
      <c r="G26" s="244"/>
      <c r="H26" s="244"/>
      <c r="I26" s="245"/>
    </row>
    <row r="27" spans="2:9" ht="14.4" thickBot="1">
      <c r="B27" s="247" t="s">
        <v>236</v>
      </c>
      <c r="C27" s="253">
        <v>1800</v>
      </c>
      <c r="D27" s="251"/>
      <c r="E27" s="251"/>
      <c r="F27" s="251"/>
      <c r="G27" s="251"/>
      <c r="H27" s="251"/>
      <c r="I27" s="251"/>
    </row>
    <row r="28" spans="2:9" ht="14.4" thickBot="1">
      <c r="B28" s="247" t="s">
        <v>237</v>
      </c>
      <c r="C28" s="253">
        <v>2200</v>
      </c>
      <c r="D28" s="251"/>
      <c r="E28" s="251"/>
      <c r="F28" s="251"/>
      <c r="G28" s="251"/>
      <c r="H28" s="251"/>
      <c r="I28" s="251"/>
    </row>
    <row r="29" spans="2:9" ht="14.4" thickBot="1">
      <c r="B29" s="247" t="s">
        <v>238</v>
      </c>
      <c r="C29" s="253">
        <v>1300</v>
      </c>
      <c r="D29" s="251"/>
      <c r="E29" s="251"/>
      <c r="F29" s="251"/>
      <c r="G29" s="251"/>
      <c r="H29" s="251"/>
      <c r="I29" s="251"/>
    </row>
    <row r="30" spans="2:9" ht="14.4" thickBot="1">
      <c r="B30" s="247" t="s">
        <v>239</v>
      </c>
      <c r="C30" s="253">
        <v>500</v>
      </c>
      <c r="D30" s="251"/>
      <c r="E30" s="251"/>
      <c r="F30" s="251"/>
      <c r="G30" s="251"/>
      <c r="H30" s="251"/>
      <c r="I30" s="251"/>
    </row>
    <row r="31" spans="2:9" ht="14.4" thickBot="1">
      <c r="B31" s="247" t="s">
        <v>240</v>
      </c>
      <c r="C31" s="253">
        <v>1000</v>
      </c>
      <c r="D31" s="251"/>
      <c r="E31" s="251"/>
      <c r="F31" s="251"/>
      <c r="G31" s="251"/>
      <c r="H31" s="251"/>
      <c r="I31" s="251"/>
    </row>
    <row r="32" spans="2:9" ht="14.4" thickBot="1">
      <c r="B32" s="247" t="s">
        <v>230</v>
      </c>
      <c r="C32" s="253">
        <v>140</v>
      </c>
      <c r="D32" s="251"/>
      <c r="E32" s="251"/>
      <c r="F32" s="251"/>
      <c r="G32" s="251"/>
      <c r="H32" s="251"/>
      <c r="I32" s="251"/>
    </row>
    <row r="33" spans="2:9" ht="14.4" thickBot="1">
      <c r="B33" s="247" t="s">
        <v>241</v>
      </c>
      <c r="C33" s="253">
        <v>350</v>
      </c>
      <c r="D33" s="251"/>
      <c r="E33" s="251"/>
      <c r="F33" s="251"/>
      <c r="G33" s="251"/>
      <c r="H33" s="251"/>
      <c r="I33" s="251"/>
    </row>
    <row r="34" spans="2:9" ht="14.4" thickBot="1">
      <c r="B34" s="247" t="s">
        <v>231</v>
      </c>
      <c r="C34" s="253">
        <v>360</v>
      </c>
      <c r="D34" s="251"/>
      <c r="E34" s="251"/>
      <c r="F34" s="251"/>
      <c r="G34" s="251"/>
      <c r="H34" s="251"/>
      <c r="I34" s="251"/>
    </row>
    <row r="35" spans="2:9" ht="14.4" thickBot="1">
      <c r="B35" s="247" t="s">
        <v>232</v>
      </c>
      <c r="C35" s="253">
        <v>450</v>
      </c>
      <c r="D35" s="251"/>
      <c r="E35" s="251"/>
      <c r="F35" s="251"/>
      <c r="G35" s="251"/>
      <c r="H35" s="251"/>
      <c r="I35" s="251"/>
    </row>
    <row r="36" spans="2:9" ht="14.4" thickBot="1">
      <c r="B36" s="247" t="s">
        <v>242</v>
      </c>
      <c r="C36" s="253">
        <v>700</v>
      </c>
      <c r="D36" s="251"/>
      <c r="E36" s="251"/>
      <c r="F36" s="251"/>
      <c r="G36" s="251"/>
      <c r="H36" s="251"/>
      <c r="I36" s="251"/>
    </row>
    <row r="37" spans="2:9" ht="14.4" thickBot="1">
      <c r="B37" s="247" t="s">
        <v>233</v>
      </c>
      <c r="C37" s="253">
        <v>450</v>
      </c>
      <c r="D37" s="251"/>
      <c r="E37" s="251"/>
      <c r="F37" s="251"/>
      <c r="G37" s="251"/>
      <c r="H37" s="251"/>
      <c r="I37" s="251"/>
    </row>
    <row r="38" spans="2:9" ht="14.4" thickBot="1">
      <c r="B38" s="247" t="s">
        <v>18</v>
      </c>
      <c r="C38" s="254">
        <v>750</v>
      </c>
      <c r="D38" s="251"/>
      <c r="E38" s="251"/>
      <c r="F38" s="251"/>
      <c r="G38" s="251"/>
      <c r="H38" s="251"/>
      <c r="I38" s="251"/>
    </row>
    <row r="39" spans="2:9" ht="14.4" thickBot="1">
      <c r="B39" s="247" t="s">
        <v>19</v>
      </c>
      <c r="C39" s="254">
        <v>500</v>
      </c>
      <c r="D39" s="251"/>
      <c r="E39" s="251"/>
      <c r="F39" s="251"/>
      <c r="G39" s="251"/>
      <c r="H39" s="251"/>
      <c r="I39" s="251"/>
    </row>
    <row r="40" spans="2:9" ht="14.4" thickBot="1">
      <c r="B40" s="247" t="s">
        <v>21</v>
      </c>
      <c r="C40" s="254">
        <v>500</v>
      </c>
      <c r="D40" s="251"/>
      <c r="E40" s="251"/>
      <c r="F40" s="251"/>
      <c r="G40" s="251"/>
      <c r="H40" s="251"/>
      <c r="I40" s="251"/>
    </row>
    <row r="41" spans="2:9" ht="14.4" thickBot="1">
      <c r="B41" s="247" t="s">
        <v>115</v>
      </c>
      <c r="C41" s="248">
        <v>4500</v>
      </c>
      <c r="D41" s="251"/>
      <c r="E41" s="251"/>
      <c r="F41" s="254">
        <v>4500</v>
      </c>
      <c r="G41" s="251"/>
      <c r="H41" s="251"/>
      <c r="I41" s="251"/>
    </row>
    <row r="42" spans="2:9" ht="14.4" thickBot="1">
      <c r="B42" s="247" t="s">
        <v>136</v>
      </c>
      <c r="C42" s="254">
        <v>600</v>
      </c>
      <c r="D42" s="251"/>
      <c r="E42" s="251"/>
      <c r="F42" s="251"/>
      <c r="G42" s="251"/>
      <c r="H42" s="251"/>
      <c r="I42" s="251"/>
    </row>
    <row r="43" spans="2:9" ht="14.4" thickBot="1">
      <c r="B43" s="249" t="s">
        <v>243</v>
      </c>
      <c r="C43" s="254">
        <v>1000</v>
      </c>
      <c r="D43" s="251"/>
      <c r="E43" s="251"/>
      <c r="F43" s="251"/>
      <c r="G43" s="251"/>
      <c r="H43" s="251"/>
      <c r="I43" s="251"/>
    </row>
    <row r="44" spans="2:9" ht="14.4" thickBot="1">
      <c r="B44" s="263" t="s">
        <v>40</v>
      </c>
      <c r="C44" s="12">
        <f>SUM(C45:C48)</f>
        <v>2100</v>
      </c>
      <c r="D44" s="251"/>
      <c r="E44" s="251"/>
      <c r="F44" s="251"/>
      <c r="G44" s="251"/>
      <c r="H44" s="251"/>
      <c r="I44" s="251"/>
    </row>
    <row r="45" spans="2:9" ht="14.4" thickBot="1">
      <c r="B45" s="264" t="s">
        <v>41</v>
      </c>
      <c r="C45" s="260">
        <v>1000</v>
      </c>
      <c r="D45" s="251"/>
      <c r="E45" s="251"/>
      <c r="F45" s="251"/>
      <c r="G45" s="251"/>
      <c r="H45" s="251"/>
      <c r="I45" s="251"/>
    </row>
    <row r="46" spans="2:9" ht="14.4" thickBot="1">
      <c r="B46" s="264" t="s">
        <v>42</v>
      </c>
      <c r="C46" s="260">
        <v>500</v>
      </c>
      <c r="D46" s="251"/>
      <c r="E46" s="251"/>
      <c r="F46" s="251"/>
      <c r="G46" s="251"/>
      <c r="H46" s="251"/>
      <c r="I46" s="251"/>
    </row>
    <row r="47" spans="2:9" ht="14.4" thickBot="1">
      <c r="B47" s="264" t="s">
        <v>43</v>
      </c>
      <c r="C47" s="14">
        <v>400</v>
      </c>
      <c r="D47" s="251"/>
      <c r="E47" s="251"/>
      <c r="F47" s="251"/>
      <c r="G47" s="251"/>
      <c r="H47" s="251"/>
      <c r="I47" s="251"/>
    </row>
    <row r="48" spans="2:9" ht="14.4" thickBot="1">
      <c r="B48" s="264" t="s">
        <v>44</v>
      </c>
      <c r="C48" s="14">
        <v>200</v>
      </c>
      <c r="D48" s="251"/>
      <c r="E48" s="251"/>
      <c r="F48" s="251"/>
      <c r="G48" s="251"/>
      <c r="H48" s="251"/>
      <c r="I48" s="251"/>
    </row>
    <row r="49" spans="2:9" ht="14.4" thickBot="1">
      <c r="B49" s="242" t="s">
        <v>417</v>
      </c>
      <c r="C49" s="241"/>
      <c r="D49" s="244">
        <f>-'COSTOS Y GASTOS'!E154</f>
        <v>-420</v>
      </c>
      <c r="E49" s="244">
        <f>-'COSTOS Y GASTOS'!F154</f>
        <v>-420</v>
      </c>
      <c r="F49" s="244">
        <f>-'COSTOS Y GASTOS'!G154</f>
        <v>-420</v>
      </c>
      <c r="G49" s="244">
        <f>-'COSTOS Y GASTOS'!H154</f>
        <v>-420</v>
      </c>
      <c r="H49" s="244">
        <f>-'COSTOS Y GASTOS'!I154</f>
        <v>-420</v>
      </c>
      <c r="I49" s="244"/>
    </row>
    <row r="50" spans="2:9" ht="14.4" thickBot="1">
      <c r="B50" s="242" t="s">
        <v>299</v>
      </c>
      <c r="C50" s="243">
        <f>'PRESUPUESTO DE INVERSIÓN'!C35</f>
        <v>7550.5</v>
      </c>
      <c r="D50" s="243">
        <v>3210</v>
      </c>
      <c r="E50" s="243">
        <v>3210</v>
      </c>
      <c r="F50" s="243">
        <v>3210</v>
      </c>
      <c r="G50" s="243">
        <v>3210</v>
      </c>
      <c r="H50" s="243">
        <v>3210.3</v>
      </c>
      <c r="I50" s="244"/>
    </row>
    <row r="51" spans="2:9" ht="14.4" thickBot="1">
      <c r="B51" s="242" t="s">
        <v>300</v>
      </c>
      <c r="C51" s="255">
        <f>INVERSIÓN!C11</f>
        <v>10700.2</v>
      </c>
      <c r="D51" s="255"/>
      <c r="E51" s="255"/>
      <c r="F51" s="255"/>
      <c r="G51" s="255"/>
      <c r="H51" s="255"/>
      <c r="I51" s="244"/>
    </row>
    <row r="52" spans="2:9" ht="14.4" thickBot="1">
      <c r="B52" s="242" t="s">
        <v>301</v>
      </c>
      <c r="C52" s="244"/>
      <c r="D52" s="244">
        <f>-INVERSIÓN!C92</f>
        <v>-1532.5539903887582</v>
      </c>
      <c r="E52" s="244">
        <f>-INVERSIÓN!C93</f>
        <v>-1789.4893891057773</v>
      </c>
      <c r="F52" s="244">
        <f>-INVERSIÓN!C94</f>
        <v>-2089.5004638041223</v>
      </c>
      <c r="G52" s="244">
        <f>-INVERSIÓN!C95</f>
        <v>-2439.8089280760551</v>
      </c>
      <c r="H52" s="244">
        <f>INVERSIÓN!C96</f>
        <v>2848.8472286252891</v>
      </c>
      <c r="I52" s="252"/>
    </row>
    <row r="53" spans="2:9" ht="14.4" thickBot="1">
      <c r="B53" s="238" t="s">
        <v>418</v>
      </c>
      <c r="C53" s="194">
        <f>-(C26+C44+C50)</f>
        <v>-26750.5</v>
      </c>
      <c r="D53" s="194">
        <f>D23+D24+D49-D50+D52</f>
        <v>14914.703291710299</v>
      </c>
      <c r="E53" s="194">
        <f>E23+E24+E49-E50+E52</f>
        <v>16437.094142993268</v>
      </c>
      <c r="F53" s="194">
        <f>F23+F24+F25+F49-F50+F52</f>
        <v>13483.80964329493</v>
      </c>
      <c r="G53" s="194">
        <f>G23+G24+G49-G50+G52</f>
        <v>19549.843818648005</v>
      </c>
      <c r="H53" s="194">
        <f>H23+H24+H49-H50-H52</f>
        <v>21128.749441951273</v>
      </c>
      <c r="I53" s="195"/>
    </row>
  </sheetData>
  <mergeCells count="4">
    <mergeCell ref="B4:B5"/>
    <mergeCell ref="C4:H4"/>
    <mergeCell ref="I4:I5"/>
    <mergeCell ref="B2: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3"/>
  <sheetViews>
    <sheetView showGridLines="0" workbookViewId="0">
      <selection activeCell="O8" sqref="O8"/>
    </sheetView>
  </sheetViews>
  <sheetFormatPr baseColWidth="10" defaultColWidth="10" defaultRowHeight="13.8"/>
  <cols>
    <col min="1" max="1" width="3.59765625" style="183" customWidth="1"/>
    <col min="2" max="2" width="10" style="183"/>
    <col min="3" max="3" width="12.19921875" style="183" customWidth="1"/>
    <col min="4" max="4" width="14.09765625" style="183" customWidth="1"/>
    <col min="5" max="5" width="10" style="183"/>
    <col min="6" max="6" width="7.69921875" style="183" customWidth="1"/>
    <col min="7" max="7" width="17.59765625" style="183" customWidth="1"/>
    <col min="8" max="8" width="13.09765625" style="183" customWidth="1"/>
    <col min="9" max="10" width="10" style="183"/>
    <col min="11" max="11" width="20.3984375" style="183" customWidth="1"/>
    <col min="12" max="12" width="15" style="183" customWidth="1"/>
    <col min="13" max="13" width="13.19921875" style="183" customWidth="1"/>
    <col min="14" max="14" width="11.69921875" style="183" customWidth="1"/>
    <col min="15" max="15" width="12.09765625" style="183" customWidth="1"/>
    <col min="16" max="16" width="12" style="183" customWidth="1"/>
    <col min="17" max="17" width="13.19921875" style="183" customWidth="1"/>
    <col min="18" max="16384" width="10" style="183"/>
  </cols>
  <sheetData>
    <row r="1" spans="2:17" ht="14.4" thickBot="1"/>
    <row r="2" spans="2:17" ht="16.5" customHeight="1" thickBot="1">
      <c r="B2" s="406" t="s">
        <v>318</v>
      </c>
      <c r="C2" s="408"/>
      <c r="D2" s="68"/>
    </row>
    <row r="3" spans="2:17" ht="14.4" thickBot="1"/>
    <row r="4" spans="2:17" ht="14.4" thickBot="1">
      <c r="B4" s="427" t="s">
        <v>304</v>
      </c>
      <c r="C4" s="428"/>
      <c r="D4" s="265">
        <f>E30</f>
        <v>0.1932869999999999</v>
      </c>
      <c r="K4" s="415" t="s">
        <v>260</v>
      </c>
      <c r="L4" s="417" t="s">
        <v>261</v>
      </c>
      <c r="M4" s="418"/>
      <c r="N4" s="418"/>
      <c r="O4" s="418"/>
      <c r="P4" s="418"/>
      <c r="Q4" s="419"/>
    </row>
    <row r="5" spans="2:17" ht="14.4" thickBot="1">
      <c r="K5" s="416"/>
      <c r="L5" s="266">
        <v>0</v>
      </c>
      <c r="M5" s="266">
        <v>1</v>
      </c>
      <c r="N5" s="266">
        <v>2</v>
      </c>
      <c r="O5" s="266">
        <v>3</v>
      </c>
      <c r="P5" s="266">
        <v>4</v>
      </c>
      <c r="Q5" s="266">
        <v>5</v>
      </c>
    </row>
    <row r="6" spans="2:17" ht="14.4" thickBot="1">
      <c r="B6" s="68" t="s">
        <v>427</v>
      </c>
      <c r="K6" s="267" t="s">
        <v>418</v>
      </c>
      <c r="L6" s="193">
        <f>'FLUJO DE CAJA'!C53</f>
        <v>-26750.5</v>
      </c>
      <c r="M6" s="193">
        <f>'FLUJO DE CAJA'!D53</f>
        <v>14914.703291710299</v>
      </c>
      <c r="N6" s="193">
        <f>'FLUJO DE CAJA'!E53</f>
        <v>16437.094142993268</v>
      </c>
      <c r="O6" s="193">
        <f>'FLUJO DE CAJA'!F53</f>
        <v>13483.80964329493</v>
      </c>
      <c r="P6" s="193">
        <f>'FLUJO DE CAJA'!G53</f>
        <v>19549.843818648005</v>
      </c>
      <c r="Q6" s="193">
        <f>'FLUJO DE CAJA'!H53</f>
        <v>21128.749441951273</v>
      </c>
    </row>
    <row r="7" spans="2:17" ht="14.4" thickBot="1">
      <c r="K7" s="267" t="s">
        <v>426</v>
      </c>
      <c r="L7" s="193">
        <f>L6</f>
        <v>-26750.5</v>
      </c>
      <c r="M7" s="193">
        <f>N21</f>
        <v>12498.703839529288</v>
      </c>
      <c r="N7" s="193">
        <f>P21</f>
        <v>11543.187797975319</v>
      </c>
      <c r="O7" s="193">
        <f>R21</f>
        <v>7935.3062245825431</v>
      </c>
      <c r="P7" s="193">
        <f>T21</f>
        <v>9641.5027558504935</v>
      </c>
      <c r="Q7" s="193">
        <f>V21</f>
        <v>8732.2385197181884</v>
      </c>
    </row>
    <row r="8" spans="2:17" ht="14.4" thickBot="1">
      <c r="B8" s="68" t="s">
        <v>421</v>
      </c>
      <c r="C8" s="183" t="s">
        <v>423</v>
      </c>
      <c r="K8" s="267" t="s">
        <v>425</v>
      </c>
      <c r="L8" s="193">
        <f>L7</f>
        <v>-26750.5</v>
      </c>
      <c r="M8" s="268">
        <f>L8+M7</f>
        <v>-14251.796160470712</v>
      </c>
      <c r="N8" s="268">
        <f>M8+N7</f>
        <v>-2708.6083624953935</v>
      </c>
      <c r="O8" s="268">
        <f>N8+O7</f>
        <v>5226.6978620871496</v>
      </c>
      <c r="P8" s="268">
        <f>O8+P7</f>
        <v>14868.200617937644</v>
      </c>
      <c r="Q8" s="268">
        <f>P8+Q7</f>
        <v>23600.439137655834</v>
      </c>
    </row>
    <row r="9" spans="2:17">
      <c r="B9" s="68" t="s">
        <v>421</v>
      </c>
      <c r="C9" s="269">
        <f>(((1+E12)*(1+E13)*(1+E14))-1)</f>
        <v>0.24414499999999983</v>
      </c>
    </row>
    <row r="10" spans="2:17" ht="14.4" thickBot="1"/>
    <row r="11" spans="2:17" ht="14.4" thickBot="1">
      <c r="C11" s="420" t="s">
        <v>305</v>
      </c>
      <c r="D11" s="421"/>
      <c r="E11" s="422"/>
      <c r="O11" s="282"/>
      <c r="P11" s="282"/>
    </row>
    <row r="12" spans="2:17" ht="14.4" thickBot="1">
      <c r="C12" s="423" t="s">
        <v>428</v>
      </c>
      <c r="D12" s="424"/>
      <c r="E12" s="270">
        <v>0.156</v>
      </c>
    </row>
    <row r="13" spans="2:17" ht="14.4" thickBot="1">
      <c r="C13" s="423" t="s">
        <v>306</v>
      </c>
      <c r="D13" s="424"/>
      <c r="E13" s="270">
        <v>0.05</v>
      </c>
      <c r="H13" s="271"/>
    </row>
    <row r="14" spans="2:17" ht="14.4" thickBot="1">
      <c r="C14" s="423" t="s">
        <v>307</v>
      </c>
      <c r="D14" s="424"/>
      <c r="E14" s="272">
        <v>2.5000000000000001E-2</v>
      </c>
    </row>
    <row r="15" spans="2:17" ht="14.4" thickBot="1">
      <c r="C15" s="425" t="s">
        <v>420</v>
      </c>
      <c r="D15" s="426"/>
      <c r="E15" s="273">
        <f>(((1+E12)*(1+E13)*(1+E14))-1)</f>
        <v>0.24414499999999983</v>
      </c>
    </row>
    <row r="18" spans="2:22">
      <c r="B18" s="68" t="s">
        <v>422</v>
      </c>
      <c r="K18" s="274" t="s">
        <v>308</v>
      </c>
      <c r="L18" s="275">
        <f>L8</f>
        <v>-26750.5</v>
      </c>
      <c r="M18" s="276" t="s">
        <v>309</v>
      </c>
      <c r="N18" s="277">
        <f>M6</f>
        <v>14914.703291710299</v>
      </c>
      <c r="O18" s="278" t="s">
        <v>309</v>
      </c>
      <c r="P18" s="277">
        <f>N6</f>
        <v>16437.094142993268</v>
      </c>
      <c r="Q18" s="278" t="s">
        <v>309</v>
      </c>
      <c r="R18" s="277">
        <f>O6</f>
        <v>13483.80964329493</v>
      </c>
      <c r="S18" s="278" t="s">
        <v>309</v>
      </c>
      <c r="T18" s="277">
        <f>P6</f>
        <v>19549.843818648005</v>
      </c>
      <c r="U18" s="278" t="s">
        <v>309</v>
      </c>
      <c r="V18" s="277">
        <f>Q6</f>
        <v>21128.749441951273</v>
      </c>
    </row>
    <row r="19" spans="2:22">
      <c r="L19" s="276"/>
      <c r="M19" s="276"/>
      <c r="N19" s="276" t="s">
        <v>430</v>
      </c>
      <c r="O19" s="276"/>
      <c r="P19" s="276" t="s">
        <v>431</v>
      </c>
      <c r="Q19" s="276"/>
      <c r="R19" s="276" t="s">
        <v>432</v>
      </c>
      <c r="S19" s="276"/>
      <c r="T19" s="276" t="s">
        <v>433</v>
      </c>
      <c r="U19" s="276"/>
      <c r="V19" s="276" t="s">
        <v>434</v>
      </c>
    </row>
    <row r="20" spans="2:22">
      <c r="B20" s="68" t="s">
        <v>310</v>
      </c>
      <c r="C20" s="183" t="s">
        <v>424</v>
      </c>
    </row>
    <row r="21" spans="2:22" ht="14.4" thickBot="1">
      <c r="B21" s="68" t="s">
        <v>310</v>
      </c>
      <c r="C21" s="269">
        <f>((E15*E29)+(E25*E28)*(1-E26))</f>
        <v>0.1932869999999999</v>
      </c>
      <c r="K21" s="274" t="s">
        <v>308</v>
      </c>
      <c r="L21" s="275">
        <f>L18</f>
        <v>-26750.5</v>
      </c>
      <c r="M21" s="276" t="s">
        <v>309</v>
      </c>
      <c r="N21" s="275">
        <f>N18/((1+0.1933)^1)</f>
        <v>12498.703839529288</v>
      </c>
      <c r="O21" s="276" t="s">
        <v>309</v>
      </c>
      <c r="P21" s="275">
        <f>P18/((1+0.1933)^2)</f>
        <v>11543.187797975319</v>
      </c>
      <c r="Q21" s="276" t="s">
        <v>309</v>
      </c>
      <c r="R21" s="275">
        <f>R18/((1+0.1933)^3)</f>
        <v>7935.3062245825431</v>
      </c>
      <c r="S21" s="276" t="s">
        <v>309</v>
      </c>
      <c r="T21" s="275">
        <f>T18/((1+0.1933)^4)</f>
        <v>9641.5027558504935</v>
      </c>
      <c r="U21" s="276" t="s">
        <v>309</v>
      </c>
      <c r="V21" s="275">
        <f>V18/((1+0.1933)^5)</f>
        <v>8732.2385197181884</v>
      </c>
    </row>
    <row r="22" spans="2:22" ht="16.2" thickBot="1">
      <c r="G22" s="155" t="s">
        <v>13</v>
      </c>
      <c r="H22" s="155" t="s">
        <v>143</v>
      </c>
      <c r="I22" s="155" t="s">
        <v>144</v>
      </c>
    </row>
    <row r="23" spans="2:22" ht="16.2" thickBot="1">
      <c r="G23" s="60" t="s">
        <v>145</v>
      </c>
      <c r="H23" s="132">
        <f>INVERSIÓN!C5</f>
        <v>16050.3</v>
      </c>
      <c r="I23" s="288">
        <v>0.6</v>
      </c>
      <c r="K23" s="274" t="s">
        <v>308</v>
      </c>
      <c r="L23" s="275">
        <f>L21</f>
        <v>-26750.5</v>
      </c>
      <c r="M23" s="276" t="s">
        <v>309</v>
      </c>
      <c r="N23" s="275">
        <f>(N21+P21+R21+T21+V21)</f>
        <v>50350.939137655827</v>
      </c>
    </row>
    <row r="24" spans="2:22" ht="16.2" thickBot="1">
      <c r="C24" s="420" t="s">
        <v>311</v>
      </c>
      <c r="D24" s="421"/>
      <c r="E24" s="422"/>
      <c r="G24" s="55" t="s">
        <v>146</v>
      </c>
      <c r="H24" s="134">
        <f>INVERSIÓN!C6</f>
        <v>10700.2</v>
      </c>
      <c r="I24" s="289">
        <v>0.4</v>
      </c>
    </row>
    <row r="25" spans="2:22" ht="16.2" thickBot="1">
      <c r="C25" s="423" t="s">
        <v>429</v>
      </c>
      <c r="D25" s="424"/>
      <c r="E25" s="279">
        <v>0.156</v>
      </c>
      <c r="G25" s="198" t="s">
        <v>15</v>
      </c>
      <c r="H25" s="30">
        <f>SUM(H23:H24)</f>
        <v>26750.5</v>
      </c>
      <c r="I25" s="199">
        <v>1</v>
      </c>
      <c r="K25" s="280" t="s">
        <v>308</v>
      </c>
      <c r="L25" s="281">
        <f>L23+N23</f>
        <v>23600.439137655827</v>
      </c>
      <c r="P25" s="282"/>
    </row>
    <row r="26" spans="2:22" ht="14.4" thickBot="1">
      <c r="C26" s="423" t="s">
        <v>312</v>
      </c>
      <c r="D26" s="424"/>
      <c r="E26" s="279">
        <v>0.25</v>
      </c>
      <c r="P26" s="282"/>
    </row>
    <row r="27" spans="2:22" ht="14.4" thickBot="1">
      <c r="C27" s="423" t="s">
        <v>313</v>
      </c>
      <c r="D27" s="424"/>
      <c r="E27" s="283">
        <f>H23/H24</f>
        <v>1.4999999999999998</v>
      </c>
      <c r="K27" s="295" t="s">
        <v>317</v>
      </c>
      <c r="L27" s="301">
        <f>IRR(L6:Q6)</f>
        <v>0.5268485922935322</v>
      </c>
    </row>
    <row r="28" spans="2:22" ht="14.4" thickBot="1">
      <c r="C28" s="423" t="s">
        <v>314</v>
      </c>
      <c r="D28" s="424"/>
      <c r="E28" s="284">
        <f>I24</f>
        <v>0.4</v>
      </c>
    </row>
    <row r="29" spans="2:22" ht="14.4" thickBot="1">
      <c r="C29" s="423" t="s">
        <v>315</v>
      </c>
      <c r="D29" s="424"/>
      <c r="E29" s="284">
        <f>I23</f>
        <v>0.6</v>
      </c>
      <c r="K29" s="68"/>
    </row>
    <row r="30" spans="2:22" ht="14.4" thickBot="1">
      <c r="C30" s="425" t="s">
        <v>316</v>
      </c>
      <c r="D30" s="426"/>
      <c r="E30" s="285">
        <f>((E15*E29)+(E25*E28)*(1-E26))</f>
        <v>0.1932869999999999</v>
      </c>
    </row>
    <row r="31" spans="2:22">
      <c r="K31" s="274"/>
      <c r="L31" s="294"/>
      <c r="N31" s="291"/>
      <c r="O31" s="292"/>
      <c r="P31" s="293"/>
      <c r="Q31" s="293"/>
    </row>
    <row r="33" spans="5:12" ht="15.6">
      <c r="E33" s="290"/>
      <c r="L33" s="297"/>
    </row>
  </sheetData>
  <mergeCells count="16">
    <mergeCell ref="C28:D28"/>
    <mergeCell ref="C29:D29"/>
    <mergeCell ref="C30:D30"/>
    <mergeCell ref="B2:C2"/>
    <mergeCell ref="C14:D14"/>
    <mergeCell ref="C15:D15"/>
    <mergeCell ref="C24:E24"/>
    <mergeCell ref="C25:D25"/>
    <mergeCell ref="C26:D26"/>
    <mergeCell ref="C27:D27"/>
    <mergeCell ref="B4:C4"/>
    <mergeCell ref="K4:K5"/>
    <mergeCell ref="L4:Q4"/>
    <mergeCell ref="C11:E11"/>
    <mergeCell ref="C12:D12"/>
    <mergeCell ref="C13:D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workbookViewId="0">
      <selection activeCell="M17" sqref="M17"/>
    </sheetView>
  </sheetViews>
  <sheetFormatPr baseColWidth="10" defaultRowHeight="15.6"/>
  <cols>
    <col min="1" max="1" width="3.59765625" customWidth="1"/>
    <col min="3" max="3" width="12.19921875" customWidth="1"/>
    <col min="4" max="4" width="17.19921875" customWidth="1"/>
  </cols>
  <sheetData>
    <row r="1" spans="2:11" ht="16.2" thickBot="1"/>
    <row r="2" spans="2:11" ht="16.2" thickBot="1">
      <c r="B2" s="406" t="s">
        <v>319</v>
      </c>
      <c r="C2" s="408"/>
    </row>
    <row r="3" spans="2:11" ht="16.2" thickBot="1"/>
    <row r="4" spans="2:11" ht="16.2" thickBot="1">
      <c r="B4" s="415" t="s">
        <v>260</v>
      </c>
      <c r="C4" s="417" t="s">
        <v>261</v>
      </c>
      <c r="D4" s="418"/>
      <c r="E4" s="418"/>
      <c r="F4" s="418"/>
      <c r="G4" s="418"/>
      <c r="H4" s="419"/>
    </row>
    <row r="5" spans="2:11" ht="16.2" thickBot="1">
      <c r="B5" s="416"/>
      <c r="C5" s="266">
        <v>0</v>
      </c>
      <c r="D5" s="266">
        <v>1</v>
      </c>
      <c r="E5" s="266">
        <v>2</v>
      </c>
      <c r="F5" s="266">
        <v>3</v>
      </c>
      <c r="G5" s="266">
        <v>4</v>
      </c>
      <c r="H5" s="266">
        <v>5</v>
      </c>
    </row>
    <row r="6" spans="2:11" ht="27" thickBot="1">
      <c r="B6" s="267" t="s">
        <v>302</v>
      </c>
      <c r="C6" s="193">
        <f>'VAN - TIR'!L6</f>
        <v>-26750.5</v>
      </c>
      <c r="D6" s="193">
        <f>'VAN - TIR'!M6</f>
        <v>14914.703291710299</v>
      </c>
      <c r="E6" s="193">
        <f>'VAN - TIR'!N6</f>
        <v>16437.094142993268</v>
      </c>
      <c r="F6" s="193">
        <f>'VAN - TIR'!O6</f>
        <v>13483.80964329493</v>
      </c>
      <c r="G6" s="193">
        <f>'VAN - TIR'!P6</f>
        <v>19549.843818648005</v>
      </c>
      <c r="H6" s="193">
        <f>'VAN - TIR'!Q6</f>
        <v>21128.749441951273</v>
      </c>
    </row>
    <row r="8" spans="2:11" ht="16.2" thickBot="1"/>
    <row r="9" spans="2:11" ht="16.2" thickBot="1">
      <c r="F9" s="304"/>
      <c r="G9" s="305"/>
      <c r="H9" s="305"/>
      <c r="I9" s="305"/>
      <c r="J9" s="305"/>
      <c r="K9" s="306"/>
    </row>
    <row r="10" spans="2:11" ht="16.2" thickBot="1">
      <c r="B10" s="303"/>
      <c r="C10" s="302" t="s">
        <v>321</v>
      </c>
      <c r="D10" s="302" t="s">
        <v>322</v>
      </c>
      <c r="F10" s="307" t="s">
        <v>323</v>
      </c>
      <c r="G10" s="308" t="s">
        <v>324</v>
      </c>
      <c r="H10" s="309" t="s">
        <v>309</v>
      </c>
      <c r="I10" s="310" t="s">
        <v>325</v>
      </c>
      <c r="J10" s="311" t="s">
        <v>326</v>
      </c>
      <c r="K10" s="312" t="s">
        <v>327</v>
      </c>
    </row>
    <row r="11" spans="2:11" ht="16.2" thickBot="1">
      <c r="B11" s="302" t="s">
        <v>320</v>
      </c>
      <c r="C11" s="193">
        <f>'VAN - TIR'!L6</f>
        <v>-26750.5</v>
      </c>
      <c r="D11" s="254">
        <f>C11</f>
        <v>-26750.5</v>
      </c>
      <c r="F11" s="313"/>
      <c r="G11" s="24"/>
      <c r="H11" s="24"/>
      <c r="I11" s="432" t="s">
        <v>325</v>
      </c>
      <c r="J11" s="432"/>
      <c r="K11" s="433"/>
    </row>
    <row r="12" spans="2:11" ht="16.2" thickBot="1">
      <c r="B12" s="302" t="s">
        <v>265</v>
      </c>
      <c r="C12" s="193">
        <f>'VAN - TIR'!M6</f>
        <v>14914.703291710299</v>
      </c>
      <c r="D12" s="254">
        <f>D11+C12</f>
        <v>-11835.796708289701</v>
      </c>
      <c r="F12" s="314"/>
      <c r="G12" s="21"/>
      <c r="H12" s="21"/>
      <c r="I12" s="21"/>
      <c r="J12" s="21"/>
      <c r="K12" s="315"/>
    </row>
    <row r="13" spans="2:11" ht="16.2" thickBot="1">
      <c r="B13" s="302" t="s">
        <v>266</v>
      </c>
      <c r="C13" s="193">
        <f>'VAN - TIR'!N6</f>
        <v>16437.094142993268</v>
      </c>
      <c r="D13" s="254">
        <f>D12+C13</f>
        <v>4601.297434703567</v>
      </c>
      <c r="F13" s="307" t="s">
        <v>323</v>
      </c>
      <c r="G13" s="316" t="s">
        <v>328</v>
      </c>
      <c r="H13" s="21" t="s">
        <v>309</v>
      </c>
      <c r="I13" s="317">
        <v>385.14</v>
      </c>
      <c r="J13" s="21"/>
      <c r="K13" s="315"/>
    </row>
    <row r="14" spans="2:11" ht="16.2" thickBot="1">
      <c r="B14" s="302" t="s">
        <v>267</v>
      </c>
      <c r="C14" s="193">
        <f>'VAN - TIR'!O6</f>
        <v>13483.80964329493</v>
      </c>
      <c r="D14" s="254">
        <f>D13+C14</f>
        <v>18085.107077998495</v>
      </c>
      <c r="F14" s="314"/>
      <c r="G14" s="21"/>
      <c r="H14" s="21"/>
      <c r="I14" s="318">
        <v>6788.6</v>
      </c>
      <c r="J14" s="21"/>
      <c r="K14" s="315"/>
    </row>
    <row r="15" spans="2:11" ht="16.2" thickBot="1">
      <c r="B15" s="302" t="s">
        <v>268</v>
      </c>
      <c r="C15" s="193">
        <f>'VAN - TIR'!P6</f>
        <v>19549.843818648005</v>
      </c>
      <c r="D15" s="254">
        <f>D14+C15</f>
        <v>37634.9508966465</v>
      </c>
      <c r="F15" s="314"/>
      <c r="G15" s="21"/>
      <c r="H15" s="21"/>
      <c r="I15" s="21"/>
      <c r="J15" s="21"/>
      <c r="K15" s="315"/>
    </row>
    <row r="16" spans="2:11" ht="16.2" thickBot="1">
      <c r="B16" s="302" t="s">
        <v>269</v>
      </c>
      <c r="C16" s="193">
        <f>'VAN - TIR'!Q6</f>
        <v>21128.749441951273</v>
      </c>
      <c r="D16" s="254">
        <f t="shared" ref="D16" si="0">D15+C16</f>
        <v>58763.700338597773</v>
      </c>
      <c r="F16" s="103" t="s">
        <v>323</v>
      </c>
      <c r="G16" s="319">
        <f>2+((I13/I14))</f>
        <v>2.0567333470818725</v>
      </c>
      <c r="H16" s="21" t="s">
        <v>14</v>
      </c>
      <c r="I16" s="21"/>
      <c r="J16" s="21"/>
      <c r="K16" s="315"/>
    </row>
    <row r="17" spans="6:11" ht="16.2" thickBot="1">
      <c r="F17" s="314"/>
      <c r="G17" s="21"/>
      <c r="H17" s="21"/>
      <c r="I17" s="21"/>
      <c r="J17" s="21"/>
      <c r="K17" s="315"/>
    </row>
    <row r="18" spans="6:11" ht="16.2" thickBot="1">
      <c r="F18" s="314" t="s">
        <v>330</v>
      </c>
      <c r="G18" s="320">
        <f>0.06*12</f>
        <v>0.72</v>
      </c>
      <c r="H18" s="21" t="s">
        <v>329</v>
      </c>
      <c r="I18" s="21"/>
      <c r="J18" s="320"/>
      <c r="K18" s="321"/>
    </row>
    <row r="19" spans="6:11" ht="16.2" thickBot="1">
      <c r="F19" s="429" t="s">
        <v>331</v>
      </c>
      <c r="G19" s="430"/>
      <c r="H19" s="430"/>
      <c r="I19" s="430"/>
      <c r="J19" s="430"/>
      <c r="K19" s="431"/>
    </row>
  </sheetData>
  <mergeCells count="5">
    <mergeCell ref="F19:K19"/>
    <mergeCell ref="B2:C2"/>
    <mergeCell ref="B4:B5"/>
    <mergeCell ref="C4:H4"/>
    <mergeCell ref="I11:K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showGridLines="0" workbookViewId="0">
      <selection activeCell="L25" sqref="L25"/>
    </sheetView>
  </sheetViews>
  <sheetFormatPr baseColWidth="10" defaultRowHeight="15.6"/>
  <cols>
    <col min="1" max="1" width="3.59765625" customWidth="1"/>
    <col min="2" max="2" width="28.19921875" customWidth="1"/>
  </cols>
  <sheetData>
    <row r="1" spans="2:11" ht="16.2" thickBot="1"/>
    <row r="2" spans="2:11" ht="16.2" thickBot="1">
      <c r="B2" s="406" t="s">
        <v>341</v>
      </c>
      <c r="C2" s="408"/>
    </row>
    <row r="3" spans="2:11" ht="16.2" thickBot="1"/>
    <row r="4" spans="2:11" ht="16.2" thickBot="1">
      <c r="B4" s="295" t="s">
        <v>317</v>
      </c>
      <c r="C4" s="301">
        <f>'VAN - TIR'!L27</f>
        <v>0.5268485922935322</v>
      </c>
      <c r="D4" s="335">
        <f>C4</f>
        <v>0.5268485922935322</v>
      </c>
    </row>
    <row r="5" spans="2:11" ht="16.2" thickBot="1"/>
    <row r="6" spans="2:11" ht="16.2" thickBot="1">
      <c r="B6" s="322" t="s">
        <v>261</v>
      </c>
      <c r="C6" s="323" t="s">
        <v>332</v>
      </c>
      <c r="D6" s="323" t="s">
        <v>333</v>
      </c>
      <c r="E6" s="324" t="s">
        <v>334</v>
      </c>
    </row>
    <row r="7" spans="2:11">
      <c r="B7" s="325">
        <v>0</v>
      </c>
      <c r="C7" s="331">
        <f>INVERSIÓN!C7</f>
        <v>26750.5</v>
      </c>
      <c r="D7" s="326">
        <v>0</v>
      </c>
      <c r="E7" s="333">
        <f>C7</f>
        <v>26750.5</v>
      </c>
    </row>
    <row r="8" spans="2:11">
      <c r="B8" s="327">
        <v>1</v>
      </c>
      <c r="C8" s="328"/>
      <c r="D8" s="331">
        <f>'FLUJO DE CAJA'!D6</f>
        <v>143685</v>
      </c>
      <c r="E8" s="333">
        <f>'FLUJO DE CAJA'!D9</f>
        <v>41980</v>
      </c>
    </row>
    <row r="9" spans="2:11">
      <c r="B9" s="327">
        <v>2</v>
      </c>
      <c r="C9" s="328"/>
      <c r="D9" s="331">
        <f>'FLUJO DE CAJA'!E6</f>
        <v>147995.54999999999</v>
      </c>
      <c r="E9" s="333">
        <f>'FLUJO DE CAJA'!E9</f>
        <v>42819.6</v>
      </c>
    </row>
    <row r="10" spans="2:11">
      <c r="B10" s="327">
        <v>3</v>
      </c>
      <c r="C10" s="328"/>
      <c r="D10" s="331">
        <f>'FLUJO DE CAJA'!F6</f>
        <v>152435.41649999999</v>
      </c>
      <c r="E10" s="333">
        <f>'FLUJO DE CAJA'!F9</f>
        <v>43675.991999999998</v>
      </c>
    </row>
    <row r="11" spans="2:11">
      <c r="B11" s="327">
        <v>4</v>
      </c>
      <c r="C11" s="328"/>
      <c r="D11" s="331">
        <f>'FLUJO DE CAJA'!G6</f>
        <v>157008.47899500001</v>
      </c>
      <c r="E11" s="333">
        <f>'FLUJO DE CAJA'!G9</f>
        <v>44549.511840000006</v>
      </c>
    </row>
    <row r="12" spans="2:11" ht="16.2" thickBot="1">
      <c r="B12" s="329">
        <v>5</v>
      </c>
      <c r="C12" s="330"/>
      <c r="D12" s="332">
        <f>'FLUJO DE CAJA'!H6</f>
        <v>161718.73336485002</v>
      </c>
      <c r="E12" s="334">
        <f>'FLUJO DE CAJA'!H9</f>
        <v>45440.50207680001</v>
      </c>
    </row>
    <row r="16" spans="2:11">
      <c r="B16" s="274" t="s">
        <v>335</v>
      </c>
      <c r="C16" s="277">
        <f>D8</f>
        <v>143685</v>
      </c>
      <c r="D16" s="278" t="s">
        <v>309</v>
      </c>
      <c r="E16" s="277">
        <f>D9</f>
        <v>147995.54999999999</v>
      </c>
      <c r="F16" s="278" t="s">
        <v>309</v>
      </c>
      <c r="G16" s="277">
        <f>D10</f>
        <v>152435.41649999999</v>
      </c>
      <c r="H16" s="278" t="s">
        <v>309</v>
      </c>
      <c r="I16" s="277">
        <f>D11</f>
        <v>157008.47899500001</v>
      </c>
      <c r="J16" s="278" t="s">
        <v>309</v>
      </c>
      <c r="K16" s="277">
        <f>D12</f>
        <v>161718.73336485002</v>
      </c>
    </row>
    <row r="17" spans="2:11">
      <c r="B17" s="183"/>
      <c r="C17" s="276" t="s">
        <v>435</v>
      </c>
      <c r="D17" s="276"/>
      <c r="E17" s="276" t="s">
        <v>436</v>
      </c>
      <c r="F17" s="276"/>
      <c r="G17" s="276" t="s">
        <v>437</v>
      </c>
      <c r="H17" s="276"/>
      <c r="I17" s="276" t="s">
        <v>438</v>
      </c>
      <c r="J17" s="276"/>
      <c r="K17" s="276" t="s">
        <v>439</v>
      </c>
    </row>
    <row r="18" spans="2:11">
      <c r="B18" s="183"/>
      <c r="C18" s="183"/>
      <c r="D18" s="183"/>
      <c r="E18" s="183"/>
      <c r="F18" s="183"/>
      <c r="G18" s="183"/>
      <c r="H18" s="183"/>
      <c r="I18" s="183"/>
      <c r="J18" s="183"/>
      <c r="K18" s="183"/>
    </row>
    <row r="19" spans="2:11">
      <c r="B19" s="274" t="s">
        <v>335</v>
      </c>
      <c r="C19" s="275">
        <f>C16/((1+D4)^1)</f>
        <v>94105.598109217739</v>
      </c>
      <c r="D19" s="276" t="s">
        <v>309</v>
      </c>
      <c r="E19" s="275">
        <f>E16/((1+D4)^2)</f>
        <v>63482.893157660255</v>
      </c>
      <c r="F19" s="276" t="s">
        <v>309</v>
      </c>
      <c r="G19" s="275">
        <f>G16/((1+D4)^3)</f>
        <v>42825.0582817576</v>
      </c>
      <c r="H19" s="276" t="s">
        <v>309</v>
      </c>
      <c r="I19" s="275">
        <f>I16/((1+D4)^4)</f>
        <v>28889.446047791458</v>
      </c>
      <c r="J19" s="276" t="s">
        <v>309</v>
      </c>
      <c r="K19" s="275">
        <f>K16/((1+D4)^5)</f>
        <v>19488.592110189191</v>
      </c>
    </row>
    <row r="20" spans="2:11" ht="16.2" thickBot="1">
      <c r="B20" s="183"/>
      <c r="C20" s="183"/>
      <c r="D20" s="183"/>
      <c r="E20" s="183"/>
      <c r="F20" s="183"/>
      <c r="G20" s="183"/>
      <c r="H20" s="183"/>
      <c r="I20" s="183"/>
    </row>
    <row r="21" spans="2:11" ht="16.2" thickBot="1">
      <c r="B21" s="280" t="s">
        <v>335</v>
      </c>
      <c r="C21" s="281">
        <f>C19+E19+G19+I19+K19</f>
        <v>248791.58770661626</v>
      </c>
      <c r="D21" s="183"/>
      <c r="E21" s="183"/>
      <c r="F21" s="183"/>
      <c r="G21" s="183"/>
      <c r="H21" s="183"/>
      <c r="I21" s="183"/>
    </row>
    <row r="24" spans="2:11">
      <c r="B24" s="274" t="s">
        <v>336</v>
      </c>
      <c r="C24" s="277">
        <f>E8</f>
        <v>41980</v>
      </c>
      <c r="D24" s="278" t="s">
        <v>309</v>
      </c>
      <c r="E24" s="277">
        <f>E9</f>
        <v>42819.6</v>
      </c>
      <c r="F24" s="278" t="s">
        <v>309</v>
      </c>
      <c r="G24" s="277">
        <f>E10</f>
        <v>43675.991999999998</v>
      </c>
      <c r="H24" s="278" t="s">
        <v>309</v>
      </c>
      <c r="I24" s="277">
        <f>E11</f>
        <v>44549.511840000006</v>
      </c>
      <c r="J24" s="278" t="s">
        <v>309</v>
      </c>
      <c r="K24" s="277">
        <f>E12</f>
        <v>45440.50207680001</v>
      </c>
    </row>
    <row r="25" spans="2:11">
      <c r="B25" s="183"/>
      <c r="C25" s="276" t="s">
        <v>435</v>
      </c>
      <c r="D25" s="276"/>
      <c r="E25" s="276" t="s">
        <v>436</v>
      </c>
      <c r="F25" s="276"/>
      <c r="G25" s="276" t="s">
        <v>437</v>
      </c>
      <c r="H25" s="276"/>
      <c r="I25" s="276" t="s">
        <v>438</v>
      </c>
      <c r="J25" s="276"/>
      <c r="K25" s="276" t="s">
        <v>439</v>
      </c>
    </row>
    <row r="26" spans="2:11">
      <c r="B26" s="183"/>
      <c r="C26" s="183"/>
      <c r="D26" s="183"/>
      <c r="E26" s="183"/>
      <c r="F26" s="183"/>
      <c r="G26" s="183"/>
      <c r="H26" s="183"/>
      <c r="I26" s="183"/>
    </row>
    <row r="27" spans="2:11">
      <c r="B27" s="274" t="s">
        <v>336</v>
      </c>
      <c r="C27" s="275">
        <f>C24/((1+D4)^1)</f>
        <v>27494.540199916213</v>
      </c>
      <c r="D27" s="276" t="s">
        <v>309</v>
      </c>
      <c r="E27" s="275">
        <f>E24/((1+D4)^2)</f>
        <v>18367.525860431269</v>
      </c>
      <c r="F27" s="276" t="s">
        <v>309</v>
      </c>
      <c r="G27" s="275">
        <f>G24/((1+D4)^3)</f>
        <v>12270.290893413072</v>
      </c>
      <c r="H27" s="276" t="s">
        <v>309</v>
      </c>
      <c r="I27" s="275">
        <f>I24/((1+D4)^4)</f>
        <v>8197.0778074865138</v>
      </c>
      <c r="J27" s="276" t="s">
        <v>309</v>
      </c>
      <c r="K27" s="275">
        <f>K24/((1+D4)^5)</f>
        <v>5475.9976895134496</v>
      </c>
    </row>
    <row r="28" spans="2:11" ht="16.2" thickBot="1">
      <c r="B28" s="183"/>
      <c r="C28" s="183"/>
      <c r="D28" s="183"/>
      <c r="E28" s="183"/>
      <c r="F28" s="183"/>
      <c r="G28" s="183"/>
      <c r="H28" s="183"/>
      <c r="I28" s="183"/>
    </row>
    <row r="29" spans="2:11" ht="16.2" thickBot="1">
      <c r="B29" s="280" t="s">
        <v>336</v>
      </c>
      <c r="C29" s="281">
        <f>+C27+E27+G27+I27+K27</f>
        <v>71805.432450760505</v>
      </c>
      <c r="D29" s="183"/>
      <c r="E29" s="183"/>
      <c r="F29" s="183"/>
      <c r="G29" s="183"/>
      <c r="H29" s="183"/>
      <c r="I29" s="183"/>
    </row>
    <row r="31" spans="2:11" ht="16.2" thickBot="1"/>
    <row r="32" spans="2:11" ht="16.2" thickBot="1">
      <c r="B32" s="338" t="s">
        <v>337</v>
      </c>
      <c r="C32" s="296">
        <f>C21</f>
        <v>248791.58770661626</v>
      </c>
    </row>
    <row r="33" spans="2:3" ht="16.2" thickBot="1">
      <c r="B33" s="338" t="s">
        <v>338</v>
      </c>
      <c r="C33" s="296">
        <f>C29</f>
        <v>71805.432450760505</v>
      </c>
    </row>
    <row r="34" spans="2:3" ht="16.2" thickBot="1">
      <c r="B34" s="338" t="s">
        <v>339</v>
      </c>
      <c r="C34" s="296">
        <f>C33+C7</f>
        <v>98555.932450760505</v>
      </c>
    </row>
    <row r="35" spans="2:3" ht="16.2" thickBot="1">
      <c r="B35" s="336" t="s">
        <v>340</v>
      </c>
      <c r="C35" s="337">
        <f>C32/(C33+C34)</f>
        <v>1.4603756423907062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5"/>
  <sheetViews>
    <sheetView showGridLines="0" topLeftCell="A46" workbookViewId="0">
      <selection activeCell="C39" sqref="C39"/>
    </sheetView>
  </sheetViews>
  <sheetFormatPr baseColWidth="10" defaultRowHeight="15.6"/>
  <cols>
    <col min="1" max="1" width="3.59765625" customWidth="1"/>
    <col min="2" max="2" width="20.59765625" customWidth="1"/>
    <col min="3" max="3" width="15.59765625" customWidth="1"/>
    <col min="4" max="4" width="3.59765625" customWidth="1"/>
    <col min="5" max="5" width="20.59765625" customWidth="1"/>
    <col min="6" max="6" width="15.59765625" customWidth="1"/>
    <col min="7" max="7" width="20.19921875" customWidth="1"/>
    <col min="8" max="8" width="20.59765625" customWidth="1"/>
    <col min="9" max="9" width="15.59765625" customWidth="1"/>
  </cols>
  <sheetData>
    <row r="1" spans="2:8" ht="16.2" thickBot="1"/>
    <row r="2" spans="2:8" ht="16.2" thickBot="1">
      <c r="B2" s="406" t="s">
        <v>350</v>
      </c>
      <c r="C2" s="408"/>
    </row>
    <row r="3" spans="2:8" ht="16.2" thickBot="1"/>
    <row r="4" spans="2:8" ht="16.5" customHeight="1" thickBot="1">
      <c r="B4" s="420" t="s">
        <v>193</v>
      </c>
      <c r="C4" s="422"/>
      <c r="E4" s="355" t="s">
        <v>347</v>
      </c>
      <c r="F4" s="355" t="s">
        <v>354</v>
      </c>
      <c r="G4" s="355" t="s">
        <v>403</v>
      </c>
      <c r="H4" s="354"/>
    </row>
    <row r="5" spans="2:8">
      <c r="B5" s="434" t="s">
        <v>13</v>
      </c>
      <c r="C5" s="435"/>
      <c r="E5" s="356">
        <v>0</v>
      </c>
      <c r="F5" s="357">
        <f>$C$7+$C$21*E5</f>
        <v>32556.5</v>
      </c>
      <c r="G5" s="356">
        <f>$C$20*E5</f>
        <v>0</v>
      </c>
    </row>
    <row r="6" spans="2:8" ht="16.2" thickBot="1">
      <c r="B6" s="436"/>
      <c r="C6" s="437"/>
      <c r="E6" s="356">
        <v>36</v>
      </c>
      <c r="F6" s="357">
        <f t="shared" ref="F6:F26" si="0">$C$7+$C$21*E6</f>
        <v>32994.67757009346</v>
      </c>
      <c r="G6" s="356">
        <f t="shared" ref="G6:G26" si="1">$C$20*E6</f>
        <v>1620</v>
      </c>
    </row>
    <row r="7" spans="2:8" ht="16.2" thickBot="1">
      <c r="B7" s="339" t="s">
        <v>342</v>
      </c>
      <c r="C7" s="340">
        <f>SUM(C8:C11)</f>
        <v>32556.5</v>
      </c>
      <c r="E7" s="356">
        <v>136</v>
      </c>
      <c r="F7" s="357">
        <f t="shared" si="0"/>
        <v>34211.837487019729</v>
      </c>
      <c r="G7" s="356">
        <f t="shared" si="1"/>
        <v>6120</v>
      </c>
    </row>
    <row r="8" spans="2:8" ht="16.2" thickBot="1">
      <c r="B8" s="287" t="s">
        <v>351</v>
      </c>
      <c r="C8" s="117">
        <v>27900</v>
      </c>
      <c r="E8" s="356">
        <v>236</v>
      </c>
      <c r="F8" s="357">
        <f t="shared" si="0"/>
        <v>35428.997403945999</v>
      </c>
      <c r="G8" s="356">
        <f t="shared" si="1"/>
        <v>10620</v>
      </c>
    </row>
    <row r="9" spans="2:8" ht="16.2" thickBot="1">
      <c r="B9" s="287" t="s">
        <v>139</v>
      </c>
      <c r="C9" s="117">
        <v>2700</v>
      </c>
      <c r="E9" s="356">
        <v>336</v>
      </c>
      <c r="F9" s="357">
        <f t="shared" si="0"/>
        <v>36646.157320872277</v>
      </c>
      <c r="G9" s="356">
        <f t="shared" si="1"/>
        <v>15120</v>
      </c>
    </row>
    <row r="10" spans="2:8" ht="16.2" thickBot="1">
      <c r="B10" s="287" t="s">
        <v>352</v>
      </c>
      <c r="C10" s="117">
        <v>1506.5</v>
      </c>
      <c r="E10" s="356">
        <v>436</v>
      </c>
      <c r="F10" s="357">
        <f t="shared" si="0"/>
        <v>37863.317237798547</v>
      </c>
      <c r="G10" s="356">
        <f t="shared" si="1"/>
        <v>19620</v>
      </c>
    </row>
    <row r="11" spans="2:8" ht="16.2" thickBot="1">
      <c r="B11" s="287" t="s">
        <v>138</v>
      </c>
      <c r="C11" s="117">
        <v>450</v>
      </c>
      <c r="E11" s="356">
        <v>536</v>
      </c>
      <c r="F11" s="357">
        <f t="shared" si="0"/>
        <v>39080.477154724817</v>
      </c>
      <c r="G11" s="356">
        <f t="shared" si="1"/>
        <v>24120</v>
      </c>
    </row>
    <row r="12" spans="2:8" ht="16.2" thickBot="1">
      <c r="B12" s="339" t="s">
        <v>343</v>
      </c>
      <c r="C12" s="340">
        <f>SUM(C13:C17)</f>
        <v>23442.5</v>
      </c>
      <c r="E12" s="356">
        <v>636</v>
      </c>
      <c r="F12" s="357">
        <f t="shared" si="0"/>
        <v>40297.637071651086</v>
      </c>
      <c r="G12" s="356">
        <f t="shared" si="1"/>
        <v>28620</v>
      </c>
    </row>
    <row r="13" spans="2:8" ht="16.2" thickBot="1">
      <c r="B13" s="287" t="s">
        <v>121</v>
      </c>
      <c r="C13" s="117">
        <v>12375</v>
      </c>
      <c r="E13" s="356">
        <v>736</v>
      </c>
      <c r="F13" s="357">
        <f t="shared" si="0"/>
        <v>41514.796988577364</v>
      </c>
      <c r="G13" s="356">
        <f t="shared" si="1"/>
        <v>33120</v>
      </c>
    </row>
    <row r="14" spans="2:8" ht="16.2" thickBot="1">
      <c r="B14" s="287" t="s">
        <v>353</v>
      </c>
      <c r="C14" s="117">
        <v>7800</v>
      </c>
      <c r="E14" s="356">
        <v>836</v>
      </c>
      <c r="F14" s="357">
        <f t="shared" si="0"/>
        <v>42731.956905503634</v>
      </c>
      <c r="G14" s="356">
        <f t="shared" si="1"/>
        <v>37620</v>
      </c>
    </row>
    <row r="15" spans="2:8" ht="16.2" thickBot="1">
      <c r="B15" s="287" t="s">
        <v>101</v>
      </c>
      <c r="C15" s="117">
        <v>750</v>
      </c>
      <c r="E15" s="356">
        <v>936</v>
      </c>
      <c r="F15" s="357">
        <f t="shared" si="0"/>
        <v>43949.116822429904</v>
      </c>
      <c r="G15" s="356">
        <f t="shared" si="1"/>
        <v>42120</v>
      </c>
    </row>
    <row r="16" spans="2:8" ht="16.2" thickBot="1">
      <c r="B16" s="287" t="s">
        <v>103</v>
      </c>
      <c r="C16" s="117">
        <v>2500</v>
      </c>
      <c r="E16" s="358">
        <f>C24</f>
        <v>991.7175121584753</v>
      </c>
      <c r="F16" s="359">
        <f t="shared" si="0"/>
        <v>44627.288047131391</v>
      </c>
      <c r="G16" s="360">
        <f t="shared" si="1"/>
        <v>44627.288047131391</v>
      </c>
    </row>
    <row r="17" spans="2:8" ht="16.2" thickBot="1">
      <c r="B17" s="287" t="s">
        <v>105</v>
      </c>
      <c r="C17" s="117">
        <v>17.5</v>
      </c>
      <c r="E17" s="356">
        <v>1136</v>
      </c>
      <c r="F17" s="357">
        <f t="shared" si="0"/>
        <v>46383.436656282451</v>
      </c>
      <c r="G17" s="356">
        <f t="shared" si="1"/>
        <v>51120</v>
      </c>
    </row>
    <row r="18" spans="2:8" ht="16.2" thickBot="1">
      <c r="B18" s="339" t="s">
        <v>354</v>
      </c>
      <c r="C18" s="340">
        <f>C12+C7</f>
        <v>55999</v>
      </c>
      <c r="E18" s="356">
        <v>1236</v>
      </c>
      <c r="F18" s="357">
        <f t="shared" si="0"/>
        <v>47600.596573208721</v>
      </c>
      <c r="G18" s="356">
        <f t="shared" si="1"/>
        <v>55620</v>
      </c>
    </row>
    <row r="19" spans="2:8" ht="16.2" thickBot="1">
      <c r="B19" s="339" t="s">
        <v>344</v>
      </c>
      <c r="C19" s="340">
        <f>PRODUCCIÓN!S15</f>
        <v>86670</v>
      </c>
      <c r="E19" s="356">
        <v>1336</v>
      </c>
      <c r="F19" s="357">
        <f t="shared" si="0"/>
        <v>48817.756490134998</v>
      </c>
      <c r="G19" s="356">
        <f t="shared" si="1"/>
        <v>60120</v>
      </c>
    </row>
    <row r="20" spans="2:8" ht="16.2" thickBot="1">
      <c r="B20" s="251" t="s">
        <v>345</v>
      </c>
      <c r="C20" s="117">
        <v>45</v>
      </c>
      <c r="E20" s="356">
        <v>1436</v>
      </c>
      <c r="F20" s="357">
        <f t="shared" si="0"/>
        <v>50034.916407061261</v>
      </c>
      <c r="G20" s="356">
        <f t="shared" si="1"/>
        <v>64620</v>
      </c>
    </row>
    <row r="21" spans="2:8" ht="16.2" thickBot="1">
      <c r="B21" s="251" t="s">
        <v>346</v>
      </c>
      <c r="C21" s="117">
        <f>C12/C22</f>
        <v>12.17159916926272</v>
      </c>
      <c r="E21" s="356">
        <v>1536</v>
      </c>
      <c r="F21" s="357">
        <f t="shared" si="0"/>
        <v>51252.076323987538</v>
      </c>
      <c r="G21" s="356">
        <f t="shared" si="1"/>
        <v>69120</v>
      </c>
    </row>
    <row r="22" spans="2:8" ht="16.2" thickBot="1">
      <c r="B22" s="339" t="s">
        <v>347</v>
      </c>
      <c r="C22" s="341">
        <f>PRODUCCIÓN!C15</f>
        <v>1926</v>
      </c>
      <c r="E22" s="356">
        <v>1636</v>
      </c>
      <c r="F22" s="357">
        <f t="shared" si="0"/>
        <v>52469.236240913815</v>
      </c>
      <c r="G22" s="356">
        <f t="shared" si="1"/>
        <v>73620</v>
      </c>
    </row>
    <row r="23" spans="2:8" ht="16.2" thickBot="1">
      <c r="B23" s="251"/>
      <c r="C23" s="287"/>
      <c r="E23" s="356">
        <v>1736</v>
      </c>
      <c r="F23" s="357">
        <f t="shared" si="0"/>
        <v>53686.396157840078</v>
      </c>
      <c r="G23" s="356">
        <f t="shared" si="1"/>
        <v>78120</v>
      </c>
    </row>
    <row r="24" spans="2:8" ht="16.2" thickBot="1">
      <c r="B24" s="339" t="s">
        <v>348</v>
      </c>
      <c r="C24" s="362">
        <f>C7/(C20-C21)</f>
        <v>991.7175121584753</v>
      </c>
      <c r="E24" s="356">
        <v>1836</v>
      </c>
      <c r="F24" s="357">
        <f t="shared" si="0"/>
        <v>54903.556074766355</v>
      </c>
      <c r="G24" s="356">
        <f t="shared" si="1"/>
        <v>82620</v>
      </c>
    </row>
    <row r="25" spans="2:8" ht="16.2" thickBot="1">
      <c r="B25" s="251"/>
      <c r="C25" s="251"/>
      <c r="E25" s="356">
        <v>1936</v>
      </c>
      <c r="F25" s="357">
        <f t="shared" si="0"/>
        <v>56120.715991692625</v>
      </c>
      <c r="G25" s="356">
        <f t="shared" si="1"/>
        <v>87120</v>
      </c>
    </row>
    <row r="26" spans="2:8" ht="16.2" thickBot="1">
      <c r="B26" s="339" t="s">
        <v>349</v>
      </c>
      <c r="C26" s="363">
        <f>C20*C24</f>
        <v>44627.288047131391</v>
      </c>
      <c r="E26" s="356">
        <v>2036</v>
      </c>
      <c r="F26" s="357">
        <f t="shared" si="0"/>
        <v>57337.875908618895</v>
      </c>
      <c r="G26" s="356">
        <f t="shared" si="1"/>
        <v>91620</v>
      </c>
    </row>
    <row r="28" spans="2:8" ht="16.2" thickBot="1"/>
    <row r="29" spans="2:8" ht="16.2" thickBot="1">
      <c r="B29" s="420" t="s">
        <v>414</v>
      </c>
      <c r="C29" s="422"/>
      <c r="E29" s="355" t="s">
        <v>347</v>
      </c>
      <c r="F29" s="355" t="s">
        <v>354</v>
      </c>
      <c r="G29" s="355" t="s">
        <v>403</v>
      </c>
      <c r="H29" s="119"/>
    </row>
    <row r="30" spans="2:8">
      <c r="B30" s="434" t="s">
        <v>13</v>
      </c>
      <c r="C30" s="435"/>
      <c r="E30" s="356">
        <v>0</v>
      </c>
      <c r="F30" s="357">
        <f>$C$32+$C$46*E30</f>
        <v>32556.5</v>
      </c>
      <c r="G30" s="356">
        <f>$C$20*E30</f>
        <v>0</v>
      </c>
      <c r="H30" s="15"/>
    </row>
    <row r="31" spans="2:8" ht="16.2" thickBot="1">
      <c r="B31" s="436"/>
      <c r="C31" s="437"/>
      <c r="E31" s="356">
        <v>21</v>
      </c>
      <c r="F31" s="357">
        <f t="shared" ref="F31:F51" si="2">$C$32+$C$46*E31</f>
        <v>32945.049723756907</v>
      </c>
      <c r="G31" s="356">
        <f t="shared" ref="G31:G51" si="3">$C$20*E31</f>
        <v>945</v>
      </c>
    </row>
    <row r="32" spans="2:8" ht="16.2" thickBot="1">
      <c r="B32" s="339" t="s">
        <v>342</v>
      </c>
      <c r="C32" s="340">
        <f>SUM(C33:C36)</f>
        <v>32556.5</v>
      </c>
      <c r="E32" s="356">
        <v>121</v>
      </c>
      <c r="F32" s="357">
        <f t="shared" si="2"/>
        <v>34795.286503551695</v>
      </c>
      <c r="G32" s="356">
        <f t="shared" si="3"/>
        <v>5445</v>
      </c>
    </row>
    <row r="33" spans="2:7" ht="16.2" thickBot="1">
      <c r="B33" s="287" t="s">
        <v>351</v>
      </c>
      <c r="C33" s="117">
        <v>27900</v>
      </c>
      <c r="E33" s="356">
        <v>221</v>
      </c>
      <c r="F33" s="357">
        <f t="shared" si="2"/>
        <v>36645.523283346491</v>
      </c>
      <c r="G33" s="356">
        <f t="shared" si="3"/>
        <v>9945</v>
      </c>
    </row>
    <row r="34" spans="2:7" ht="16.2" thickBot="1">
      <c r="B34" s="287" t="s">
        <v>139</v>
      </c>
      <c r="C34" s="117">
        <v>2700</v>
      </c>
      <c r="E34" s="356">
        <v>321</v>
      </c>
      <c r="F34" s="357">
        <f t="shared" si="2"/>
        <v>38495.760063141279</v>
      </c>
      <c r="G34" s="356">
        <f t="shared" si="3"/>
        <v>14445</v>
      </c>
    </row>
    <row r="35" spans="2:7" ht="16.2" thickBot="1">
      <c r="B35" s="287" t="s">
        <v>352</v>
      </c>
      <c r="C35" s="117">
        <v>1506.5</v>
      </c>
      <c r="E35" s="356">
        <v>421</v>
      </c>
      <c r="F35" s="357">
        <f t="shared" si="2"/>
        <v>40345.996842936067</v>
      </c>
      <c r="G35" s="356">
        <f t="shared" si="3"/>
        <v>18945</v>
      </c>
    </row>
    <row r="36" spans="2:7" ht="16.2" thickBot="1">
      <c r="B36" s="287" t="s">
        <v>138</v>
      </c>
      <c r="C36" s="117">
        <v>450</v>
      </c>
      <c r="E36" s="356">
        <v>521</v>
      </c>
      <c r="F36" s="357">
        <f t="shared" si="2"/>
        <v>42196.233622730862</v>
      </c>
      <c r="G36" s="356">
        <f t="shared" si="3"/>
        <v>23445</v>
      </c>
    </row>
    <row r="37" spans="2:7" ht="16.2" thickBot="1">
      <c r="B37" s="339" t="s">
        <v>343</v>
      </c>
      <c r="C37" s="340">
        <f>SUM(C38:C42)</f>
        <v>23442.5</v>
      </c>
      <c r="E37" s="356">
        <v>621</v>
      </c>
      <c r="F37" s="357">
        <f t="shared" si="2"/>
        <v>44046.470402525651</v>
      </c>
      <c r="G37" s="356">
        <f t="shared" si="3"/>
        <v>27945</v>
      </c>
    </row>
    <row r="38" spans="2:7" ht="16.2" thickBot="1">
      <c r="B38" s="287" t="s">
        <v>121</v>
      </c>
      <c r="C38" s="117">
        <v>12375</v>
      </c>
      <c r="E38" s="356">
        <v>721</v>
      </c>
      <c r="F38" s="357">
        <f t="shared" si="2"/>
        <v>45896.707182320446</v>
      </c>
      <c r="G38" s="356">
        <f t="shared" si="3"/>
        <v>32445</v>
      </c>
    </row>
    <row r="39" spans="2:7" ht="16.2" thickBot="1">
      <c r="B39" s="287" t="s">
        <v>353</v>
      </c>
      <c r="C39" s="117">
        <v>7800</v>
      </c>
      <c r="E39" s="356">
        <v>821</v>
      </c>
      <c r="F39" s="357">
        <f t="shared" si="2"/>
        <v>47746.943962115234</v>
      </c>
      <c r="G39" s="356">
        <f t="shared" si="3"/>
        <v>36945</v>
      </c>
    </row>
    <row r="40" spans="2:7" ht="16.2" thickBot="1">
      <c r="B40" s="287" t="s">
        <v>101</v>
      </c>
      <c r="C40" s="117">
        <v>750</v>
      </c>
      <c r="E40" s="356">
        <v>921</v>
      </c>
      <c r="F40" s="357">
        <f t="shared" si="2"/>
        <v>49597.180741910022</v>
      </c>
      <c r="G40" s="356">
        <f t="shared" si="3"/>
        <v>41445</v>
      </c>
    </row>
    <row r="41" spans="2:7" ht="16.2" thickBot="1">
      <c r="B41" s="287" t="s">
        <v>103</v>
      </c>
      <c r="C41" s="117">
        <v>2500</v>
      </c>
      <c r="E41" s="356">
        <v>1021</v>
      </c>
      <c r="F41" s="357">
        <f t="shared" si="2"/>
        <v>51447.417521704818</v>
      </c>
      <c r="G41" s="361">
        <f t="shared" si="3"/>
        <v>45945</v>
      </c>
    </row>
    <row r="42" spans="2:7" ht="16.2" thickBot="1">
      <c r="B42" s="287" t="s">
        <v>105</v>
      </c>
      <c r="C42" s="117">
        <v>17.5</v>
      </c>
      <c r="E42" s="356">
        <v>1121</v>
      </c>
      <c r="F42" s="357">
        <f t="shared" si="2"/>
        <v>53297.654301499606</v>
      </c>
      <c r="G42" s="356">
        <f t="shared" si="3"/>
        <v>50445</v>
      </c>
    </row>
    <row r="43" spans="2:7" ht="16.2" thickBot="1">
      <c r="B43" s="339" t="s">
        <v>354</v>
      </c>
      <c r="C43" s="340">
        <f>C37+C32</f>
        <v>55999</v>
      </c>
      <c r="E43" s="356">
        <v>1221</v>
      </c>
      <c r="F43" s="357">
        <f t="shared" si="2"/>
        <v>55147.891081294394</v>
      </c>
      <c r="G43" s="356">
        <f t="shared" si="3"/>
        <v>54945</v>
      </c>
    </row>
    <row r="44" spans="2:7" ht="16.2" thickBot="1">
      <c r="B44" s="339" t="s">
        <v>344</v>
      </c>
      <c r="C44" s="340">
        <f>PRODUCCIÓN!S16</f>
        <v>57015</v>
      </c>
      <c r="E44" s="358">
        <f>C49</f>
        <v>1228.6569513738923</v>
      </c>
      <c r="F44" s="359">
        <f t="shared" si="2"/>
        <v>55289.562811825155</v>
      </c>
      <c r="G44" s="360">
        <f t="shared" si="3"/>
        <v>55289.562811825155</v>
      </c>
    </row>
    <row r="45" spans="2:7" ht="16.2" thickBot="1">
      <c r="B45" s="251" t="s">
        <v>345</v>
      </c>
      <c r="C45" s="117">
        <v>45</v>
      </c>
      <c r="E45" s="356">
        <v>1421</v>
      </c>
      <c r="F45" s="357">
        <f t="shared" si="2"/>
        <v>58848.364640883978</v>
      </c>
      <c r="G45" s="356">
        <f t="shared" si="3"/>
        <v>63945</v>
      </c>
    </row>
    <row r="46" spans="2:7" ht="16.2" thickBot="1">
      <c r="B46" s="251" t="s">
        <v>346</v>
      </c>
      <c r="C46" s="117">
        <f>C37/C47</f>
        <v>18.502367797947908</v>
      </c>
      <c r="E46" s="356">
        <v>1521</v>
      </c>
      <c r="F46" s="357">
        <f t="shared" si="2"/>
        <v>60698.601420678766</v>
      </c>
      <c r="G46" s="356">
        <f t="shared" si="3"/>
        <v>68445</v>
      </c>
    </row>
    <row r="47" spans="2:7" ht="16.2" thickBot="1">
      <c r="B47" s="339" t="s">
        <v>347</v>
      </c>
      <c r="C47" s="341">
        <f>PRODUCCIÓN!C16</f>
        <v>1267</v>
      </c>
      <c r="E47" s="356">
        <v>1621</v>
      </c>
      <c r="F47" s="357">
        <f t="shared" si="2"/>
        <v>62548.838200473561</v>
      </c>
      <c r="G47" s="356">
        <f t="shared" si="3"/>
        <v>72945</v>
      </c>
    </row>
    <row r="48" spans="2:7" ht="16.2" thickBot="1">
      <c r="B48" s="251"/>
      <c r="C48" s="287"/>
      <c r="E48" s="356">
        <v>1721</v>
      </c>
      <c r="F48" s="357">
        <f t="shared" si="2"/>
        <v>64399.074980268349</v>
      </c>
      <c r="G48" s="356">
        <f t="shared" si="3"/>
        <v>77445</v>
      </c>
    </row>
    <row r="49" spans="2:7" ht="16.2" thickBot="1">
      <c r="B49" s="339" t="s">
        <v>348</v>
      </c>
      <c r="C49" s="362">
        <f>C32/(C45-C46)</f>
        <v>1228.6569513738923</v>
      </c>
      <c r="E49" s="356">
        <v>1821</v>
      </c>
      <c r="F49" s="357">
        <f t="shared" si="2"/>
        <v>66249.311760063138</v>
      </c>
      <c r="G49" s="356">
        <f t="shared" si="3"/>
        <v>81945</v>
      </c>
    </row>
    <row r="50" spans="2:7" ht="16.2" thickBot="1">
      <c r="B50" s="251"/>
      <c r="C50" s="251"/>
      <c r="E50" s="356">
        <v>1921</v>
      </c>
      <c r="F50" s="357">
        <f t="shared" si="2"/>
        <v>68099.548539857933</v>
      </c>
      <c r="G50" s="356">
        <f t="shared" si="3"/>
        <v>86445</v>
      </c>
    </row>
    <row r="51" spans="2:7" ht="16.2" thickBot="1">
      <c r="B51" s="339" t="s">
        <v>349</v>
      </c>
      <c r="C51" s="363">
        <f>C45*C49</f>
        <v>55289.562811825155</v>
      </c>
      <c r="E51" s="356">
        <v>2021</v>
      </c>
      <c r="F51" s="357">
        <f t="shared" si="2"/>
        <v>69949.785319652729</v>
      </c>
      <c r="G51" s="356">
        <f t="shared" si="3"/>
        <v>90945</v>
      </c>
    </row>
    <row r="52" spans="2:7" ht="16.2" thickBot="1"/>
    <row r="53" spans="2:7" ht="16.2" thickBot="1">
      <c r="B53" s="420" t="s">
        <v>404</v>
      </c>
      <c r="C53" s="422"/>
      <c r="E53" s="355" t="s">
        <v>347</v>
      </c>
      <c r="F53" s="355" t="s">
        <v>354</v>
      </c>
      <c r="G53" s="355" t="s">
        <v>403</v>
      </c>
    </row>
    <row r="54" spans="2:7">
      <c r="B54" s="434" t="s">
        <v>13</v>
      </c>
      <c r="C54" s="435"/>
      <c r="E54" s="356">
        <v>0</v>
      </c>
      <c r="F54" s="357">
        <f>$C$56+$C$70*E54</f>
        <v>65113</v>
      </c>
      <c r="G54" s="356">
        <f>$C$20*E54</f>
        <v>0</v>
      </c>
    </row>
    <row r="55" spans="2:7" ht="16.2" thickBot="1">
      <c r="B55" s="436"/>
      <c r="C55" s="437"/>
      <c r="E55" s="356">
        <v>267</v>
      </c>
      <c r="F55" s="357">
        <f t="shared" ref="F55:F75" si="4">$C$56+$C$70*E55</f>
        <v>69033.543376135291</v>
      </c>
      <c r="G55" s="356">
        <f t="shared" ref="G55:G75" si="5">$C$20*E55</f>
        <v>12015</v>
      </c>
    </row>
    <row r="56" spans="2:7" ht="16.2" thickBot="1">
      <c r="B56" s="339" t="s">
        <v>342</v>
      </c>
      <c r="C56" s="340">
        <f>SUM(C57:C60)</f>
        <v>65113</v>
      </c>
      <c r="E56" s="356">
        <v>467</v>
      </c>
      <c r="F56" s="357">
        <f t="shared" si="4"/>
        <v>71970.27998747259</v>
      </c>
      <c r="G56" s="356">
        <f t="shared" si="5"/>
        <v>21015</v>
      </c>
    </row>
    <row r="57" spans="2:7" ht="16.2" thickBot="1">
      <c r="B57" s="287" t="s">
        <v>351</v>
      </c>
      <c r="C57" s="117">
        <f>C8+C33</f>
        <v>55800</v>
      </c>
      <c r="E57" s="356">
        <v>667</v>
      </c>
      <c r="F57" s="357">
        <f t="shared" si="4"/>
        <v>74907.016598809889</v>
      </c>
      <c r="G57" s="356">
        <f t="shared" si="5"/>
        <v>30015</v>
      </c>
    </row>
    <row r="58" spans="2:7" ht="16.2" thickBot="1">
      <c r="B58" s="287" t="s">
        <v>139</v>
      </c>
      <c r="C58" s="117">
        <f>C9+C34</f>
        <v>5400</v>
      </c>
      <c r="E58" s="356">
        <v>867</v>
      </c>
      <c r="F58" s="357">
        <f t="shared" si="4"/>
        <v>77843.753210147202</v>
      </c>
      <c r="G58" s="356">
        <f t="shared" si="5"/>
        <v>39015</v>
      </c>
    </row>
    <row r="59" spans="2:7" ht="16.2" thickBot="1">
      <c r="B59" s="287" t="s">
        <v>352</v>
      </c>
      <c r="C59" s="117">
        <f>C10+C35</f>
        <v>3013</v>
      </c>
      <c r="E59" s="356">
        <v>1067</v>
      </c>
      <c r="F59" s="357">
        <f t="shared" si="4"/>
        <v>80780.489821484502</v>
      </c>
      <c r="G59" s="356">
        <f t="shared" si="5"/>
        <v>48015</v>
      </c>
    </row>
    <row r="60" spans="2:7" ht="16.2" thickBot="1">
      <c r="B60" s="287" t="s">
        <v>138</v>
      </c>
      <c r="C60" s="117">
        <f>C11+C36</f>
        <v>900</v>
      </c>
      <c r="E60" s="356">
        <v>1267</v>
      </c>
      <c r="F60" s="357">
        <f t="shared" si="4"/>
        <v>83717.226432821801</v>
      </c>
      <c r="G60" s="356">
        <f t="shared" si="5"/>
        <v>57015</v>
      </c>
    </row>
    <row r="61" spans="2:7" ht="16.2" thickBot="1">
      <c r="B61" s="339" t="s">
        <v>343</v>
      </c>
      <c r="C61" s="340">
        <f>SUM(C62:C66)</f>
        <v>46885</v>
      </c>
      <c r="E61" s="356">
        <v>1467</v>
      </c>
      <c r="F61" s="357">
        <f t="shared" si="4"/>
        <v>86653.9630441591</v>
      </c>
      <c r="G61" s="356">
        <f t="shared" si="5"/>
        <v>66015</v>
      </c>
    </row>
    <row r="62" spans="2:7" ht="16.2" thickBot="1">
      <c r="B62" s="287" t="s">
        <v>121</v>
      </c>
      <c r="C62" s="117">
        <f>C13+C38</f>
        <v>24750</v>
      </c>
      <c r="E62" s="356">
        <v>1667</v>
      </c>
      <c r="F62" s="357">
        <f t="shared" si="4"/>
        <v>89590.699655496399</v>
      </c>
      <c r="G62" s="356">
        <f t="shared" si="5"/>
        <v>75015</v>
      </c>
    </row>
    <row r="63" spans="2:7" ht="16.2" thickBot="1">
      <c r="B63" s="287" t="s">
        <v>353</v>
      </c>
      <c r="C63" s="117">
        <f>C14+C39</f>
        <v>15600</v>
      </c>
      <c r="E63" s="356">
        <v>1867</v>
      </c>
      <c r="F63" s="357">
        <f t="shared" si="4"/>
        <v>92527.436266833698</v>
      </c>
      <c r="G63" s="356">
        <f t="shared" si="5"/>
        <v>84015</v>
      </c>
    </row>
    <row r="64" spans="2:7" ht="16.2" thickBot="1">
      <c r="B64" s="287" t="s">
        <v>101</v>
      </c>
      <c r="C64" s="117">
        <f>C15+C40</f>
        <v>1500</v>
      </c>
      <c r="E64" s="356">
        <v>2067</v>
      </c>
      <c r="F64" s="357">
        <f t="shared" si="4"/>
        <v>95464.172878170997</v>
      </c>
      <c r="G64" s="356">
        <f t="shared" si="5"/>
        <v>93015</v>
      </c>
    </row>
    <row r="65" spans="2:7" ht="16.2" thickBot="1">
      <c r="B65" s="287" t="s">
        <v>103</v>
      </c>
      <c r="C65" s="117">
        <f>C16+C41</f>
        <v>5000</v>
      </c>
      <c r="E65" s="358">
        <f>C73</f>
        <v>2147.7872830578513</v>
      </c>
      <c r="F65" s="359">
        <f t="shared" si="4"/>
        <v>96650.427737603313</v>
      </c>
      <c r="G65" s="360">
        <f t="shared" si="5"/>
        <v>96650.427737603313</v>
      </c>
    </row>
    <row r="66" spans="2:7" ht="16.2" thickBot="1">
      <c r="B66" s="287" t="s">
        <v>105</v>
      </c>
      <c r="C66" s="117">
        <f>C17+C42</f>
        <v>35</v>
      </c>
      <c r="E66" s="356">
        <v>2467</v>
      </c>
      <c r="F66" s="357">
        <f t="shared" si="4"/>
        <v>101337.6461008456</v>
      </c>
      <c r="G66" s="356">
        <f t="shared" si="5"/>
        <v>111015</v>
      </c>
    </row>
    <row r="67" spans="2:7" ht="16.2" thickBot="1">
      <c r="B67" s="339" t="s">
        <v>354</v>
      </c>
      <c r="C67" s="340">
        <f>C61+C56</f>
        <v>111998</v>
      </c>
      <c r="E67" s="356">
        <v>2667</v>
      </c>
      <c r="F67" s="357">
        <f t="shared" si="4"/>
        <v>104274.38271218291</v>
      </c>
      <c r="G67" s="356">
        <f t="shared" si="5"/>
        <v>120015</v>
      </c>
    </row>
    <row r="68" spans="2:7" ht="16.2" thickBot="1">
      <c r="B68" s="339" t="s">
        <v>344</v>
      </c>
      <c r="C68" s="340">
        <f>C19+C44</f>
        <v>143685</v>
      </c>
      <c r="E68" s="356">
        <v>2867</v>
      </c>
      <c r="F68" s="357">
        <f t="shared" si="4"/>
        <v>107211.11932352019</v>
      </c>
      <c r="G68" s="361">
        <f t="shared" si="5"/>
        <v>129015</v>
      </c>
    </row>
    <row r="69" spans="2:7" ht="16.2" thickBot="1">
      <c r="B69" s="251" t="s">
        <v>345</v>
      </c>
      <c r="C69" s="117">
        <v>45</v>
      </c>
      <c r="E69" s="356">
        <v>3067</v>
      </c>
      <c r="F69" s="357">
        <f t="shared" si="4"/>
        <v>110147.85593485751</v>
      </c>
      <c r="G69" s="356">
        <f t="shared" si="5"/>
        <v>138015</v>
      </c>
    </row>
    <row r="70" spans="2:7" ht="16.2" thickBot="1">
      <c r="B70" s="251" t="s">
        <v>346</v>
      </c>
      <c r="C70" s="117">
        <f>C61/C71</f>
        <v>14.683683056686501</v>
      </c>
      <c r="E70" s="356">
        <v>3267</v>
      </c>
      <c r="F70" s="357">
        <f t="shared" si="4"/>
        <v>113084.59254619479</v>
      </c>
      <c r="G70" s="356">
        <f t="shared" si="5"/>
        <v>147015</v>
      </c>
    </row>
    <row r="71" spans="2:7" ht="16.2" thickBot="1">
      <c r="B71" s="339" t="s">
        <v>347</v>
      </c>
      <c r="C71" s="341">
        <f>C22+C47</f>
        <v>3193</v>
      </c>
      <c r="E71" s="356">
        <v>3467</v>
      </c>
      <c r="F71" s="357">
        <f t="shared" si="4"/>
        <v>116021.32915753211</v>
      </c>
      <c r="G71" s="356">
        <f t="shared" si="5"/>
        <v>156015</v>
      </c>
    </row>
    <row r="72" spans="2:7" ht="16.2" thickBot="1">
      <c r="B72" s="251"/>
      <c r="C72" s="287"/>
      <c r="E72" s="356">
        <v>3667</v>
      </c>
      <c r="F72" s="357">
        <f t="shared" si="4"/>
        <v>118958.06576886939</v>
      </c>
      <c r="G72" s="356">
        <f t="shared" si="5"/>
        <v>165015</v>
      </c>
    </row>
    <row r="73" spans="2:7" ht="16.2" thickBot="1">
      <c r="B73" s="339" t="s">
        <v>348</v>
      </c>
      <c r="C73" s="341">
        <f>C56/(C69-C70)</f>
        <v>2147.7872830578513</v>
      </c>
      <c r="E73" s="356">
        <v>3867</v>
      </c>
      <c r="F73" s="357">
        <f t="shared" si="4"/>
        <v>121894.8023802067</v>
      </c>
      <c r="G73" s="356">
        <f t="shared" si="5"/>
        <v>174015</v>
      </c>
    </row>
    <row r="74" spans="2:7" ht="16.2" thickBot="1">
      <c r="B74" s="251"/>
      <c r="C74" s="251"/>
      <c r="E74" s="356">
        <v>4067</v>
      </c>
      <c r="F74" s="357">
        <f t="shared" si="4"/>
        <v>124831.538991544</v>
      </c>
      <c r="G74" s="356">
        <f t="shared" si="5"/>
        <v>183015</v>
      </c>
    </row>
    <row r="75" spans="2:7" ht="16.2" thickBot="1">
      <c r="B75" s="339" t="s">
        <v>349</v>
      </c>
      <c r="C75" s="340">
        <f>C69*C73</f>
        <v>96650.427737603313</v>
      </c>
      <c r="E75" s="356">
        <v>4267</v>
      </c>
      <c r="F75" s="357">
        <f t="shared" si="4"/>
        <v>127768.2756028813</v>
      </c>
      <c r="G75" s="356">
        <f t="shared" si="5"/>
        <v>192015</v>
      </c>
    </row>
  </sheetData>
  <mergeCells count="7">
    <mergeCell ref="B2:C2"/>
    <mergeCell ref="B29:C29"/>
    <mergeCell ref="B30:C31"/>
    <mergeCell ref="B53:C53"/>
    <mergeCell ref="B54:C55"/>
    <mergeCell ref="B5:C6"/>
    <mergeCell ref="B4:C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4"/>
  <sheetViews>
    <sheetView showGridLines="0" topLeftCell="A61" zoomScale="85" zoomScaleNormal="85" workbookViewId="0">
      <selection activeCell="C58" sqref="C58"/>
    </sheetView>
  </sheetViews>
  <sheetFormatPr baseColWidth="10" defaultRowHeight="15.6"/>
  <cols>
    <col min="1" max="1" width="3.59765625" customWidth="1"/>
    <col min="2" max="2" width="42.69921875" customWidth="1"/>
    <col min="3" max="3" width="15.5" customWidth="1"/>
    <col min="4" max="4" width="14.19921875" customWidth="1"/>
    <col min="9" max="9" width="12.09765625" customWidth="1"/>
  </cols>
  <sheetData>
    <row r="1" spans="2:9" ht="16.2" thickBot="1"/>
    <row r="2" spans="2:9" ht="16.2" thickBot="1">
      <c r="B2" s="406" t="s">
        <v>355</v>
      </c>
      <c r="C2" s="407"/>
      <c r="D2" s="408"/>
    </row>
    <row r="3" spans="2:9" ht="16.2" thickBot="1"/>
    <row r="4" spans="2:9" ht="15.75" customHeight="1">
      <c r="B4" s="438" t="s">
        <v>356</v>
      </c>
      <c r="C4" s="439"/>
      <c r="D4" s="439"/>
      <c r="E4" s="439"/>
      <c r="F4" s="439"/>
      <c r="G4" s="439"/>
      <c r="H4" s="439"/>
      <c r="I4" s="440"/>
    </row>
    <row r="5" spans="2:9">
      <c r="B5" s="441"/>
      <c r="C5" s="442"/>
      <c r="D5" s="442"/>
      <c r="E5" s="442"/>
      <c r="F5" s="442"/>
      <c r="G5" s="442"/>
      <c r="H5" s="442"/>
      <c r="I5" s="443"/>
    </row>
    <row r="6" spans="2:9" ht="16.2" thickBot="1">
      <c r="B6" s="444"/>
      <c r="C6" s="445"/>
      <c r="D6" s="445"/>
      <c r="E6" s="445"/>
      <c r="F6" s="445"/>
      <c r="G6" s="445"/>
      <c r="H6" s="445"/>
      <c r="I6" s="446"/>
    </row>
    <row r="7" spans="2:9" ht="16.2" thickBot="1"/>
    <row r="8" spans="2:9" ht="16.2" thickBot="1">
      <c r="B8" s="409" t="s">
        <v>260</v>
      </c>
      <c r="C8" s="411" t="s">
        <v>261</v>
      </c>
      <c r="D8" s="412"/>
      <c r="E8" s="412"/>
      <c r="F8" s="412"/>
      <c r="G8" s="412"/>
      <c r="H8" s="412"/>
      <c r="I8" s="413" t="s">
        <v>262</v>
      </c>
    </row>
    <row r="9" spans="2:9" ht="16.2" thickBot="1">
      <c r="B9" s="410"/>
      <c r="C9" s="227">
        <v>0</v>
      </c>
      <c r="D9" s="227">
        <v>1</v>
      </c>
      <c r="E9" s="227">
        <v>2</v>
      </c>
      <c r="F9" s="227">
        <v>3</v>
      </c>
      <c r="G9" s="227">
        <v>4</v>
      </c>
      <c r="H9" s="227">
        <v>5</v>
      </c>
      <c r="I9" s="414"/>
    </row>
    <row r="10" spans="2:9" ht="16.2" thickBot="1">
      <c r="B10" s="228" t="s">
        <v>263</v>
      </c>
      <c r="C10" s="229"/>
      <c r="D10" s="185">
        <f>SUM(D11:D12)</f>
        <v>146992.32000000001</v>
      </c>
      <c r="E10" s="185">
        <f t="shared" ref="E10:H10" si="0">SUM(E11:E12)</f>
        <v>150054.66</v>
      </c>
      <c r="F10" s="185">
        <f t="shared" si="0"/>
        <v>153117</v>
      </c>
      <c r="G10" s="185">
        <f t="shared" si="0"/>
        <v>156179.34000000003</v>
      </c>
      <c r="H10" s="185">
        <f t="shared" si="0"/>
        <v>159241.68000000002</v>
      </c>
      <c r="I10" s="186">
        <f>SUM(D10:H10)</f>
        <v>765585.00000000012</v>
      </c>
    </row>
    <row r="11" spans="2:9" ht="16.2" thickBot="1">
      <c r="B11" s="256" t="s">
        <v>193</v>
      </c>
      <c r="C11" s="257"/>
      <c r="D11" s="230">
        <v>88195.392000000007</v>
      </c>
      <c r="E11" s="230">
        <v>90032.796000000002</v>
      </c>
      <c r="F11" s="230">
        <v>91870.200000000012</v>
      </c>
      <c r="G11" s="230">
        <v>93707.604000000007</v>
      </c>
      <c r="H11" s="230">
        <v>95545.008000000002</v>
      </c>
      <c r="I11" s="251"/>
    </row>
    <row r="12" spans="2:9" ht="16.2" thickBot="1">
      <c r="B12" s="256" t="s">
        <v>194</v>
      </c>
      <c r="C12" s="257"/>
      <c r="D12" s="230">
        <v>58796.928000000007</v>
      </c>
      <c r="E12" s="230">
        <v>60021.864000000001</v>
      </c>
      <c r="F12" s="230">
        <v>61246.8</v>
      </c>
      <c r="G12" s="230">
        <v>62471.736000000004</v>
      </c>
      <c r="H12" s="230">
        <v>63696.672000000013</v>
      </c>
      <c r="I12" s="251"/>
    </row>
    <row r="13" spans="2:9" ht="16.2" thickBot="1">
      <c r="B13" s="232" t="s">
        <v>272</v>
      </c>
      <c r="C13" s="233"/>
      <c r="D13" s="191">
        <f>SUM(D14:D16)</f>
        <v>35442.5</v>
      </c>
      <c r="E13" s="191">
        <f>SUM(E14:E16)</f>
        <v>34869.525000000001</v>
      </c>
      <c r="F13" s="191">
        <f>SUM(F14:F16)</f>
        <v>34310.701249999998</v>
      </c>
      <c r="G13" s="191">
        <f>SUM(G14:G16)</f>
        <v>33765.664972500002</v>
      </c>
      <c r="H13" s="191">
        <f>SUM(H14:H16)</f>
        <v>33234.062088125007</v>
      </c>
      <c r="I13" s="191">
        <f>SUM(D13:H13)</f>
        <v>171622.45331062502</v>
      </c>
    </row>
    <row r="14" spans="2:9" ht="16.2" thickBot="1">
      <c r="B14" s="261" t="s">
        <v>121</v>
      </c>
      <c r="C14" s="257"/>
      <c r="D14" s="244">
        <v>8972.5</v>
      </c>
      <c r="E14" s="244">
        <v>8703.3250000000007</v>
      </c>
      <c r="F14" s="244">
        <v>8442.2252500000013</v>
      </c>
      <c r="G14" s="244">
        <v>8188.9584925000017</v>
      </c>
      <c r="H14" s="244">
        <v>7943.2897377250019</v>
      </c>
      <c r="I14" s="258"/>
    </row>
    <row r="15" spans="2:9" ht="16.2" thickBot="1">
      <c r="B15" s="261" t="s">
        <v>122</v>
      </c>
      <c r="C15" s="257"/>
      <c r="D15" s="244">
        <v>15190</v>
      </c>
      <c r="E15" s="244">
        <v>14886.2</v>
      </c>
      <c r="F15" s="244">
        <v>14588.476000000001</v>
      </c>
      <c r="G15" s="244">
        <v>14296.706480000001</v>
      </c>
      <c r="H15" s="244">
        <v>14010.772350400001</v>
      </c>
      <c r="I15" s="258"/>
    </row>
    <row r="16" spans="2:9" ht="16.2" thickBot="1">
      <c r="B16" s="261" t="s">
        <v>273</v>
      </c>
      <c r="C16" s="257"/>
      <c r="D16" s="234">
        <f>'FLUJO DE CAJA'!D12</f>
        <v>11280</v>
      </c>
      <c r="E16" s="234">
        <f t="shared" ref="E16:H16" si="1">D16</f>
        <v>11280</v>
      </c>
      <c r="F16" s="234">
        <f t="shared" si="1"/>
        <v>11280</v>
      </c>
      <c r="G16" s="234">
        <f t="shared" si="1"/>
        <v>11280</v>
      </c>
      <c r="H16" s="234">
        <f t="shared" si="1"/>
        <v>11280</v>
      </c>
      <c r="I16" s="258"/>
    </row>
    <row r="17" spans="2:9" ht="16.2" thickBot="1">
      <c r="B17" s="235" t="s">
        <v>274</v>
      </c>
      <c r="C17" s="236"/>
      <c r="D17" s="192">
        <f>SUM(D18:D19)</f>
        <v>68825</v>
      </c>
      <c r="E17" s="192">
        <f>SUM(E18:E19)</f>
        <v>68825</v>
      </c>
      <c r="F17" s="192">
        <f>SUM(F18:F19)</f>
        <v>68825</v>
      </c>
      <c r="G17" s="192">
        <f>SUM(G18:G19)</f>
        <v>68825</v>
      </c>
      <c r="H17" s="192">
        <f>SUM(H18:H19)</f>
        <v>68825</v>
      </c>
      <c r="I17" s="192">
        <f>SUM(D17:H17)</f>
        <v>344125</v>
      </c>
    </row>
    <row r="18" spans="2:9" ht="16.2" thickBot="1">
      <c r="B18" s="261" t="s">
        <v>126</v>
      </c>
      <c r="C18" s="257"/>
      <c r="D18" s="244">
        <f>'FLUJO DE CAJA'!D14</f>
        <v>67985</v>
      </c>
      <c r="E18" s="244">
        <f t="shared" ref="E18:H19" si="2">D18</f>
        <v>67985</v>
      </c>
      <c r="F18" s="244">
        <f t="shared" si="2"/>
        <v>67985</v>
      </c>
      <c r="G18" s="241">
        <f t="shared" si="2"/>
        <v>67985</v>
      </c>
      <c r="H18" s="241">
        <f t="shared" si="2"/>
        <v>67985</v>
      </c>
      <c r="I18" s="259"/>
    </row>
    <row r="19" spans="2:9" ht="16.2" thickBot="1">
      <c r="B19" s="261" t="s">
        <v>127</v>
      </c>
      <c r="C19" s="257"/>
      <c r="D19" s="244">
        <f>'FLUJO DE CAJA'!D15</f>
        <v>840</v>
      </c>
      <c r="E19" s="244">
        <f t="shared" si="2"/>
        <v>840</v>
      </c>
      <c r="F19" s="244">
        <f t="shared" si="2"/>
        <v>840</v>
      </c>
      <c r="G19" s="244">
        <f t="shared" si="2"/>
        <v>840</v>
      </c>
      <c r="H19" s="244">
        <f t="shared" si="2"/>
        <v>840</v>
      </c>
      <c r="I19" s="259"/>
    </row>
    <row r="20" spans="2:9" ht="16.2" thickBot="1">
      <c r="B20" s="237" t="s">
        <v>275</v>
      </c>
      <c r="C20" s="193"/>
      <c r="D20" s="193">
        <f>'FLUJO DE CAJA'!D16</f>
        <v>3005.5</v>
      </c>
      <c r="E20" s="193">
        <f>E28</f>
        <v>3005.5</v>
      </c>
      <c r="F20" s="193">
        <f t="shared" ref="F20:H20" si="3">F28</f>
        <v>3005.5</v>
      </c>
      <c r="G20" s="193">
        <f t="shared" si="3"/>
        <v>3005.5</v>
      </c>
      <c r="H20" s="193">
        <f t="shared" si="3"/>
        <v>3005.5</v>
      </c>
      <c r="I20" s="193"/>
    </row>
    <row r="21" spans="2:9" ht="16.2" thickBot="1">
      <c r="B21" s="237" t="s">
        <v>276</v>
      </c>
      <c r="C21" s="193"/>
      <c r="D21" s="193">
        <f>'FLUJO DE CAJA'!D17</f>
        <v>1532.5539903887582</v>
      </c>
      <c r="E21" s="193">
        <f>'FLUJO DE CAJA'!E17</f>
        <v>1789.4893891057773</v>
      </c>
      <c r="F21" s="193">
        <f>'FLUJO DE CAJA'!F17</f>
        <v>2089.5004638041223</v>
      </c>
      <c r="G21" s="193">
        <f>'FLUJO DE CAJA'!G17</f>
        <v>2439.8089280760551</v>
      </c>
      <c r="H21" s="193">
        <f>'FLUJO DE CAJA'!H17</f>
        <v>2848.8472286252891</v>
      </c>
      <c r="I21" s="193"/>
    </row>
    <row r="22" spans="2:9" ht="16.2" thickBot="1">
      <c r="B22" s="237" t="s">
        <v>277</v>
      </c>
      <c r="C22" s="193"/>
      <c r="D22" s="193">
        <f>'FLUJO DE CAJA'!D18</f>
        <v>1562.7189004362472</v>
      </c>
      <c r="E22" s="193">
        <f>'FLUJO DE CAJA'!E18</f>
        <v>1305.7835017192276</v>
      </c>
      <c r="F22" s="193">
        <f>'FLUJO DE CAJA'!F18</f>
        <v>1005.7724270208828</v>
      </c>
      <c r="G22" s="193">
        <f>'FLUJO DE CAJA'!G18</f>
        <v>655.46396274895005</v>
      </c>
      <c r="H22" s="193">
        <f>'FLUJO DE CAJA'!H18</f>
        <v>246.42566219971619</v>
      </c>
      <c r="I22" s="193"/>
    </row>
    <row r="23" spans="2:9" ht="16.2" thickBot="1">
      <c r="B23" s="238" t="s">
        <v>278</v>
      </c>
      <c r="C23" s="194"/>
      <c r="D23" s="194">
        <f>D10-D13-D17-D20-D21-D22</f>
        <v>36624.047109175008</v>
      </c>
      <c r="E23" s="194">
        <f t="shared" ref="E23:H23" si="4">E10-E13-E17-E20-E21-E22</f>
        <v>40259.362109175003</v>
      </c>
      <c r="F23" s="194">
        <f t="shared" si="4"/>
        <v>43880.525859174995</v>
      </c>
      <c r="G23" s="194">
        <f t="shared" si="4"/>
        <v>47487.902136675017</v>
      </c>
      <c r="H23" s="194">
        <f t="shared" si="4"/>
        <v>51081.845021050009</v>
      </c>
      <c r="I23" s="194">
        <f>SUM(D23:H23)</f>
        <v>219333.68223525005</v>
      </c>
    </row>
    <row r="24" spans="2:9" ht="16.2" thickBot="1">
      <c r="B24" s="261" t="s">
        <v>279</v>
      </c>
      <c r="C24" s="257"/>
      <c r="D24" s="244">
        <f>D23*15%</f>
        <v>5493.6070663762512</v>
      </c>
      <c r="E24" s="244">
        <f>E23*15%</f>
        <v>6038.9043163762499</v>
      </c>
      <c r="F24" s="244">
        <f>F23*15%</f>
        <v>6582.0788788762493</v>
      </c>
      <c r="G24" s="244">
        <f>G23*15%</f>
        <v>7123.1853205012521</v>
      </c>
      <c r="H24" s="244">
        <f>H23*15%</f>
        <v>7662.2767531575009</v>
      </c>
      <c r="I24" s="257"/>
    </row>
    <row r="25" spans="2:9" ht="16.2" thickBot="1">
      <c r="B25" s="238" t="s">
        <v>280</v>
      </c>
      <c r="C25" s="194"/>
      <c r="D25" s="194">
        <f>D23-D24</f>
        <v>31130.440042798757</v>
      </c>
      <c r="E25" s="194">
        <f>E23-E24</f>
        <v>34220.457792798756</v>
      </c>
      <c r="F25" s="194">
        <f>F23-F24</f>
        <v>37298.446980298744</v>
      </c>
      <c r="G25" s="194">
        <f>G23-G24</f>
        <v>40364.716816173765</v>
      </c>
      <c r="H25" s="194">
        <f>H23-H24</f>
        <v>43419.568267892508</v>
      </c>
      <c r="I25" s="194">
        <f>SUM(D25:H25)</f>
        <v>186433.62989996251</v>
      </c>
    </row>
    <row r="26" spans="2:9" ht="16.2" thickBot="1">
      <c r="B26" s="262" t="s">
        <v>281</v>
      </c>
      <c r="C26" s="231"/>
      <c r="D26" s="244">
        <f>D25*25%</f>
        <v>7782.6100106996892</v>
      </c>
      <c r="E26" s="234">
        <f>E25*25%</f>
        <v>8555.1144481996889</v>
      </c>
      <c r="F26" s="234">
        <f>F25*25%</f>
        <v>9324.611745074686</v>
      </c>
      <c r="G26" s="234">
        <f>G25*25%</f>
        <v>10091.179204043441</v>
      </c>
      <c r="H26" s="234">
        <f>H25*25%</f>
        <v>10854.892066973127</v>
      </c>
      <c r="I26" s="257"/>
    </row>
    <row r="27" spans="2:9" ht="16.2" thickBot="1">
      <c r="B27" s="238" t="s">
        <v>282</v>
      </c>
      <c r="C27" s="194"/>
      <c r="D27" s="194">
        <f>D25-D26</f>
        <v>23347.830032099067</v>
      </c>
      <c r="E27" s="194">
        <f>E25-E26</f>
        <v>25665.343344599067</v>
      </c>
      <c r="F27" s="194">
        <f>F25-F26</f>
        <v>27973.835235224058</v>
      </c>
      <c r="G27" s="194">
        <f>G25-G26</f>
        <v>30273.537612130323</v>
      </c>
      <c r="H27" s="194">
        <f>H25-H26</f>
        <v>32564.676200919381</v>
      </c>
      <c r="I27" s="194">
        <f>SUM(D27:H27)</f>
        <v>139825.2224249719</v>
      </c>
    </row>
    <row r="28" spans="2:9" ht="16.2" thickBot="1">
      <c r="B28" s="239" t="s">
        <v>283</v>
      </c>
      <c r="C28" s="240"/>
      <c r="D28" s="244">
        <f>D20</f>
        <v>3005.5</v>
      </c>
      <c r="E28" s="244">
        <f>'FLUJO DE CAJA'!E24</f>
        <v>3005.5</v>
      </c>
      <c r="F28" s="244">
        <f>'FLUJO DE CAJA'!F24</f>
        <v>3005.5</v>
      </c>
      <c r="G28" s="244">
        <f>'FLUJO DE CAJA'!G24</f>
        <v>3005.5</v>
      </c>
      <c r="H28" s="244">
        <f>'FLUJO DE CAJA'!H24</f>
        <v>3005.5</v>
      </c>
      <c r="I28" s="257"/>
    </row>
    <row r="29" spans="2:9" ht="16.2" thickBot="1">
      <c r="B29" s="242" t="s">
        <v>284</v>
      </c>
      <c r="C29" s="243">
        <f>+C30+C48</f>
        <v>19200</v>
      </c>
      <c r="D29" s="244"/>
      <c r="E29" s="244"/>
      <c r="F29" s="243">
        <v>-4500</v>
      </c>
      <c r="G29" s="244"/>
      <c r="H29" s="244"/>
      <c r="I29" s="245"/>
    </row>
    <row r="30" spans="2:9" ht="16.2" thickBot="1">
      <c r="B30" s="246" t="s">
        <v>285</v>
      </c>
      <c r="C30" s="243">
        <f>SUM(C31:C47)</f>
        <v>17100</v>
      </c>
      <c r="D30" s="244"/>
      <c r="E30" s="244"/>
      <c r="F30" s="244"/>
      <c r="G30" s="244"/>
      <c r="H30" s="244"/>
      <c r="I30" s="245"/>
    </row>
    <row r="31" spans="2:9" ht="16.2" thickBot="1">
      <c r="B31" s="247" t="s">
        <v>236</v>
      </c>
      <c r="C31" s="253">
        <v>1800</v>
      </c>
      <c r="D31" s="251"/>
      <c r="E31" s="251"/>
      <c r="F31" s="251"/>
      <c r="G31" s="251"/>
      <c r="H31" s="251"/>
      <c r="I31" s="251"/>
    </row>
    <row r="32" spans="2:9" ht="16.2" thickBot="1">
      <c r="B32" s="247" t="s">
        <v>237</v>
      </c>
      <c r="C32" s="253">
        <v>2200</v>
      </c>
      <c r="D32" s="251"/>
      <c r="E32" s="251"/>
      <c r="F32" s="251"/>
      <c r="G32" s="251"/>
      <c r="H32" s="251"/>
      <c r="I32" s="251"/>
    </row>
    <row r="33" spans="2:9" ht="16.2" thickBot="1">
      <c r="B33" s="247" t="s">
        <v>238</v>
      </c>
      <c r="C33" s="253">
        <v>1300</v>
      </c>
      <c r="D33" s="251"/>
      <c r="E33" s="251"/>
      <c r="F33" s="251"/>
      <c r="G33" s="251"/>
      <c r="H33" s="251"/>
      <c r="I33" s="251"/>
    </row>
    <row r="34" spans="2:9" ht="16.2" thickBot="1">
      <c r="B34" s="247" t="s">
        <v>239</v>
      </c>
      <c r="C34" s="253">
        <v>500</v>
      </c>
      <c r="D34" s="251"/>
      <c r="E34" s="251"/>
      <c r="F34" s="251"/>
      <c r="G34" s="251"/>
      <c r="H34" s="251"/>
      <c r="I34" s="251"/>
    </row>
    <row r="35" spans="2:9" ht="16.2" thickBot="1">
      <c r="B35" s="247" t="s">
        <v>240</v>
      </c>
      <c r="C35" s="253">
        <v>1000</v>
      </c>
      <c r="D35" s="251"/>
      <c r="E35" s="251"/>
      <c r="F35" s="251"/>
      <c r="G35" s="251"/>
      <c r="H35" s="251"/>
      <c r="I35" s="251"/>
    </row>
    <row r="36" spans="2:9" ht="16.2" thickBot="1">
      <c r="B36" s="247" t="s">
        <v>230</v>
      </c>
      <c r="C36" s="253">
        <v>140</v>
      </c>
      <c r="D36" s="251"/>
      <c r="E36" s="251"/>
      <c r="F36" s="251"/>
      <c r="G36" s="251"/>
      <c r="H36" s="251"/>
      <c r="I36" s="251"/>
    </row>
    <row r="37" spans="2:9" ht="16.2" thickBot="1">
      <c r="B37" s="247" t="s">
        <v>241</v>
      </c>
      <c r="C37" s="253">
        <v>350</v>
      </c>
      <c r="D37" s="251"/>
      <c r="E37" s="251"/>
      <c r="F37" s="251"/>
      <c r="G37" s="251"/>
      <c r="H37" s="251"/>
      <c r="I37" s="251"/>
    </row>
    <row r="38" spans="2:9" ht="16.2" thickBot="1">
      <c r="B38" s="247" t="s">
        <v>231</v>
      </c>
      <c r="C38" s="253">
        <v>360</v>
      </c>
      <c r="D38" s="251"/>
      <c r="E38" s="251"/>
      <c r="F38" s="251"/>
      <c r="G38" s="251"/>
      <c r="H38" s="251"/>
      <c r="I38" s="251"/>
    </row>
    <row r="39" spans="2:9" ht="16.2" thickBot="1">
      <c r="B39" s="247" t="s">
        <v>232</v>
      </c>
      <c r="C39" s="253">
        <v>450</v>
      </c>
      <c r="D39" s="251"/>
      <c r="E39" s="251"/>
      <c r="F39" s="251"/>
      <c r="G39" s="251"/>
      <c r="H39" s="251"/>
      <c r="I39" s="251"/>
    </row>
    <row r="40" spans="2:9" ht="16.2" thickBot="1">
      <c r="B40" s="247" t="s">
        <v>242</v>
      </c>
      <c r="C40" s="253">
        <v>700</v>
      </c>
      <c r="D40" s="251"/>
      <c r="E40" s="251"/>
      <c r="F40" s="251"/>
      <c r="G40" s="251"/>
      <c r="H40" s="251"/>
      <c r="I40" s="251"/>
    </row>
    <row r="41" spans="2:9" ht="16.2" thickBot="1">
      <c r="B41" s="247" t="s">
        <v>233</v>
      </c>
      <c r="C41" s="253">
        <v>450</v>
      </c>
      <c r="D41" s="251"/>
      <c r="E41" s="251"/>
      <c r="F41" s="251"/>
      <c r="G41" s="251"/>
      <c r="H41" s="251"/>
      <c r="I41" s="251"/>
    </row>
    <row r="42" spans="2:9" ht="16.2" thickBot="1">
      <c r="B42" s="247" t="s">
        <v>18</v>
      </c>
      <c r="C42" s="254">
        <v>750</v>
      </c>
      <c r="D42" s="251"/>
      <c r="E42" s="251"/>
      <c r="F42" s="251"/>
      <c r="G42" s="251"/>
      <c r="H42" s="251"/>
      <c r="I42" s="251"/>
    </row>
    <row r="43" spans="2:9" ht="16.2" thickBot="1">
      <c r="B43" s="247" t="s">
        <v>19</v>
      </c>
      <c r="C43" s="254">
        <v>500</v>
      </c>
      <c r="D43" s="251"/>
      <c r="E43" s="251"/>
      <c r="F43" s="251"/>
      <c r="G43" s="251"/>
      <c r="H43" s="251"/>
      <c r="I43" s="251"/>
    </row>
    <row r="44" spans="2:9" ht="16.2" thickBot="1">
      <c r="B44" s="247" t="s">
        <v>21</v>
      </c>
      <c r="C44" s="254">
        <v>500</v>
      </c>
      <c r="D44" s="251"/>
      <c r="E44" s="251"/>
      <c r="F44" s="251"/>
      <c r="G44" s="251"/>
      <c r="H44" s="251"/>
      <c r="I44" s="251"/>
    </row>
    <row r="45" spans="2:9" ht="16.2" thickBot="1">
      <c r="B45" s="247" t="s">
        <v>115</v>
      </c>
      <c r="C45" s="248">
        <v>4500</v>
      </c>
      <c r="D45" s="251"/>
      <c r="E45" s="251"/>
      <c r="F45" s="254">
        <v>4500</v>
      </c>
      <c r="G45" s="251"/>
      <c r="H45" s="251"/>
      <c r="I45" s="251"/>
    </row>
    <row r="46" spans="2:9" ht="16.2" thickBot="1">
      <c r="B46" s="247" t="s">
        <v>136</v>
      </c>
      <c r="C46" s="254">
        <v>600</v>
      </c>
      <c r="D46" s="251"/>
      <c r="E46" s="251"/>
      <c r="F46" s="251"/>
      <c r="G46" s="251"/>
      <c r="H46" s="251"/>
      <c r="I46" s="251"/>
    </row>
    <row r="47" spans="2:9" ht="16.2" thickBot="1">
      <c r="B47" s="249" t="s">
        <v>243</v>
      </c>
      <c r="C47" s="254">
        <v>1000</v>
      </c>
      <c r="D47" s="251"/>
      <c r="E47" s="251"/>
      <c r="F47" s="251"/>
      <c r="G47" s="251"/>
      <c r="H47" s="251"/>
      <c r="I47" s="251"/>
    </row>
    <row r="48" spans="2:9" ht="16.2" thickBot="1">
      <c r="B48" s="263" t="s">
        <v>40</v>
      </c>
      <c r="C48" s="12">
        <f>SUM(C49:C52)</f>
        <v>2100</v>
      </c>
      <c r="D48" s="251"/>
      <c r="E48" s="251"/>
      <c r="F48" s="251"/>
      <c r="G48" s="251"/>
      <c r="H48" s="251"/>
      <c r="I48" s="251"/>
    </row>
    <row r="49" spans="2:9" ht="16.2" thickBot="1">
      <c r="B49" s="264" t="s">
        <v>41</v>
      </c>
      <c r="C49" s="260">
        <v>1000</v>
      </c>
      <c r="D49" s="251"/>
      <c r="E49" s="251"/>
      <c r="F49" s="251"/>
      <c r="G49" s="251"/>
      <c r="H49" s="251"/>
      <c r="I49" s="251"/>
    </row>
    <row r="50" spans="2:9" ht="16.2" thickBot="1">
      <c r="B50" s="264" t="s">
        <v>42</v>
      </c>
      <c r="C50" s="260">
        <v>500</v>
      </c>
      <c r="D50" s="251"/>
      <c r="E50" s="251"/>
      <c r="F50" s="251"/>
      <c r="G50" s="251"/>
      <c r="H50" s="251"/>
      <c r="I50" s="251"/>
    </row>
    <row r="51" spans="2:9" ht="16.2" thickBot="1">
      <c r="B51" s="264" t="s">
        <v>43</v>
      </c>
      <c r="C51" s="14">
        <v>400</v>
      </c>
      <c r="D51" s="251"/>
      <c r="E51" s="251"/>
      <c r="F51" s="251"/>
      <c r="G51" s="251"/>
      <c r="H51" s="251"/>
      <c r="I51" s="251"/>
    </row>
    <row r="52" spans="2:9" ht="16.2" thickBot="1">
      <c r="B52" s="264" t="s">
        <v>44</v>
      </c>
      <c r="C52" s="14">
        <v>200</v>
      </c>
      <c r="D52" s="251"/>
      <c r="E52" s="251"/>
      <c r="F52" s="251"/>
      <c r="G52" s="251"/>
      <c r="H52" s="251"/>
      <c r="I52" s="251"/>
    </row>
    <row r="53" spans="2:9" ht="16.2" thickBot="1">
      <c r="B53" s="242" t="s">
        <v>276</v>
      </c>
      <c r="C53" s="241"/>
      <c r="D53" s="244">
        <f>'FLUJO DE CAJA'!D49</f>
        <v>-420</v>
      </c>
      <c r="E53" s="244">
        <f>'FLUJO DE CAJA'!E49</f>
        <v>-420</v>
      </c>
      <c r="F53" s="244">
        <f>'FLUJO DE CAJA'!F49</f>
        <v>-420</v>
      </c>
      <c r="G53" s="244">
        <f>'FLUJO DE CAJA'!G49</f>
        <v>-420</v>
      </c>
      <c r="H53" s="244">
        <f>'FLUJO DE CAJA'!H49</f>
        <v>-420</v>
      </c>
      <c r="I53" s="244"/>
    </row>
    <row r="54" spans="2:9" ht="16.2" thickBot="1">
      <c r="B54" s="242" t="s">
        <v>299</v>
      </c>
      <c r="C54" s="243">
        <f>'FLUJO DE CAJA'!C50</f>
        <v>7550.5</v>
      </c>
      <c r="D54" s="243">
        <v>3487.7249999999999</v>
      </c>
      <c r="E54" s="243">
        <v>1569.4762499999999</v>
      </c>
      <c r="F54" s="243">
        <v>706.26431249999996</v>
      </c>
      <c r="G54" s="243">
        <v>317.81894062499998</v>
      </c>
      <c r="H54" s="243">
        <v>7550.5</v>
      </c>
      <c r="I54" s="244"/>
    </row>
    <row r="55" spans="2:9" ht="16.2" thickBot="1">
      <c r="B55" s="242" t="s">
        <v>300</v>
      </c>
      <c r="C55" s="255">
        <f>'FLUJO DE CAJA'!C51</f>
        <v>10700.2</v>
      </c>
      <c r="D55" s="255"/>
      <c r="E55" s="255"/>
      <c r="F55" s="255"/>
      <c r="G55" s="255"/>
      <c r="H55" s="255"/>
      <c r="I55" s="244"/>
    </row>
    <row r="56" spans="2:9" ht="16.2" thickBot="1">
      <c r="B56" s="242" t="s">
        <v>301</v>
      </c>
      <c r="C56" s="244"/>
      <c r="D56" s="244">
        <f>'FLUJO DE CAJA'!D52</f>
        <v>-1532.5539903887582</v>
      </c>
      <c r="E56" s="244">
        <f>'FLUJO DE CAJA'!E52</f>
        <v>-1789.4893891057773</v>
      </c>
      <c r="F56" s="244">
        <f>'FLUJO DE CAJA'!F52</f>
        <v>-2089.5004638041223</v>
      </c>
      <c r="G56" s="244">
        <f>'FLUJO DE CAJA'!G52</f>
        <v>-2439.8089280760551</v>
      </c>
      <c r="H56" s="244">
        <f>'FLUJO DE CAJA'!H52</f>
        <v>2848.8472286252891</v>
      </c>
      <c r="I56" s="252"/>
    </row>
    <row r="57" spans="2:9" ht="16.2" thickBot="1">
      <c r="B57" s="238" t="s">
        <v>302</v>
      </c>
      <c r="C57" s="194">
        <f>-C29-C54</f>
        <v>-26750.5</v>
      </c>
      <c r="D57" s="194">
        <f>D27+D28+D53+D54+D56</f>
        <v>27888.501041710308</v>
      </c>
      <c r="E57" s="194">
        <f>E27+E28+E53+E54+E56</f>
        <v>28030.83020549329</v>
      </c>
      <c r="F57" s="194">
        <f>F27+F28+F29+F53+F54+F56</f>
        <v>24676.099083919937</v>
      </c>
      <c r="G57" s="194">
        <f>G27+G28+G53+G54+G56</f>
        <v>30737.047624679275</v>
      </c>
      <c r="H57" s="194">
        <f>H27+H28+H53+H54+H56</f>
        <v>45549.523429544664</v>
      </c>
      <c r="I57" s="195"/>
    </row>
    <row r="59" spans="2:9" ht="16.2" thickBot="1"/>
    <row r="60" spans="2:9" ht="16.2" thickBot="1">
      <c r="B60" s="342" t="s">
        <v>357</v>
      </c>
      <c r="C60" s="343">
        <f>45+(45*6%)</f>
        <v>47.7</v>
      </c>
    </row>
    <row r="61" spans="2:9" ht="16.2" thickBot="1"/>
    <row r="62" spans="2:9" ht="16.2" thickBot="1">
      <c r="B62" s="392" t="s">
        <v>197</v>
      </c>
      <c r="C62" s="395" t="s">
        <v>198</v>
      </c>
      <c r="D62" s="396"/>
      <c r="E62" s="396"/>
      <c r="F62" s="396"/>
      <c r="G62" s="397"/>
      <c r="H62" s="392" t="s">
        <v>15</v>
      </c>
    </row>
    <row r="63" spans="2:9" ht="16.2" thickBot="1">
      <c r="B63" s="393"/>
      <c r="C63" s="395" t="s">
        <v>199</v>
      </c>
      <c r="D63" s="396"/>
      <c r="E63" s="396"/>
      <c r="F63" s="396"/>
      <c r="G63" s="397"/>
      <c r="H63" s="393"/>
    </row>
    <row r="64" spans="2:9" ht="16.2" thickBot="1">
      <c r="B64" s="394"/>
      <c r="C64" s="120">
        <v>2026</v>
      </c>
      <c r="D64" s="120">
        <v>2027</v>
      </c>
      <c r="E64" s="120">
        <v>2028</v>
      </c>
      <c r="F64" s="120">
        <v>2029</v>
      </c>
      <c r="G64" s="121">
        <v>2030</v>
      </c>
      <c r="H64" s="394"/>
    </row>
    <row r="65" spans="2:9" ht="16.2" thickBot="1">
      <c r="B65" s="110" t="s">
        <v>193</v>
      </c>
      <c r="C65" s="122">
        <v>1728</v>
      </c>
      <c r="D65" s="122">
        <v>1764</v>
      </c>
      <c r="E65" s="122">
        <v>1800</v>
      </c>
      <c r="F65" s="122">
        <v>1836</v>
      </c>
      <c r="G65" s="122">
        <v>1872</v>
      </c>
      <c r="H65" s="112">
        <f>SUM(C65:G65)</f>
        <v>9000</v>
      </c>
    </row>
    <row r="66" spans="2:9" ht="16.2" thickBot="1">
      <c r="B66" s="110" t="s">
        <v>414</v>
      </c>
      <c r="C66" s="123">
        <v>1152</v>
      </c>
      <c r="D66" s="123">
        <v>1176</v>
      </c>
      <c r="E66" s="123">
        <v>1200</v>
      </c>
      <c r="F66" s="123">
        <v>1224</v>
      </c>
      <c r="G66" s="123">
        <v>1248</v>
      </c>
      <c r="H66" s="112">
        <f>SUM(C66:G66)</f>
        <v>6000</v>
      </c>
    </row>
    <row r="67" spans="2:9" ht="16.2" thickBot="1">
      <c r="B67" s="114" t="s">
        <v>15</v>
      </c>
      <c r="C67" s="112">
        <f>SUM(C65:C66)</f>
        <v>2880</v>
      </c>
      <c r="D67" s="112">
        <f t="shared" ref="D67:G67" si="5">SUM(D65:D66)</f>
        <v>2940</v>
      </c>
      <c r="E67" s="112">
        <f t="shared" si="5"/>
        <v>3000</v>
      </c>
      <c r="F67" s="112">
        <f t="shared" si="5"/>
        <v>3060</v>
      </c>
      <c r="G67" s="112">
        <f t="shared" si="5"/>
        <v>3120</v>
      </c>
      <c r="H67" s="112">
        <f>SUM(H65:H66)</f>
        <v>15000</v>
      </c>
    </row>
    <row r="68" spans="2:9" ht="16.2" thickBot="1"/>
    <row r="69" spans="2:9" ht="16.2" thickBot="1">
      <c r="B69" s="342" t="s">
        <v>358</v>
      </c>
    </row>
    <row r="70" spans="2:9" ht="16.2" thickBot="1"/>
    <row r="71" spans="2:9" ht="16.2" thickBot="1">
      <c r="B71" s="392" t="s">
        <v>197</v>
      </c>
      <c r="C71" s="395" t="s">
        <v>198</v>
      </c>
      <c r="D71" s="396"/>
      <c r="E71" s="396"/>
      <c r="F71" s="396"/>
      <c r="G71" s="397"/>
      <c r="H71" s="392" t="s">
        <v>15</v>
      </c>
    </row>
    <row r="72" spans="2:9" ht="16.2" thickBot="1">
      <c r="B72" s="393"/>
      <c r="C72" s="395" t="s">
        <v>199</v>
      </c>
      <c r="D72" s="396"/>
      <c r="E72" s="396"/>
      <c r="F72" s="396"/>
      <c r="G72" s="397"/>
      <c r="H72" s="393"/>
    </row>
    <row r="73" spans="2:9" ht="16.2" thickBot="1">
      <c r="B73" s="394"/>
      <c r="C73" s="120">
        <v>2026</v>
      </c>
      <c r="D73" s="120">
        <v>2027</v>
      </c>
      <c r="E73" s="120">
        <v>2028</v>
      </c>
      <c r="F73" s="120">
        <v>2029</v>
      </c>
      <c r="G73" s="121">
        <v>2030</v>
      </c>
      <c r="H73" s="394"/>
    </row>
    <row r="74" spans="2:9" ht="16.2" thickBot="1">
      <c r="B74" s="110" t="s">
        <v>193</v>
      </c>
      <c r="C74" s="122">
        <f>C65+(C65*7%)</f>
        <v>1848.96</v>
      </c>
      <c r="D74" s="122">
        <f t="shared" ref="D74:G74" si="6">D65+(D65*7%)</f>
        <v>1887.48</v>
      </c>
      <c r="E74" s="122">
        <f t="shared" si="6"/>
        <v>1926</v>
      </c>
      <c r="F74" s="122">
        <f t="shared" si="6"/>
        <v>1964.52</v>
      </c>
      <c r="G74" s="122">
        <f t="shared" si="6"/>
        <v>2003.04</v>
      </c>
      <c r="H74" s="112">
        <f>SUM(C74:G74)</f>
        <v>9630</v>
      </c>
    </row>
    <row r="75" spans="2:9" ht="16.2" thickBot="1">
      <c r="B75" s="110" t="s">
        <v>415</v>
      </c>
      <c r="C75" s="122">
        <f>C66+(C66*7%)</f>
        <v>1232.6400000000001</v>
      </c>
      <c r="D75" s="122">
        <f t="shared" ref="D75:G75" si="7">D66+(D66*7%)</f>
        <v>1258.32</v>
      </c>
      <c r="E75" s="122">
        <f t="shared" si="7"/>
        <v>1284</v>
      </c>
      <c r="F75" s="122">
        <f t="shared" si="7"/>
        <v>1309.68</v>
      </c>
      <c r="G75" s="122">
        <f t="shared" si="7"/>
        <v>1335.3600000000001</v>
      </c>
      <c r="H75" s="112">
        <f>SUM(C75:G75)</f>
        <v>6420</v>
      </c>
    </row>
    <row r="76" spans="2:9" ht="16.2" thickBot="1">
      <c r="B76" s="114" t="s">
        <v>15</v>
      </c>
      <c r="C76" s="112">
        <f>SUM(C74:C75)</f>
        <v>3081.6000000000004</v>
      </c>
      <c r="D76" s="112">
        <f t="shared" ref="D76:G76" si="8">SUM(D74:D75)</f>
        <v>3145.8</v>
      </c>
      <c r="E76" s="112">
        <f t="shared" si="8"/>
        <v>3210</v>
      </c>
      <c r="F76" s="112">
        <f t="shared" si="8"/>
        <v>3274.2</v>
      </c>
      <c r="G76" s="112">
        <f t="shared" si="8"/>
        <v>3338.4</v>
      </c>
      <c r="H76" s="112">
        <f>SUM(H74:H75)</f>
        <v>16050</v>
      </c>
    </row>
    <row r="77" spans="2:9" ht="16.2" thickBot="1"/>
    <row r="78" spans="2:9" ht="16.2" thickBot="1">
      <c r="B78" s="392" t="s">
        <v>197</v>
      </c>
      <c r="C78" s="392" t="s">
        <v>177</v>
      </c>
      <c r="D78" s="395" t="s">
        <v>198</v>
      </c>
      <c r="E78" s="396"/>
      <c r="F78" s="396"/>
      <c r="G78" s="396"/>
      <c r="H78" s="397"/>
      <c r="I78" s="392" t="s">
        <v>15</v>
      </c>
    </row>
    <row r="79" spans="2:9" ht="16.2" thickBot="1">
      <c r="B79" s="393"/>
      <c r="C79" s="393"/>
      <c r="D79" s="395" t="s">
        <v>199</v>
      </c>
      <c r="E79" s="396"/>
      <c r="F79" s="396"/>
      <c r="G79" s="396"/>
      <c r="H79" s="397"/>
      <c r="I79" s="393"/>
    </row>
    <row r="80" spans="2:9" ht="16.2" thickBot="1">
      <c r="B80" s="394"/>
      <c r="C80" s="394"/>
      <c r="D80" s="120">
        <v>2026</v>
      </c>
      <c r="E80" s="120">
        <v>2027</v>
      </c>
      <c r="F80" s="120">
        <v>2028</v>
      </c>
      <c r="G80" s="120">
        <v>2029</v>
      </c>
      <c r="H80" s="121">
        <v>2030</v>
      </c>
      <c r="I80" s="394"/>
    </row>
    <row r="81" spans="2:9" ht="16.2" thickBot="1">
      <c r="B81" s="110" t="s">
        <v>193</v>
      </c>
      <c r="C81" s="116">
        <f>C60</f>
        <v>47.7</v>
      </c>
      <c r="D81" s="117">
        <f>C74*$C$81</f>
        <v>88195.392000000007</v>
      </c>
      <c r="E81" s="117">
        <f>D74*$C$81</f>
        <v>90032.796000000002</v>
      </c>
      <c r="F81" s="117">
        <f>E74*$C$81</f>
        <v>91870.200000000012</v>
      </c>
      <c r="G81" s="117">
        <f>F74*$C$81</f>
        <v>93707.604000000007</v>
      </c>
      <c r="H81" s="117">
        <f>G74*$C$81</f>
        <v>95545.008000000002</v>
      </c>
      <c r="I81" s="118">
        <f>SUM(D81:H81)</f>
        <v>459351</v>
      </c>
    </row>
    <row r="82" spans="2:9" ht="16.2" thickBot="1">
      <c r="B82" s="110" t="s">
        <v>194</v>
      </c>
      <c r="C82" s="116">
        <f>C60</f>
        <v>47.7</v>
      </c>
      <c r="D82" s="117">
        <f>C75*$C$82</f>
        <v>58796.928000000007</v>
      </c>
      <c r="E82" s="117">
        <f>D75*$C$82</f>
        <v>60021.864000000001</v>
      </c>
      <c r="F82" s="117">
        <f>E75*$C$82</f>
        <v>61246.8</v>
      </c>
      <c r="G82" s="117">
        <f>F75*$C$82</f>
        <v>62471.736000000004</v>
      </c>
      <c r="H82" s="117">
        <f>G75*$C$82</f>
        <v>63696.672000000013</v>
      </c>
      <c r="I82" s="118">
        <f>SUM(D82:H82)</f>
        <v>306234</v>
      </c>
    </row>
    <row r="83" spans="2:9" ht="16.2" thickBot="1">
      <c r="B83" s="114" t="s">
        <v>15</v>
      </c>
      <c r="C83" s="118"/>
      <c r="D83" s="118">
        <f>SUM(D81:D82)</f>
        <v>146992.32000000001</v>
      </c>
      <c r="E83" s="118">
        <f t="shared" ref="E83:H83" si="9">SUM(E81:E82)</f>
        <v>150054.66</v>
      </c>
      <c r="F83" s="118">
        <f t="shared" si="9"/>
        <v>153117</v>
      </c>
      <c r="G83" s="118">
        <f t="shared" si="9"/>
        <v>156179.34000000003</v>
      </c>
      <c r="H83" s="118">
        <f t="shared" si="9"/>
        <v>159241.68000000002</v>
      </c>
      <c r="I83" s="118">
        <f>SUM(I81:I82)</f>
        <v>765585</v>
      </c>
    </row>
    <row r="84" spans="2:9" ht="16.2" thickBot="1"/>
    <row r="85" spans="2:9" ht="16.2" thickBot="1">
      <c r="B85" s="342" t="s">
        <v>359</v>
      </c>
    </row>
    <row r="86" spans="2:9" ht="16.2" thickBot="1">
      <c r="B86" s="342" t="s">
        <v>360</v>
      </c>
    </row>
    <row r="87" spans="2:9" ht="16.2" thickBot="1"/>
    <row r="88" spans="2:9" ht="16.2" thickBot="1">
      <c r="B88" s="232" t="s">
        <v>272</v>
      </c>
      <c r="C88" s="233"/>
      <c r="D88" s="191"/>
      <c r="E88" s="191"/>
      <c r="F88" s="191"/>
      <c r="G88" s="191"/>
      <c r="H88" s="191"/>
    </row>
    <row r="89" spans="2:9" ht="16.2" thickBot="1">
      <c r="B89" s="261" t="s">
        <v>121</v>
      </c>
      <c r="C89" s="257"/>
      <c r="D89" s="244">
        <v>9250</v>
      </c>
      <c r="E89" s="244">
        <v>9250</v>
      </c>
      <c r="F89" s="244">
        <v>9250</v>
      </c>
      <c r="G89" s="244">
        <v>9250</v>
      </c>
      <c r="H89" s="241">
        <v>9250</v>
      </c>
    </row>
    <row r="90" spans="2:9" ht="16.2" thickBot="1">
      <c r="B90" s="261" t="s">
        <v>122</v>
      </c>
      <c r="C90" s="257"/>
      <c r="D90" s="244">
        <v>15500</v>
      </c>
      <c r="E90" s="244">
        <v>15500</v>
      </c>
      <c r="F90" s="244">
        <v>15500</v>
      </c>
      <c r="G90" s="244">
        <v>15500</v>
      </c>
      <c r="H90" s="244">
        <v>15500</v>
      </c>
    </row>
    <row r="91" spans="2:9" ht="16.2" thickBot="1"/>
    <row r="92" spans="2:9" ht="16.2" thickBot="1">
      <c r="B92" s="232" t="s">
        <v>272</v>
      </c>
      <c r="C92" s="233"/>
      <c r="D92" s="191"/>
      <c r="E92" s="191"/>
      <c r="F92" s="191"/>
      <c r="G92" s="191"/>
      <c r="H92" s="191"/>
    </row>
    <row r="93" spans="2:9" ht="16.2" thickBot="1">
      <c r="B93" s="261" t="s">
        <v>121</v>
      </c>
      <c r="C93" s="257"/>
      <c r="D93" s="244">
        <f>D89-(D89*3%)</f>
        <v>8972.5</v>
      </c>
      <c r="E93" s="244">
        <f>D93-(D93*3%)</f>
        <v>8703.3250000000007</v>
      </c>
      <c r="F93" s="244">
        <f t="shared" ref="F93:H93" si="10">E93-(E93*3%)</f>
        <v>8442.2252500000013</v>
      </c>
      <c r="G93" s="244">
        <f t="shared" si="10"/>
        <v>8188.9584925000017</v>
      </c>
      <c r="H93" s="244">
        <f t="shared" si="10"/>
        <v>7943.2897377250019</v>
      </c>
    </row>
    <row r="94" spans="2:9" ht="16.2" thickBot="1">
      <c r="B94" s="261" t="s">
        <v>122</v>
      </c>
      <c r="C94" s="257"/>
      <c r="D94" s="244">
        <f>D90-(D90*2%)</f>
        <v>15190</v>
      </c>
      <c r="E94" s="244">
        <f>D94-(D94*2%)</f>
        <v>14886.2</v>
      </c>
      <c r="F94" s="244">
        <f t="shared" ref="F94:H94" si="11">E94-(E94*2%)</f>
        <v>14588.476000000001</v>
      </c>
      <c r="G94" s="244">
        <f t="shared" si="11"/>
        <v>14296.706480000001</v>
      </c>
      <c r="H94" s="244">
        <f t="shared" si="11"/>
        <v>14010.772350400001</v>
      </c>
    </row>
  </sheetData>
  <mergeCells count="18">
    <mergeCell ref="B78:B80"/>
    <mergeCell ref="C78:C80"/>
    <mergeCell ref="D78:H78"/>
    <mergeCell ref="I78:I80"/>
    <mergeCell ref="D79:H79"/>
    <mergeCell ref="B71:B73"/>
    <mergeCell ref="C71:G71"/>
    <mergeCell ref="H71:H73"/>
    <mergeCell ref="C72:G72"/>
    <mergeCell ref="B2:D2"/>
    <mergeCell ref="B8:B9"/>
    <mergeCell ref="C8:H8"/>
    <mergeCell ref="B62:B64"/>
    <mergeCell ref="C62:G62"/>
    <mergeCell ref="H62:H64"/>
    <mergeCell ref="C63:G63"/>
    <mergeCell ref="B4:I6"/>
    <mergeCell ref="I8:I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4"/>
  <sheetViews>
    <sheetView showGridLines="0" topLeftCell="B33" workbookViewId="0">
      <selection activeCell="C58" sqref="C58"/>
    </sheetView>
  </sheetViews>
  <sheetFormatPr baseColWidth="10" defaultRowHeight="15.6"/>
  <cols>
    <col min="1" max="1" width="3.59765625" customWidth="1"/>
    <col min="2" max="2" width="42.69921875" customWidth="1"/>
    <col min="3" max="3" width="15.5" customWidth="1"/>
    <col min="4" max="4" width="14.19921875" customWidth="1"/>
    <col min="9" max="9" width="12.09765625" customWidth="1"/>
  </cols>
  <sheetData>
    <row r="1" spans="2:9" ht="16.2" thickBot="1"/>
    <row r="2" spans="2:9" ht="16.2" thickBot="1">
      <c r="B2" s="406" t="s">
        <v>361</v>
      </c>
      <c r="C2" s="407"/>
      <c r="D2" s="408"/>
    </row>
    <row r="3" spans="2:9" ht="16.2" thickBot="1"/>
    <row r="4" spans="2:9" ht="15.75" customHeight="1">
      <c r="B4" s="438" t="s">
        <v>365</v>
      </c>
      <c r="C4" s="439"/>
      <c r="D4" s="439"/>
      <c r="E4" s="439"/>
      <c r="F4" s="439"/>
      <c r="G4" s="439"/>
      <c r="H4" s="439"/>
      <c r="I4" s="440"/>
    </row>
    <row r="5" spans="2:9">
      <c r="B5" s="441"/>
      <c r="C5" s="442"/>
      <c r="D5" s="442"/>
      <c r="E5" s="442"/>
      <c r="F5" s="442"/>
      <c r="G5" s="442"/>
      <c r="H5" s="442"/>
      <c r="I5" s="443"/>
    </row>
    <row r="6" spans="2:9" ht="16.2" thickBot="1">
      <c r="B6" s="444"/>
      <c r="C6" s="445"/>
      <c r="D6" s="445"/>
      <c r="E6" s="445"/>
      <c r="F6" s="445"/>
      <c r="G6" s="445"/>
      <c r="H6" s="445"/>
      <c r="I6" s="446"/>
    </row>
    <row r="7" spans="2:9" ht="16.2" thickBot="1"/>
    <row r="8" spans="2:9" ht="16.2" thickBot="1">
      <c r="B8" s="409" t="s">
        <v>260</v>
      </c>
      <c r="C8" s="411" t="s">
        <v>261</v>
      </c>
      <c r="D8" s="412"/>
      <c r="E8" s="412"/>
      <c r="F8" s="412"/>
      <c r="G8" s="412"/>
      <c r="H8" s="412"/>
      <c r="I8" s="413" t="s">
        <v>262</v>
      </c>
    </row>
    <row r="9" spans="2:9" ht="16.2" thickBot="1">
      <c r="B9" s="410"/>
      <c r="C9" s="227">
        <v>0</v>
      </c>
      <c r="D9" s="227">
        <v>1</v>
      </c>
      <c r="E9" s="227">
        <v>2</v>
      </c>
      <c r="F9" s="227">
        <v>3</v>
      </c>
      <c r="G9" s="227">
        <v>4</v>
      </c>
      <c r="H9" s="227">
        <v>5</v>
      </c>
      <c r="I9" s="414"/>
    </row>
    <row r="10" spans="2:9" ht="16.2" thickBot="1">
      <c r="B10" s="228" t="s">
        <v>263</v>
      </c>
      <c r="C10" s="229"/>
      <c r="D10" s="185">
        <f>SUM(D11:D12)</f>
        <v>119439.36000000002</v>
      </c>
      <c r="E10" s="185">
        <f t="shared" ref="E10:H10" si="0">SUM(E11:E12)</f>
        <v>121927.68000000002</v>
      </c>
      <c r="F10" s="185">
        <f t="shared" si="0"/>
        <v>124416</v>
      </c>
      <c r="G10" s="185">
        <f t="shared" si="0"/>
        <v>126904.32000000001</v>
      </c>
      <c r="H10" s="185">
        <f t="shared" si="0"/>
        <v>129392.64</v>
      </c>
      <c r="I10" s="186">
        <f>SUM(D10:H10)</f>
        <v>622080</v>
      </c>
    </row>
    <row r="11" spans="2:9" ht="16.2" thickBot="1">
      <c r="B11" s="256" t="s">
        <v>193</v>
      </c>
      <c r="C11" s="257"/>
      <c r="D11" s="230">
        <v>71663.616000000009</v>
      </c>
      <c r="E11" s="230">
        <v>73156.608000000007</v>
      </c>
      <c r="F11" s="230">
        <v>74649.600000000006</v>
      </c>
      <c r="G11" s="230">
        <v>76142.592000000004</v>
      </c>
      <c r="H11" s="230">
        <v>77635.584000000003</v>
      </c>
      <c r="I11" s="251"/>
    </row>
    <row r="12" spans="2:9" ht="16.2" thickBot="1">
      <c r="B12" s="256" t="s">
        <v>194</v>
      </c>
      <c r="C12" s="257"/>
      <c r="D12" s="230">
        <v>47775.744000000006</v>
      </c>
      <c r="E12" s="230">
        <v>48771.072000000007</v>
      </c>
      <c r="F12" s="230">
        <v>49766.400000000001</v>
      </c>
      <c r="G12" s="230">
        <v>50761.728000000003</v>
      </c>
      <c r="H12" s="230">
        <v>51757.055999999997</v>
      </c>
      <c r="I12" s="251"/>
    </row>
    <row r="13" spans="2:9" ht="16.2" thickBot="1">
      <c r="B13" s="232" t="s">
        <v>272</v>
      </c>
      <c r="C13" s="233"/>
      <c r="D13" s="191">
        <f>SUM(D14:D16)</f>
        <v>37360</v>
      </c>
      <c r="E13" s="191">
        <f>SUM(E14:E16)</f>
        <v>38762.050000000003</v>
      </c>
      <c r="F13" s="191">
        <f>SUM(F14:F16)</f>
        <v>40240.085500000001</v>
      </c>
      <c r="G13" s="191">
        <f>SUM(G14:G16)</f>
        <v>41798.258755000003</v>
      </c>
      <c r="H13" s="191">
        <f>SUM(H14:H16)</f>
        <v>43440.950811549999</v>
      </c>
      <c r="I13" s="191">
        <f>SUM(D13:H13)</f>
        <v>201601.34506654998</v>
      </c>
    </row>
    <row r="14" spans="2:9" ht="16.2" thickBot="1">
      <c r="B14" s="261" t="s">
        <v>121</v>
      </c>
      <c r="C14" s="257"/>
      <c r="D14" s="244">
        <v>9805</v>
      </c>
      <c r="E14" s="244">
        <v>10393.299999999999</v>
      </c>
      <c r="F14" s="244">
        <v>11016.897999999999</v>
      </c>
      <c r="G14" s="244">
        <v>11677.91188</v>
      </c>
      <c r="H14" s="244">
        <v>12378.5865928</v>
      </c>
      <c r="I14" s="258"/>
    </row>
    <row r="15" spans="2:9" ht="16.2" thickBot="1">
      <c r="B15" s="261" t="s">
        <v>122</v>
      </c>
      <c r="C15" s="257"/>
      <c r="D15" s="244">
        <v>16275</v>
      </c>
      <c r="E15" s="244">
        <v>17088.75</v>
      </c>
      <c r="F15" s="244">
        <v>17943.1875</v>
      </c>
      <c r="G15" s="244">
        <v>18840.346874999999</v>
      </c>
      <c r="H15" s="244">
        <v>19782.364218750001</v>
      </c>
      <c r="I15" s="258"/>
    </row>
    <row r="16" spans="2:9" ht="16.2" thickBot="1">
      <c r="B16" s="261" t="s">
        <v>273</v>
      </c>
      <c r="C16" s="257"/>
      <c r="D16" s="234">
        <f>'FLUJO DE CAJA'!D12</f>
        <v>11280</v>
      </c>
      <c r="E16" s="234">
        <f t="shared" ref="E16:H16" si="1">D16</f>
        <v>11280</v>
      </c>
      <c r="F16" s="234">
        <f t="shared" si="1"/>
        <v>11280</v>
      </c>
      <c r="G16" s="234">
        <f t="shared" si="1"/>
        <v>11280</v>
      </c>
      <c r="H16" s="234">
        <f t="shared" si="1"/>
        <v>11280</v>
      </c>
      <c r="I16" s="258"/>
    </row>
    <row r="17" spans="2:9" ht="16.2" thickBot="1">
      <c r="B17" s="235" t="s">
        <v>274</v>
      </c>
      <c r="C17" s="236"/>
      <c r="D17" s="192">
        <f>SUM(D18:D19)</f>
        <v>68825</v>
      </c>
      <c r="E17" s="192">
        <f>SUM(E18:E19)</f>
        <v>68825</v>
      </c>
      <c r="F17" s="192">
        <f>SUM(F18:F19)</f>
        <v>68825</v>
      </c>
      <c r="G17" s="192">
        <f>SUM(G18:G19)</f>
        <v>68825</v>
      </c>
      <c r="H17" s="192">
        <f>SUM(H18:H19)</f>
        <v>68825</v>
      </c>
      <c r="I17" s="192">
        <f>SUM(D17:H17)</f>
        <v>344125</v>
      </c>
    </row>
    <row r="18" spans="2:9" ht="16.2" thickBot="1">
      <c r="B18" s="261" t="s">
        <v>126</v>
      </c>
      <c r="C18" s="257"/>
      <c r="D18" s="244">
        <f>'FLUJO DE CAJA'!D14</f>
        <v>67985</v>
      </c>
      <c r="E18" s="244">
        <f t="shared" ref="E18:H19" si="2">D18</f>
        <v>67985</v>
      </c>
      <c r="F18" s="244">
        <f t="shared" si="2"/>
        <v>67985</v>
      </c>
      <c r="G18" s="241">
        <f t="shared" si="2"/>
        <v>67985</v>
      </c>
      <c r="H18" s="241">
        <f t="shared" si="2"/>
        <v>67985</v>
      </c>
      <c r="I18" s="259"/>
    </row>
    <row r="19" spans="2:9" ht="16.2" thickBot="1">
      <c r="B19" s="261" t="s">
        <v>127</v>
      </c>
      <c r="C19" s="257"/>
      <c r="D19" s="244">
        <f>'FLUJO DE CAJA'!D15</f>
        <v>840</v>
      </c>
      <c r="E19" s="244">
        <f t="shared" si="2"/>
        <v>840</v>
      </c>
      <c r="F19" s="244">
        <f t="shared" si="2"/>
        <v>840</v>
      </c>
      <c r="G19" s="244">
        <f t="shared" si="2"/>
        <v>840</v>
      </c>
      <c r="H19" s="244">
        <f t="shared" si="2"/>
        <v>840</v>
      </c>
      <c r="I19" s="259"/>
    </row>
    <row r="20" spans="2:9" ht="16.2" thickBot="1">
      <c r="B20" s="237" t="s">
        <v>275</v>
      </c>
      <c r="C20" s="193"/>
      <c r="D20" s="193">
        <f>'FLUJO DE CAJA'!D16</f>
        <v>3005.5</v>
      </c>
      <c r="E20" s="193">
        <f>E28</f>
        <v>3005.5</v>
      </c>
      <c r="F20" s="193">
        <f t="shared" ref="F20:H20" si="3">F28</f>
        <v>3005.5</v>
      </c>
      <c r="G20" s="193">
        <f t="shared" si="3"/>
        <v>3005.5</v>
      </c>
      <c r="H20" s="193">
        <f t="shared" si="3"/>
        <v>3005.5</v>
      </c>
      <c r="I20" s="193"/>
    </row>
    <row r="21" spans="2:9" ht="16.2" thickBot="1">
      <c r="B21" s="237" t="s">
        <v>276</v>
      </c>
      <c r="C21" s="193"/>
      <c r="D21" s="193">
        <f>'FLUJO DE CAJA'!D17</f>
        <v>1532.5539903887582</v>
      </c>
      <c r="E21" s="193">
        <f>'FLUJO DE CAJA'!E17</f>
        <v>1789.4893891057773</v>
      </c>
      <c r="F21" s="193">
        <f>'FLUJO DE CAJA'!F17</f>
        <v>2089.5004638041223</v>
      </c>
      <c r="G21" s="193">
        <f>'FLUJO DE CAJA'!G17</f>
        <v>2439.8089280760551</v>
      </c>
      <c r="H21" s="193">
        <f>'FLUJO DE CAJA'!H17</f>
        <v>2848.8472286252891</v>
      </c>
      <c r="I21" s="193"/>
    </row>
    <row r="22" spans="2:9" ht="16.2" thickBot="1">
      <c r="B22" s="237" t="s">
        <v>277</v>
      </c>
      <c r="C22" s="193"/>
      <c r="D22" s="193">
        <f>'FLUJO DE CAJA'!D18</f>
        <v>1562.7189004362472</v>
      </c>
      <c r="E22" s="193">
        <f>'FLUJO DE CAJA'!E18</f>
        <v>1305.7835017192276</v>
      </c>
      <c r="F22" s="193">
        <f>'FLUJO DE CAJA'!F18</f>
        <v>1005.7724270208828</v>
      </c>
      <c r="G22" s="193">
        <f>'FLUJO DE CAJA'!G18</f>
        <v>655.46396274895005</v>
      </c>
      <c r="H22" s="193">
        <f>'FLUJO DE CAJA'!H18</f>
        <v>246.42566219971619</v>
      </c>
      <c r="I22" s="193"/>
    </row>
    <row r="23" spans="2:9" ht="16.2" thickBot="1">
      <c r="B23" s="238" t="s">
        <v>278</v>
      </c>
      <c r="C23" s="194"/>
      <c r="D23" s="194">
        <f>D10-D13-D17-D20-D21-D22</f>
        <v>7153.5871091750096</v>
      </c>
      <c r="E23" s="194">
        <f t="shared" ref="E23:H23" si="4">E10-E13-E17-E20-E21-E22</f>
        <v>8239.8571091750146</v>
      </c>
      <c r="F23" s="194">
        <f t="shared" si="4"/>
        <v>9250.1416091749925</v>
      </c>
      <c r="G23" s="194">
        <f t="shared" si="4"/>
        <v>10180.288354175</v>
      </c>
      <c r="H23" s="194">
        <f t="shared" si="4"/>
        <v>11025.916297624988</v>
      </c>
      <c r="I23" s="194">
        <f>SUM(D23:H23)</f>
        <v>45849.790479325005</v>
      </c>
    </row>
    <row r="24" spans="2:9" ht="16.2" thickBot="1">
      <c r="B24" s="261" t="s">
        <v>279</v>
      </c>
      <c r="C24" s="257"/>
      <c r="D24" s="244">
        <f>D23*15%</f>
        <v>1073.0380663762514</v>
      </c>
      <c r="E24" s="244">
        <f>E23*15%</f>
        <v>1235.978566376252</v>
      </c>
      <c r="F24" s="244">
        <f>F23*15%</f>
        <v>1387.5212413762488</v>
      </c>
      <c r="G24" s="244">
        <f>G23*15%</f>
        <v>1527.04325312625</v>
      </c>
      <c r="H24" s="244">
        <f>H23*15%</f>
        <v>1653.8874446437483</v>
      </c>
      <c r="I24" s="257"/>
    </row>
    <row r="25" spans="2:9" ht="16.2" thickBot="1">
      <c r="B25" s="238" t="s">
        <v>280</v>
      </c>
      <c r="C25" s="194"/>
      <c r="D25" s="194">
        <f>D23-D24</f>
        <v>6080.5490427987579</v>
      </c>
      <c r="E25" s="194">
        <f>E23-E24</f>
        <v>7003.8785427987623</v>
      </c>
      <c r="F25" s="194">
        <f>F23-F24</f>
        <v>7862.6203677987432</v>
      </c>
      <c r="G25" s="194">
        <f>G23-G24</f>
        <v>8653.2451010487493</v>
      </c>
      <c r="H25" s="194">
        <f>H23-H24</f>
        <v>9372.0288529812406</v>
      </c>
      <c r="I25" s="194">
        <f>SUM(D25:H25)</f>
        <v>38972.321907426252</v>
      </c>
    </row>
    <row r="26" spans="2:9" ht="16.2" thickBot="1">
      <c r="B26" s="262" t="s">
        <v>281</v>
      </c>
      <c r="C26" s="231"/>
      <c r="D26" s="244">
        <f>D25*25%</f>
        <v>1520.1372606996895</v>
      </c>
      <c r="E26" s="234">
        <f>E25*25%</f>
        <v>1750.9696356996906</v>
      </c>
      <c r="F26" s="234">
        <f>F25*25%</f>
        <v>1965.6550919496858</v>
      </c>
      <c r="G26" s="234">
        <f>G25*25%</f>
        <v>2163.3112752621873</v>
      </c>
      <c r="H26" s="234">
        <f>H25*25%</f>
        <v>2343.0072132453101</v>
      </c>
      <c r="I26" s="257"/>
    </row>
    <row r="27" spans="2:9" ht="16.2" thickBot="1">
      <c r="B27" s="238" t="s">
        <v>282</v>
      </c>
      <c r="C27" s="194"/>
      <c r="D27" s="194">
        <f>D25-D26</f>
        <v>4560.4117820990687</v>
      </c>
      <c r="E27" s="194">
        <f>E25-E26</f>
        <v>5252.9089070990722</v>
      </c>
      <c r="F27" s="194">
        <f>F25-F26</f>
        <v>5896.9652758490574</v>
      </c>
      <c r="G27" s="194">
        <f>G25-G26</f>
        <v>6489.933825786562</v>
      </c>
      <c r="H27" s="194">
        <f>H25-H26</f>
        <v>7029.0216397359309</v>
      </c>
      <c r="I27" s="194">
        <f>SUM(D27:H27)</f>
        <v>29229.241430569695</v>
      </c>
    </row>
    <row r="28" spans="2:9" ht="16.2" thickBot="1">
      <c r="B28" s="239" t="s">
        <v>283</v>
      </c>
      <c r="C28" s="240"/>
      <c r="D28" s="244">
        <f>D20</f>
        <v>3005.5</v>
      </c>
      <c r="E28" s="244">
        <f>'FLUJO DE CAJA'!E24</f>
        <v>3005.5</v>
      </c>
      <c r="F28" s="244">
        <f>'FLUJO DE CAJA'!F24</f>
        <v>3005.5</v>
      </c>
      <c r="G28" s="244">
        <f>'FLUJO DE CAJA'!G24</f>
        <v>3005.5</v>
      </c>
      <c r="H28" s="244">
        <f>'FLUJO DE CAJA'!H24</f>
        <v>3005.5</v>
      </c>
      <c r="I28" s="257"/>
    </row>
    <row r="29" spans="2:9" ht="16.2" thickBot="1">
      <c r="B29" s="242" t="s">
        <v>284</v>
      </c>
      <c r="C29" s="243">
        <f>+C30+C48</f>
        <v>19200</v>
      </c>
      <c r="D29" s="244"/>
      <c r="E29" s="244"/>
      <c r="F29" s="243">
        <v>-4500</v>
      </c>
      <c r="G29" s="244"/>
      <c r="H29" s="244"/>
      <c r="I29" s="245"/>
    </row>
    <row r="30" spans="2:9" ht="16.2" thickBot="1">
      <c r="B30" s="246" t="s">
        <v>285</v>
      </c>
      <c r="C30" s="243">
        <f>SUM(C31:C47)</f>
        <v>17100</v>
      </c>
      <c r="D30" s="244"/>
      <c r="E30" s="244"/>
      <c r="F30" s="244"/>
      <c r="G30" s="244"/>
      <c r="H30" s="244"/>
      <c r="I30" s="245"/>
    </row>
    <row r="31" spans="2:9" ht="16.2" thickBot="1">
      <c r="B31" s="247" t="s">
        <v>236</v>
      </c>
      <c r="C31" s="253">
        <v>1800</v>
      </c>
      <c r="D31" s="251"/>
      <c r="E31" s="251"/>
      <c r="F31" s="251"/>
      <c r="G31" s="251"/>
      <c r="H31" s="251"/>
      <c r="I31" s="251"/>
    </row>
    <row r="32" spans="2:9" ht="16.2" thickBot="1">
      <c r="B32" s="247" t="s">
        <v>237</v>
      </c>
      <c r="C32" s="253">
        <v>2200</v>
      </c>
      <c r="D32" s="251"/>
      <c r="E32" s="251"/>
      <c r="F32" s="251"/>
      <c r="G32" s="251"/>
      <c r="H32" s="251"/>
      <c r="I32" s="251"/>
    </row>
    <row r="33" spans="2:9" ht="16.2" thickBot="1">
      <c r="B33" s="247" t="s">
        <v>238</v>
      </c>
      <c r="C33" s="253">
        <v>1300</v>
      </c>
      <c r="D33" s="251"/>
      <c r="E33" s="251"/>
      <c r="F33" s="251"/>
      <c r="G33" s="251"/>
      <c r="H33" s="251"/>
      <c r="I33" s="251"/>
    </row>
    <row r="34" spans="2:9" ht="16.2" thickBot="1">
      <c r="B34" s="247" t="s">
        <v>239</v>
      </c>
      <c r="C34" s="253">
        <v>500</v>
      </c>
      <c r="D34" s="251"/>
      <c r="E34" s="251"/>
      <c r="F34" s="251"/>
      <c r="G34" s="251"/>
      <c r="H34" s="251"/>
      <c r="I34" s="251"/>
    </row>
    <row r="35" spans="2:9" ht="16.2" thickBot="1">
      <c r="B35" s="247" t="s">
        <v>240</v>
      </c>
      <c r="C35" s="253">
        <v>1000</v>
      </c>
      <c r="D35" s="251"/>
      <c r="E35" s="251"/>
      <c r="F35" s="251"/>
      <c r="G35" s="251"/>
      <c r="H35" s="251"/>
      <c r="I35" s="251"/>
    </row>
    <row r="36" spans="2:9" ht="16.2" thickBot="1">
      <c r="B36" s="247" t="s">
        <v>230</v>
      </c>
      <c r="C36" s="253">
        <v>140</v>
      </c>
      <c r="D36" s="251"/>
      <c r="E36" s="251"/>
      <c r="F36" s="251"/>
      <c r="G36" s="251"/>
      <c r="H36" s="251"/>
      <c r="I36" s="251"/>
    </row>
    <row r="37" spans="2:9" ht="16.2" thickBot="1">
      <c r="B37" s="247" t="s">
        <v>241</v>
      </c>
      <c r="C37" s="253">
        <v>350</v>
      </c>
      <c r="D37" s="251"/>
      <c r="E37" s="251"/>
      <c r="F37" s="251"/>
      <c r="G37" s="251"/>
      <c r="H37" s="251"/>
      <c r="I37" s="251"/>
    </row>
    <row r="38" spans="2:9" ht="16.2" thickBot="1">
      <c r="B38" s="247" t="s">
        <v>231</v>
      </c>
      <c r="C38" s="253">
        <v>360</v>
      </c>
      <c r="D38" s="251"/>
      <c r="E38" s="251"/>
      <c r="F38" s="251"/>
      <c r="G38" s="251"/>
      <c r="H38" s="251"/>
      <c r="I38" s="251"/>
    </row>
    <row r="39" spans="2:9" ht="16.2" thickBot="1">
      <c r="B39" s="247" t="s">
        <v>232</v>
      </c>
      <c r="C39" s="253">
        <v>450</v>
      </c>
      <c r="D39" s="251"/>
      <c r="E39" s="251"/>
      <c r="F39" s="251"/>
      <c r="G39" s="251"/>
      <c r="H39" s="251"/>
      <c r="I39" s="251"/>
    </row>
    <row r="40" spans="2:9" ht="16.2" thickBot="1">
      <c r="B40" s="247" t="s">
        <v>242</v>
      </c>
      <c r="C40" s="253">
        <v>700</v>
      </c>
      <c r="D40" s="251"/>
      <c r="E40" s="251"/>
      <c r="F40" s="251"/>
      <c r="G40" s="251"/>
      <c r="H40" s="251"/>
      <c r="I40" s="251"/>
    </row>
    <row r="41" spans="2:9" ht="16.2" thickBot="1">
      <c r="B41" s="247" t="s">
        <v>233</v>
      </c>
      <c r="C41" s="253">
        <v>450</v>
      </c>
      <c r="D41" s="251"/>
      <c r="E41" s="251"/>
      <c r="F41" s="251"/>
      <c r="G41" s="251"/>
      <c r="H41" s="251"/>
      <c r="I41" s="251"/>
    </row>
    <row r="42" spans="2:9" ht="16.2" thickBot="1">
      <c r="B42" s="247" t="s">
        <v>18</v>
      </c>
      <c r="C42" s="254">
        <v>750</v>
      </c>
      <c r="D42" s="251"/>
      <c r="E42" s="251"/>
      <c r="F42" s="251"/>
      <c r="G42" s="251"/>
      <c r="H42" s="251"/>
      <c r="I42" s="251"/>
    </row>
    <row r="43" spans="2:9" ht="16.2" thickBot="1">
      <c r="B43" s="247" t="s">
        <v>19</v>
      </c>
      <c r="C43" s="254">
        <v>500</v>
      </c>
      <c r="D43" s="251"/>
      <c r="E43" s="251"/>
      <c r="F43" s="251"/>
      <c r="G43" s="251"/>
      <c r="H43" s="251"/>
      <c r="I43" s="251"/>
    </row>
    <row r="44" spans="2:9" ht="16.2" thickBot="1">
      <c r="B44" s="247" t="s">
        <v>21</v>
      </c>
      <c r="C44" s="254">
        <v>500</v>
      </c>
      <c r="D44" s="251"/>
      <c r="E44" s="251"/>
      <c r="F44" s="251"/>
      <c r="G44" s="251"/>
      <c r="H44" s="251"/>
      <c r="I44" s="251"/>
    </row>
    <row r="45" spans="2:9" ht="16.2" thickBot="1">
      <c r="B45" s="247" t="s">
        <v>115</v>
      </c>
      <c r="C45" s="248">
        <v>4500</v>
      </c>
      <c r="D45" s="251"/>
      <c r="E45" s="251"/>
      <c r="F45" s="254">
        <v>4500</v>
      </c>
      <c r="G45" s="251"/>
      <c r="H45" s="251"/>
      <c r="I45" s="251"/>
    </row>
    <row r="46" spans="2:9" ht="16.2" thickBot="1">
      <c r="B46" s="247" t="s">
        <v>136</v>
      </c>
      <c r="C46" s="254">
        <v>600</v>
      </c>
      <c r="D46" s="251"/>
      <c r="E46" s="251"/>
      <c r="F46" s="251"/>
      <c r="G46" s="251"/>
      <c r="H46" s="251"/>
      <c r="I46" s="251"/>
    </row>
    <row r="47" spans="2:9" ht="16.2" thickBot="1">
      <c r="B47" s="249" t="s">
        <v>243</v>
      </c>
      <c r="C47" s="254">
        <v>1000</v>
      </c>
      <c r="D47" s="251"/>
      <c r="E47" s="251"/>
      <c r="F47" s="251"/>
      <c r="G47" s="251"/>
      <c r="H47" s="251"/>
      <c r="I47" s="251"/>
    </row>
    <row r="48" spans="2:9" ht="16.2" thickBot="1">
      <c r="B48" s="263" t="s">
        <v>40</v>
      </c>
      <c r="C48" s="12">
        <f>SUM(C49:C52)</f>
        <v>2100</v>
      </c>
      <c r="D48" s="251"/>
      <c r="E48" s="251"/>
      <c r="F48" s="251"/>
      <c r="G48" s="251"/>
      <c r="H48" s="251"/>
      <c r="I48" s="251"/>
    </row>
    <row r="49" spans="2:9" ht="16.2" thickBot="1">
      <c r="B49" s="264" t="s">
        <v>41</v>
      </c>
      <c r="C49" s="260">
        <v>1000</v>
      </c>
      <c r="D49" s="251"/>
      <c r="E49" s="251"/>
      <c r="F49" s="251"/>
      <c r="G49" s="251"/>
      <c r="H49" s="251"/>
      <c r="I49" s="251"/>
    </row>
    <row r="50" spans="2:9" ht="16.2" thickBot="1">
      <c r="B50" s="264" t="s">
        <v>42</v>
      </c>
      <c r="C50" s="260">
        <v>500</v>
      </c>
      <c r="D50" s="251"/>
      <c r="E50" s="251"/>
      <c r="F50" s="251"/>
      <c r="G50" s="251"/>
      <c r="H50" s="251"/>
      <c r="I50" s="251"/>
    </row>
    <row r="51" spans="2:9" ht="16.2" thickBot="1">
      <c r="B51" s="264" t="s">
        <v>43</v>
      </c>
      <c r="C51" s="14">
        <v>400</v>
      </c>
      <c r="D51" s="251"/>
      <c r="E51" s="251"/>
      <c r="F51" s="251"/>
      <c r="G51" s="251"/>
      <c r="H51" s="251"/>
      <c r="I51" s="251"/>
    </row>
    <row r="52" spans="2:9" ht="16.2" thickBot="1">
      <c r="B52" s="264" t="s">
        <v>44</v>
      </c>
      <c r="C52" s="14">
        <v>200</v>
      </c>
      <c r="D52" s="251"/>
      <c r="E52" s="251"/>
      <c r="F52" s="251"/>
      <c r="G52" s="251"/>
      <c r="H52" s="251"/>
      <c r="I52" s="251"/>
    </row>
    <row r="53" spans="2:9" ht="16.2" thickBot="1">
      <c r="B53" s="242" t="s">
        <v>276</v>
      </c>
      <c r="C53" s="241"/>
      <c r="D53" s="244">
        <f>'FLUJO DE CAJA'!D49</f>
        <v>-420</v>
      </c>
      <c r="E53" s="244">
        <f>'FLUJO DE CAJA'!E49</f>
        <v>-420</v>
      </c>
      <c r="F53" s="244">
        <f>'FLUJO DE CAJA'!F49</f>
        <v>-420</v>
      </c>
      <c r="G53" s="244">
        <f>'FLUJO DE CAJA'!G49</f>
        <v>-420</v>
      </c>
      <c r="H53" s="244">
        <f>'FLUJO DE CAJA'!H49</f>
        <v>-420</v>
      </c>
      <c r="I53" s="244"/>
    </row>
    <row r="54" spans="2:9" ht="16.2" thickBot="1">
      <c r="B54" s="242" t="s">
        <v>299</v>
      </c>
      <c r="C54" s="243">
        <f>'FLUJO DE CAJA'!C50</f>
        <v>7550.5</v>
      </c>
      <c r="D54" s="243">
        <v>3487.7249999999999</v>
      </c>
      <c r="E54" s="243">
        <v>1569.4762499999999</v>
      </c>
      <c r="F54" s="243">
        <v>706.26431249999996</v>
      </c>
      <c r="G54" s="243">
        <v>317.81894062499998</v>
      </c>
      <c r="H54" s="243">
        <v>7550.5</v>
      </c>
      <c r="I54" s="244"/>
    </row>
    <row r="55" spans="2:9" ht="16.2" thickBot="1">
      <c r="B55" s="242" t="s">
        <v>300</v>
      </c>
      <c r="C55" s="255">
        <f>'FLUJO DE CAJA'!C51</f>
        <v>10700.2</v>
      </c>
      <c r="D55" s="255"/>
      <c r="E55" s="255"/>
      <c r="F55" s="255"/>
      <c r="G55" s="255"/>
      <c r="H55" s="255"/>
      <c r="I55" s="244"/>
    </row>
    <row r="56" spans="2:9" ht="16.2" thickBot="1">
      <c r="B56" s="242" t="s">
        <v>301</v>
      </c>
      <c r="C56" s="244"/>
      <c r="D56" s="244">
        <f>'FLUJO DE CAJA'!D52</f>
        <v>-1532.5539903887582</v>
      </c>
      <c r="E56" s="244">
        <f>'FLUJO DE CAJA'!E52</f>
        <v>-1789.4893891057773</v>
      </c>
      <c r="F56" s="244">
        <f>'FLUJO DE CAJA'!F52</f>
        <v>-2089.5004638041223</v>
      </c>
      <c r="G56" s="244">
        <f>'FLUJO DE CAJA'!G52</f>
        <v>-2439.8089280760551</v>
      </c>
      <c r="H56" s="244">
        <f>'FLUJO DE CAJA'!H52</f>
        <v>2848.8472286252891</v>
      </c>
      <c r="I56" s="252"/>
    </row>
    <row r="57" spans="2:9" ht="16.2" thickBot="1">
      <c r="B57" s="238" t="s">
        <v>302</v>
      </c>
      <c r="C57" s="194">
        <f>-C29-C54</f>
        <v>-26750.5</v>
      </c>
      <c r="D57" s="194">
        <f>D27+D28+D53+D54+D56</f>
        <v>9101.0827917103106</v>
      </c>
      <c r="E57" s="194">
        <f>E27+E28+E53+E54+E56</f>
        <v>7618.3957679932946</v>
      </c>
      <c r="F57" s="194">
        <f>F27+F28+F29+F53+F54+F56</f>
        <v>2599.2291245449346</v>
      </c>
      <c r="G57" s="194">
        <f>G27+G28+G53+G54+G56</f>
        <v>6953.4438383355073</v>
      </c>
      <c r="H57" s="194">
        <f>H27+H28+H53+H54+H56</f>
        <v>20013.86886836122</v>
      </c>
      <c r="I57" s="195"/>
    </row>
    <row r="59" spans="2:9" ht="16.2" thickBot="1"/>
    <row r="60" spans="2:9" ht="16.2" thickBot="1">
      <c r="B60" s="342" t="s">
        <v>366</v>
      </c>
      <c r="C60" s="343">
        <f>45-(45*4%)</f>
        <v>43.2</v>
      </c>
    </row>
    <row r="61" spans="2:9" ht="16.2" thickBot="1"/>
    <row r="62" spans="2:9" ht="16.2" thickBot="1">
      <c r="B62" s="392" t="s">
        <v>197</v>
      </c>
      <c r="C62" s="395" t="s">
        <v>198</v>
      </c>
      <c r="D62" s="396"/>
      <c r="E62" s="396"/>
      <c r="F62" s="396"/>
      <c r="G62" s="397"/>
      <c r="H62" s="392" t="s">
        <v>15</v>
      </c>
    </row>
    <row r="63" spans="2:9" ht="16.2" thickBot="1">
      <c r="B63" s="393"/>
      <c r="C63" s="395" t="s">
        <v>199</v>
      </c>
      <c r="D63" s="396"/>
      <c r="E63" s="396"/>
      <c r="F63" s="396"/>
      <c r="G63" s="397"/>
      <c r="H63" s="393"/>
    </row>
    <row r="64" spans="2:9" ht="16.2" thickBot="1">
      <c r="B64" s="394"/>
      <c r="C64" s="120">
        <v>2026</v>
      </c>
      <c r="D64" s="120">
        <v>2027</v>
      </c>
      <c r="E64" s="120">
        <v>2028</v>
      </c>
      <c r="F64" s="120">
        <v>2029</v>
      </c>
      <c r="G64" s="121">
        <v>2030</v>
      </c>
      <c r="H64" s="394"/>
    </row>
    <row r="65" spans="2:9" ht="16.2" thickBot="1">
      <c r="B65" s="110" t="s">
        <v>193</v>
      </c>
      <c r="C65" s="122">
        <v>1728</v>
      </c>
      <c r="D65" s="122">
        <v>1764</v>
      </c>
      <c r="E65" s="122">
        <v>1800</v>
      </c>
      <c r="F65" s="122">
        <v>1836</v>
      </c>
      <c r="G65" s="122">
        <v>1872</v>
      </c>
      <c r="H65" s="112">
        <f>SUM(C65:G65)</f>
        <v>9000</v>
      </c>
    </row>
    <row r="66" spans="2:9" ht="16.2" thickBot="1">
      <c r="B66" s="110" t="s">
        <v>414</v>
      </c>
      <c r="C66" s="123">
        <v>1152</v>
      </c>
      <c r="D66" s="123">
        <v>1176</v>
      </c>
      <c r="E66" s="123">
        <v>1200</v>
      </c>
      <c r="F66" s="123">
        <v>1224</v>
      </c>
      <c r="G66" s="123">
        <v>1248</v>
      </c>
      <c r="H66" s="112">
        <f>SUM(C66:G66)</f>
        <v>6000</v>
      </c>
    </row>
    <row r="67" spans="2:9" ht="16.2" thickBot="1">
      <c r="B67" s="114" t="s">
        <v>15</v>
      </c>
      <c r="C67" s="112">
        <f>SUM(C65:C66)</f>
        <v>2880</v>
      </c>
      <c r="D67" s="112">
        <f t="shared" ref="D67:G67" si="5">SUM(D65:D66)</f>
        <v>2940</v>
      </c>
      <c r="E67" s="112">
        <f t="shared" si="5"/>
        <v>3000</v>
      </c>
      <c r="F67" s="112">
        <f t="shared" si="5"/>
        <v>3060</v>
      </c>
      <c r="G67" s="112">
        <f t="shared" si="5"/>
        <v>3120</v>
      </c>
      <c r="H67" s="112">
        <f>SUM(H65:H66)</f>
        <v>15000</v>
      </c>
    </row>
    <row r="68" spans="2:9" ht="16.2" thickBot="1"/>
    <row r="69" spans="2:9" ht="16.2" thickBot="1">
      <c r="B69" s="342" t="s">
        <v>362</v>
      </c>
    </row>
    <row r="70" spans="2:9" ht="16.2" thickBot="1"/>
    <row r="71" spans="2:9" ht="16.2" thickBot="1">
      <c r="B71" s="392" t="s">
        <v>197</v>
      </c>
      <c r="C71" s="395" t="s">
        <v>198</v>
      </c>
      <c r="D71" s="396"/>
      <c r="E71" s="396"/>
      <c r="F71" s="396"/>
      <c r="G71" s="397"/>
      <c r="H71" s="392" t="s">
        <v>15</v>
      </c>
    </row>
    <row r="72" spans="2:9" ht="16.2" thickBot="1">
      <c r="B72" s="393"/>
      <c r="C72" s="395" t="s">
        <v>199</v>
      </c>
      <c r="D72" s="396"/>
      <c r="E72" s="396"/>
      <c r="F72" s="396"/>
      <c r="G72" s="397"/>
      <c r="H72" s="393"/>
    </row>
    <row r="73" spans="2:9" ht="16.2" thickBot="1">
      <c r="B73" s="394"/>
      <c r="C73" s="120">
        <v>2026</v>
      </c>
      <c r="D73" s="120">
        <v>2027</v>
      </c>
      <c r="E73" s="120">
        <v>2028</v>
      </c>
      <c r="F73" s="120">
        <v>2029</v>
      </c>
      <c r="G73" s="121">
        <v>2030</v>
      </c>
      <c r="H73" s="394"/>
    </row>
    <row r="74" spans="2:9" ht="16.2" thickBot="1">
      <c r="B74" s="110" t="s">
        <v>193</v>
      </c>
      <c r="C74" s="122">
        <f>C65-(C65*4%)</f>
        <v>1658.88</v>
      </c>
      <c r="D74" s="122">
        <f t="shared" ref="D74:G74" si="6">D65-(D65*4%)</f>
        <v>1693.44</v>
      </c>
      <c r="E74" s="122">
        <f t="shared" si="6"/>
        <v>1728</v>
      </c>
      <c r="F74" s="122">
        <f t="shared" si="6"/>
        <v>1762.56</v>
      </c>
      <c r="G74" s="122">
        <f t="shared" si="6"/>
        <v>1797.12</v>
      </c>
      <c r="H74" s="112">
        <f>SUM(C74:G74)</f>
        <v>8640</v>
      </c>
    </row>
    <row r="75" spans="2:9" ht="16.2" thickBot="1">
      <c r="B75" s="110" t="s">
        <v>416</v>
      </c>
      <c r="C75" s="122">
        <f>C66-(C66*4%)</f>
        <v>1105.92</v>
      </c>
      <c r="D75" s="122">
        <f t="shared" ref="D75:G75" si="7">D66-(D66*4%)</f>
        <v>1128.96</v>
      </c>
      <c r="E75" s="122">
        <f t="shared" si="7"/>
        <v>1152</v>
      </c>
      <c r="F75" s="122">
        <f t="shared" si="7"/>
        <v>1175.04</v>
      </c>
      <c r="G75" s="122">
        <f t="shared" si="7"/>
        <v>1198.08</v>
      </c>
      <c r="H75" s="112">
        <f>SUM(C75:G75)</f>
        <v>5760</v>
      </c>
    </row>
    <row r="76" spans="2:9" ht="16.2" thickBot="1">
      <c r="B76" s="114" t="s">
        <v>15</v>
      </c>
      <c r="C76" s="112">
        <f>SUM(C74:C75)</f>
        <v>2764.8</v>
      </c>
      <c r="D76" s="112">
        <f t="shared" ref="D76:G76" si="8">SUM(D74:D75)</f>
        <v>2822.4</v>
      </c>
      <c r="E76" s="112">
        <f t="shared" si="8"/>
        <v>2880</v>
      </c>
      <c r="F76" s="112">
        <f t="shared" si="8"/>
        <v>2937.6</v>
      </c>
      <c r="G76" s="112">
        <f t="shared" si="8"/>
        <v>2995.2</v>
      </c>
      <c r="H76" s="112">
        <f>SUM(H74:H75)</f>
        <v>14400</v>
      </c>
    </row>
    <row r="77" spans="2:9" ht="16.2" thickBot="1"/>
    <row r="78" spans="2:9" ht="16.2" thickBot="1">
      <c r="B78" s="392" t="s">
        <v>197</v>
      </c>
      <c r="C78" s="392" t="s">
        <v>177</v>
      </c>
      <c r="D78" s="395" t="s">
        <v>198</v>
      </c>
      <c r="E78" s="396"/>
      <c r="F78" s="396"/>
      <c r="G78" s="396"/>
      <c r="H78" s="397"/>
      <c r="I78" s="392" t="s">
        <v>15</v>
      </c>
    </row>
    <row r="79" spans="2:9" ht="16.2" thickBot="1">
      <c r="B79" s="393"/>
      <c r="C79" s="393"/>
      <c r="D79" s="395" t="s">
        <v>199</v>
      </c>
      <c r="E79" s="396"/>
      <c r="F79" s="396"/>
      <c r="G79" s="396"/>
      <c r="H79" s="397"/>
      <c r="I79" s="393"/>
    </row>
    <row r="80" spans="2:9" ht="16.2" thickBot="1">
      <c r="B80" s="394"/>
      <c r="C80" s="394"/>
      <c r="D80" s="120">
        <v>2026</v>
      </c>
      <c r="E80" s="120">
        <v>2027</v>
      </c>
      <c r="F80" s="120">
        <v>2028</v>
      </c>
      <c r="G80" s="120">
        <v>2029</v>
      </c>
      <c r="H80" s="121">
        <v>2030</v>
      </c>
      <c r="I80" s="394"/>
    </row>
    <row r="81" spans="2:9" ht="16.2" thickBot="1">
      <c r="B81" s="110" t="s">
        <v>193</v>
      </c>
      <c r="C81" s="116">
        <f>C60</f>
        <v>43.2</v>
      </c>
      <c r="D81" s="117">
        <f>C74*$C$81</f>
        <v>71663.616000000009</v>
      </c>
      <c r="E81" s="117">
        <f>D74*$C$81</f>
        <v>73156.608000000007</v>
      </c>
      <c r="F81" s="117">
        <f>E74*$C$81</f>
        <v>74649.600000000006</v>
      </c>
      <c r="G81" s="117">
        <f>F74*$C$81</f>
        <v>76142.592000000004</v>
      </c>
      <c r="H81" s="117">
        <f>G74*$C$81</f>
        <v>77635.584000000003</v>
      </c>
      <c r="I81" s="118">
        <f>SUM(D81:H81)</f>
        <v>373248</v>
      </c>
    </row>
    <row r="82" spans="2:9" ht="16.2" thickBot="1">
      <c r="B82" s="110" t="s">
        <v>194</v>
      </c>
      <c r="C82" s="116">
        <f>C60</f>
        <v>43.2</v>
      </c>
      <c r="D82" s="117">
        <f>C75*$C$82</f>
        <v>47775.744000000006</v>
      </c>
      <c r="E82" s="117">
        <f>D75*$C$82</f>
        <v>48771.072000000007</v>
      </c>
      <c r="F82" s="117">
        <f>E75*$C$82</f>
        <v>49766.400000000001</v>
      </c>
      <c r="G82" s="117">
        <f>F75*$C$82</f>
        <v>50761.728000000003</v>
      </c>
      <c r="H82" s="117">
        <f>G75*$C$82</f>
        <v>51757.055999999997</v>
      </c>
      <c r="I82" s="118">
        <f>SUM(D82:H82)</f>
        <v>248832</v>
      </c>
    </row>
    <row r="83" spans="2:9" ht="16.2" thickBot="1">
      <c r="B83" s="114" t="s">
        <v>15</v>
      </c>
      <c r="C83" s="118"/>
      <c r="D83" s="118">
        <f>SUM(D81:D82)</f>
        <v>119439.36000000002</v>
      </c>
      <c r="E83" s="118">
        <f t="shared" ref="E83:H83" si="9">SUM(E81:E82)</f>
        <v>121927.68000000002</v>
      </c>
      <c r="F83" s="118">
        <f t="shared" si="9"/>
        <v>124416</v>
      </c>
      <c r="G83" s="118">
        <f t="shared" si="9"/>
        <v>126904.32000000001</v>
      </c>
      <c r="H83" s="118">
        <f t="shared" si="9"/>
        <v>129392.64</v>
      </c>
      <c r="I83" s="118">
        <f>SUM(I81:I82)</f>
        <v>622080</v>
      </c>
    </row>
    <row r="84" spans="2:9" ht="16.2" thickBot="1"/>
    <row r="85" spans="2:9" ht="16.2" thickBot="1">
      <c r="B85" s="342" t="s">
        <v>363</v>
      </c>
    </row>
    <row r="86" spans="2:9" ht="16.2" thickBot="1">
      <c r="B86" s="342" t="s">
        <v>364</v>
      </c>
    </row>
    <row r="87" spans="2:9" ht="16.2" thickBot="1"/>
    <row r="88" spans="2:9" ht="16.2" thickBot="1">
      <c r="B88" s="232" t="s">
        <v>272</v>
      </c>
      <c r="C88" s="233"/>
      <c r="D88" s="191"/>
      <c r="E88" s="191"/>
      <c r="F88" s="191"/>
      <c r="G88" s="191"/>
      <c r="H88" s="191"/>
    </row>
    <row r="89" spans="2:9" ht="16.2" thickBot="1">
      <c r="B89" s="261" t="s">
        <v>121</v>
      </c>
      <c r="C89" s="257"/>
      <c r="D89" s="244">
        <v>9250</v>
      </c>
      <c r="E89" s="244">
        <v>9250</v>
      </c>
      <c r="F89" s="244">
        <v>9250</v>
      </c>
      <c r="G89" s="244">
        <v>9250</v>
      </c>
      <c r="H89" s="241">
        <v>9250</v>
      </c>
    </row>
    <row r="90" spans="2:9" ht="16.2" thickBot="1">
      <c r="B90" s="261" t="s">
        <v>122</v>
      </c>
      <c r="C90" s="257"/>
      <c r="D90" s="244">
        <v>15500</v>
      </c>
      <c r="E90" s="244">
        <v>15500</v>
      </c>
      <c r="F90" s="244">
        <v>15500</v>
      </c>
      <c r="G90" s="244">
        <v>15500</v>
      </c>
      <c r="H90" s="244">
        <v>15500</v>
      </c>
    </row>
    <row r="91" spans="2:9" ht="16.2" thickBot="1"/>
    <row r="92" spans="2:9" ht="16.2" thickBot="1">
      <c r="B92" s="232" t="s">
        <v>272</v>
      </c>
      <c r="C92" s="233"/>
      <c r="D92" s="191"/>
      <c r="E92" s="191"/>
      <c r="F92" s="191"/>
      <c r="G92" s="191"/>
      <c r="H92" s="191"/>
    </row>
    <row r="93" spans="2:9" ht="16.2" thickBot="1">
      <c r="B93" s="261" t="s">
        <v>121</v>
      </c>
      <c r="C93" s="257"/>
      <c r="D93" s="244">
        <f>D89+(D89*6%)</f>
        <v>9805</v>
      </c>
      <c r="E93" s="244">
        <f>D93+(D93*6%)</f>
        <v>10393.299999999999</v>
      </c>
      <c r="F93" s="244">
        <f t="shared" ref="F93:H93" si="10">E93+(E93*6%)</f>
        <v>11016.897999999999</v>
      </c>
      <c r="G93" s="244">
        <f t="shared" si="10"/>
        <v>11677.91188</v>
      </c>
      <c r="H93" s="244">
        <f t="shared" si="10"/>
        <v>12378.5865928</v>
      </c>
    </row>
    <row r="94" spans="2:9" ht="16.2" thickBot="1">
      <c r="B94" s="261" t="s">
        <v>122</v>
      </c>
      <c r="C94" s="257"/>
      <c r="D94" s="244">
        <f>D90+(D90*5%)</f>
        <v>16275</v>
      </c>
      <c r="E94" s="244">
        <f>D94+(D94*5%)</f>
        <v>17088.75</v>
      </c>
      <c r="F94" s="244">
        <f t="shared" ref="F94:H94" si="11">E94+(E94*5%)</f>
        <v>17943.1875</v>
      </c>
      <c r="G94" s="244">
        <f t="shared" si="11"/>
        <v>18840.346874999999</v>
      </c>
      <c r="H94" s="244">
        <f t="shared" si="11"/>
        <v>19782.364218750001</v>
      </c>
    </row>
  </sheetData>
  <mergeCells count="18">
    <mergeCell ref="I78:I80"/>
    <mergeCell ref="D79:H79"/>
    <mergeCell ref="B71:B73"/>
    <mergeCell ref="C71:G71"/>
    <mergeCell ref="H71:H73"/>
    <mergeCell ref="C72:G72"/>
    <mergeCell ref="B78:B80"/>
    <mergeCell ref="C78:C80"/>
    <mergeCell ref="D78:H78"/>
    <mergeCell ref="B62:B64"/>
    <mergeCell ref="C62:G62"/>
    <mergeCell ref="H62:H64"/>
    <mergeCell ref="C63:G63"/>
    <mergeCell ref="B2:D2"/>
    <mergeCell ref="B4:I6"/>
    <mergeCell ref="B8:B9"/>
    <mergeCell ref="C8:H8"/>
    <mergeCell ref="I8:I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1"/>
  <sheetViews>
    <sheetView showGridLines="0" workbookViewId="0">
      <selection activeCell="E11" sqref="E11"/>
    </sheetView>
  </sheetViews>
  <sheetFormatPr baseColWidth="10" defaultRowHeight="15.6"/>
  <cols>
    <col min="1" max="1" width="3.59765625" customWidth="1"/>
    <col min="2" max="2" width="27" customWidth="1"/>
    <col min="3" max="3" width="21.59765625" customWidth="1"/>
    <col min="4" max="4" width="23.3984375" customWidth="1"/>
    <col min="5" max="5" width="19" customWidth="1"/>
    <col min="6" max="6" width="18.19921875" customWidth="1"/>
    <col min="7" max="7" width="21.69921875" customWidth="1"/>
    <col min="8" max="8" width="15" customWidth="1"/>
  </cols>
  <sheetData>
    <row r="1" spans="2:8" ht="16.2" thickBot="1"/>
    <row r="2" spans="2:8" ht="16.2" thickBot="1">
      <c r="B2" s="406" t="s">
        <v>367</v>
      </c>
      <c r="C2" s="408"/>
    </row>
    <row r="3" spans="2:8" ht="16.2" thickBot="1"/>
    <row r="4" spans="2:8" ht="16.2" thickBot="1">
      <c r="B4" s="203"/>
      <c r="C4" s="155" t="s">
        <v>355</v>
      </c>
      <c r="D4" s="155" t="s">
        <v>368</v>
      </c>
      <c r="E4" s="155" t="s">
        <v>369</v>
      </c>
      <c r="F4" s="155" t="s">
        <v>370</v>
      </c>
      <c r="G4" s="155" t="s">
        <v>371</v>
      </c>
    </row>
    <row r="5" spans="2:8" ht="16.2" thickBot="1">
      <c r="B5" s="344" t="s">
        <v>372</v>
      </c>
      <c r="C5" s="345">
        <f>NPV('VAN - TIR'!E30,'ESCENARIO ÓPTIMISTA'!C57:H57)</f>
        <v>54315.625589289324</v>
      </c>
      <c r="D5" s="345">
        <f>NPV('VAN - TIR'!E30,'ESCENARIO PESIMISTA'!C57:H57)</f>
        <v>-454.45862472735178</v>
      </c>
      <c r="E5" s="345">
        <f>'VAN - TIR'!L25</f>
        <v>23600.439137655827</v>
      </c>
      <c r="F5" s="346">
        <f>C5-E5</f>
        <v>30715.186451633497</v>
      </c>
      <c r="G5" s="346">
        <f>E5+D5</f>
        <v>23145.980512928476</v>
      </c>
    </row>
    <row r="6" spans="2:8" ht="16.2" thickBot="1">
      <c r="B6" s="344" t="s">
        <v>317</v>
      </c>
      <c r="C6" s="347">
        <f>IRR('ESCENARIO ÓPTIMISTA'!C57:H57)</f>
        <v>1.0247853611032323</v>
      </c>
      <c r="D6" s="347">
        <f>IRR('ESCENARIO PESIMISTA'!C57:H57)</f>
        <v>0.18512869429528367</v>
      </c>
      <c r="E6" s="347">
        <f>'VAN - TIR'!L27</f>
        <v>0.5268485922935322</v>
      </c>
      <c r="F6" s="347">
        <f>C6-E6</f>
        <v>0.49793676880970006</v>
      </c>
      <c r="G6" s="347">
        <f>E6-D6</f>
        <v>0.34171989799824853</v>
      </c>
    </row>
    <row r="7" spans="2:8" ht="16.2" thickBot="1">
      <c r="B7" s="344" t="s">
        <v>373</v>
      </c>
      <c r="C7" s="345">
        <f>C65</f>
        <v>1.5267536353537103</v>
      </c>
      <c r="D7" s="345">
        <f>C121</f>
        <v>1.4405889037928681</v>
      </c>
      <c r="E7" s="345">
        <f>'BENEFICIO - COSTO'!C35</f>
        <v>1.4603756423907062</v>
      </c>
      <c r="F7" s="345">
        <f>0.59</f>
        <v>0.59</v>
      </c>
      <c r="G7" s="346">
        <f>E7-D7</f>
        <v>1.9786738597838083E-2</v>
      </c>
    </row>
    <row r="8" spans="2:8" ht="16.2" thickBot="1">
      <c r="B8" s="344" t="s">
        <v>374</v>
      </c>
      <c r="C8" s="348" t="s">
        <v>382</v>
      </c>
      <c r="D8" s="348" t="s">
        <v>395</v>
      </c>
      <c r="E8" s="348" t="s">
        <v>375</v>
      </c>
      <c r="F8" s="348" t="s">
        <v>401</v>
      </c>
      <c r="G8" s="348" t="s">
        <v>402</v>
      </c>
    </row>
    <row r="10" spans="2:8" ht="16.2" thickBot="1"/>
    <row r="11" spans="2:8" ht="16.2" thickBot="1">
      <c r="B11" s="406" t="s">
        <v>376</v>
      </c>
      <c r="C11" s="408"/>
    </row>
    <row r="12" spans="2:8" ht="16.2" thickBot="1"/>
    <row r="13" spans="2:8" ht="16.2" thickBot="1">
      <c r="B13" s="415" t="s">
        <v>260</v>
      </c>
      <c r="C13" s="417" t="s">
        <v>261</v>
      </c>
      <c r="D13" s="418"/>
      <c r="E13" s="418"/>
      <c r="F13" s="418"/>
      <c r="G13" s="418"/>
      <c r="H13" s="419"/>
    </row>
    <row r="14" spans="2:8" ht="16.2" thickBot="1">
      <c r="B14" s="416"/>
      <c r="C14" s="266">
        <v>0</v>
      </c>
      <c r="D14" s="266">
        <v>1</v>
      </c>
      <c r="E14" s="266">
        <v>2</v>
      </c>
      <c r="F14" s="266">
        <v>3</v>
      </c>
      <c r="G14" s="266">
        <v>4</v>
      </c>
      <c r="H14" s="266">
        <v>5</v>
      </c>
    </row>
    <row r="15" spans="2:8" ht="16.2" thickBot="1">
      <c r="B15" s="267" t="s">
        <v>302</v>
      </c>
      <c r="C15" s="193">
        <f>'ESCENARIO ÓPTIMISTA'!C57</f>
        <v>-26750.5</v>
      </c>
      <c r="D15" s="193">
        <f>'ESCENARIO ÓPTIMISTA'!D57</f>
        <v>27888.501041710308</v>
      </c>
      <c r="E15" s="193">
        <f>'ESCENARIO ÓPTIMISTA'!E57</f>
        <v>28030.83020549329</v>
      </c>
      <c r="F15" s="193">
        <f>'ESCENARIO ÓPTIMISTA'!F57</f>
        <v>24676.099083919937</v>
      </c>
      <c r="G15" s="193">
        <f>'ESCENARIO ÓPTIMISTA'!G57</f>
        <v>30737.047624679275</v>
      </c>
      <c r="H15" s="193">
        <f>'ESCENARIO ÓPTIMISTA'!H57</f>
        <v>45549.523429544664</v>
      </c>
    </row>
    <row r="16" spans="2:8" ht="16.2" thickBot="1"/>
    <row r="17" spans="2:11" ht="16.2" thickBot="1">
      <c r="F17" s="304"/>
      <c r="G17" s="305"/>
      <c r="H17" s="305"/>
      <c r="I17" s="305"/>
      <c r="J17" s="305"/>
      <c r="K17" s="306"/>
    </row>
    <row r="18" spans="2:11" ht="16.2" thickBot="1">
      <c r="B18" s="303"/>
      <c r="C18" s="302" t="s">
        <v>321</v>
      </c>
      <c r="D18" s="302" t="s">
        <v>322</v>
      </c>
      <c r="F18" s="307" t="s">
        <v>323</v>
      </c>
      <c r="G18" s="308" t="s">
        <v>324</v>
      </c>
      <c r="H18" s="309" t="s">
        <v>309</v>
      </c>
      <c r="I18" s="310" t="s">
        <v>325</v>
      </c>
      <c r="J18" s="311" t="s">
        <v>326</v>
      </c>
      <c r="K18" s="312" t="s">
        <v>327</v>
      </c>
    </row>
    <row r="19" spans="2:11" ht="16.2" thickBot="1">
      <c r="B19" s="302" t="s">
        <v>320</v>
      </c>
      <c r="C19" s="193">
        <f>C15</f>
        <v>-26750.5</v>
      </c>
      <c r="D19" s="254">
        <f>C19</f>
        <v>-26750.5</v>
      </c>
      <c r="F19" s="313"/>
      <c r="G19" s="24"/>
      <c r="H19" s="24"/>
      <c r="I19" s="432" t="s">
        <v>325</v>
      </c>
      <c r="J19" s="432"/>
      <c r="K19" s="433"/>
    </row>
    <row r="20" spans="2:11" ht="16.2" thickBot="1">
      <c r="B20" s="302" t="s">
        <v>265</v>
      </c>
      <c r="C20" s="193">
        <f>D15</f>
        <v>27888.501041710308</v>
      </c>
      <c r="D20" s="254">
        <f>D19+C20</f>
        <v>1138.0010417103076</v>
      </c>
      <c r="F20" s="314"/>
      <c r="G20" s="21"/>
      <c r="H20" s="21"/>
      <c r="I20" s="21"/>
      <c r="J20" s="21"/>
      <c r="K20" s="315"/>
    </row>
    <row r="21" spans="2:11" ht="16.2" thickBot="1">
      <c r="B21" s="302" t="s">
        <v>266</v>
      </c>
      <c r="C21" s="193">
        <f>E15</f>
        <v>28030.83020549329</v>
      </c>
      <c r="D21" s="254">
        <f>D20+C21</f>
        <v>29168.831247203598</v>
      </c>
      <c r="F21" s="307" t="s">
        <v>323</v>
      </c>
      <c r="G21" s="316" t="s">
        <v>377</v>
      </c>
      <c r="H21" s="21" t="s">
        <v>309</v>
      </c>
      <c r="I21" s="317">
        <v>22000</v>
      </c>
      <c r="J21" s="21"/>
      <c r="K21" s="315"/>
    </row>
    <row r="22" spans="2:11" ht="16.2" thickBot="1">
      <c r="B22" s="302" t="s">
        <v>267</v>
      </c>
      <c r="C22" s="193">
        <f>F15</f>
        <v>24676.099083919937</v>
      </c>
      <c r="D22" s="254">
        <f>D21+C22</f>
        <v>53844.930331123534</v>
      </c>
      <c r="F22" s="314"/>
      <c r="G22" s="21"/>
      <c r="H22" s="21"/>
      <c r="I22" s="318">
        <v>22452.89</v>
      </c>
      <c r="J22" s="21"/>
      <c r="K22" s="315"/>
    </row>
    <row r="23" spans="2:11" ht="16.2" thickBot="1">
      <c r="B23" s="302" t="s">
        <v>268</v>
      </c>
      <c r="C23" s="193">
        <f>G15</f>
        <v>30737.047624679275</v>
      </c>
      <c r="D23" s="254">
        <f>D22+C23</f>
        <v>84581.977955802809</v>
      </c>
      <c r="F23" s="314"/>
      <c r="G23" s="21"/>
      <c r="H23" s="21"/>
      <c r="I23" s="21"/>
      <c r="J23" s="21"/>
      <c r="K23" s="315"/>
    </row>
    <row r="24" spans="2:11" ht="16.2" thickBot="1">
      <c r="B24" s="302" t="s">
        <v>269</v>
      </c>
      <c r="C24" s="193">
        <f>H15</f>
        <v>45549.523429544664</v>
      </c>
      <c r="D24" s="254">
        <f t="shared" ref="D24" si="0">D23+C24</f>
        <v>130131.50138534748</v>
      </c>
      <c r="F24" s="103" t="s">
        <v>323</v>
      </c>
      <c r="G24" s="319">
        <f>0+((I21/I22))</f>
        <v>0.97982932263953548</v>
      </c>
      <c r="H24" s="21" t="s">
        <v>14</v>
      </c>
      <c r="I24" s="21"/>
      <c r="J24" s="21"/>
      <c r="K24" s="315"/>
    </row>
    <row r="25" spans="2:11">
      <c r="F25" s="314"/>
      <c r="G25" s="21"/>
      <c r="H25" s="21"/>
      <c r="I25" s="21"/>
      <c r="J25" s="21"/>
      <c r="K25" s="315"/>
    </row>
    <row r="26" spans="2:11">
      <c r="F26" s="314" t="s">
        <v>378</v>
      </c>
      <c r="G26" s="320">
        <f>0.98*12</f>
        <v>11.76</v>
      </c>
      <c r="H26" s="21" t="s">
        <v>329</v>
      </c>
      <c r="I26" s="21"/>
      <c r="J26" s="320"/>
      <c r="K26" s="321"/>
    </row>
    <row r="27" spans="2:11">
      <c r="F27" s="314" t="s">
        <v>379</v>
      </c>
      <c r="G27" s="320">
        <f>0.76*30</f>
        <v>22.8</v>
      </c>
      <c r="H27" s="21" t="s">
        <v>381</v>
      </c>
      <c r="K27" s="349"/>
    </row>
    <row r="28" spans="2:11" ht="16.2" thickBot="1">
      <c r="F28" s="350"/>
      <c r="G28" s="320"/>
      <c r="H28" s="351"/>
      <c r="I28" s="351"/>
      <c r="J28" s="351"/>
      <c r="K28" s="352"/>
    </row>
    <row r="29" spans="2:11" ht="16.2" thickBot="1">
      <c r="F29" s="429" t="s">
        <v>380</v>
      </c>
      <c r="G29" s="430"/>
      <c r="H29" s="430"/>
      <c r="I29" s="430"/>
      <c r="J29" s="430"/>
      <c r="K29" s="431"/>
    </row>
    <row r="31" spans="2:11" ht="16.2" thickBot="1"/>
    <row r="32" spans="2:11" ht="16.2" thickBot="1">
      <c r="B32" s="406" t="s">
        <v>383</v>
      </c>
      <c r="C32" s="408"/>
    </row>
    <row r="33" spans="2:11" ht="16.2" thickBot="1"/>
    <row r="34" spans="2:11" ht="16.2" thickBot="1">
      <c r="B34" s="295" t="s">
        <v>317</v>
      </c>
      <c r="C34" s="301">
        <f>C6</f>
        <v>1.0247853611032323</v>
      </c>
      <c r="D34" s="335">
        <f>C34</f>
        <v>1.0247853611032323</v>
      </c>
    </row>
    <row r="35" spans="2:11" ht="16.2" thickBot="1"/>
    <row r="36" spans="2:11" ht="16.2" thickBot="1">
      <c r="B36" s="322" t="s">
        <v>261</v>
      </c>
      <c r="C36" s="323" t="s">
        <v>332</v>
      </c>
      <c r="D36" s="323" t="s">
        <v>333</v>
      </c>
      <c r="E36" s="324" t="s">
        <v>334</v>
      </c>
    </row>
    <row r="37" spans="2:11">
      <c r="B37" s="325">
        <v>0</v>
      </c>
      <c r="C37" s="331">
        <v>26750.5</v>
      </c>
      <c r="D37" s="326">
        <v>0</v>
      </c>
      <c r="E37" s="333">
        <f>C37</f>
        <v>26750.5</v>
      </c>
    </row>
    <row r="38" spans="2:11">
      <c r="B38" s="327">
        <v>1</v>
      </c>
      <c r="C38" s="328"/>
      <c r="D38" s="331">
        <f>'ESCENARIO ÓPTIMISTA'!D10</f>
        <v>146992.32000000001</v>
      </c>
      <c r="E38" s="333">
        <f>'ESCENARIO ÓPTIMISTA'!D13</f>
        <v>35442.5</v>
      </c>
    </row>
    <row r="39" spans="2:11">
      <c r="B39" s="327">
        <v>2</v>
      </c>
      <c r="C39" s="328"/>
      <c r="D39" s="331">
        <f>'ESCENARIO ÓPTIMISTA'!E10</f>
        <v>150054.66</v>
      </c>
      <c r="E39" s="333">
        <f>'ESCENARIO ÓPTIMISTA'!E13</f>
        <v>34869.525000000001</v>
      </c>
    </row>
    <row r="40" spans="2:11">
      <c r="B40" s="327">
        <v>3</v>
      </c>
      <c r="C40" s="328"/>
      <c r="D40" s="331">
        <f>'ESCENARIO ÓPTIMISTA'!F10</f>
        <v>153117</v>
      </c>
      <c r="E40" s="333">
        <f>'ESCENARIO ÓPTIMISTA'!F13</f>
        <v>34310.701249999998</v>
      </c>
    </row>
    <row r="41" spans="2:11">
      <c r="B41" s="327">
        <v>4</v>
      </c>
      <c r="C41" s="328"/>
      <c r="D41" s="331">
        <f>'ESCENARIO ÓPTIMISTA'!G10</f>
        <v>156179.34000000003</v>
      </c>
      <c r="E41" s="333">
        <f>'ESCENARIO ÓPTIMISTA'!G13</f>
        <v>33765.664972500002</v>
      </c>
    </row>
    <row r="42" spans="2:11" ht="16.2" thickBot="1">
      <c r="B42" s="329">
        <v>5</v>
      </c>
      <c r="C42" s="330"/>
      <c r="D42" s="332">
        <f>'ESCENARIO ÓPTIMISTA'!H10</f>
        <v>159241.68000000002</v>
      </c>
      <c r="E42" s="334">
        <f>'ESCENARIO ÓPTIMISTA'!H13</f>
        <v>33234.062088125007</v>
      </c>
    </row>
    <row r="46" spans="2:11">
      <c r="B46" s="274" t="s">
        <v>335</v>
      </c>
      <c r="C46" s="277">
        <f>D38</f>
        <v>146992.32000000001</v>
      </c>
      <c r="D46" s="278" t="s">
        <v>309</v>
      </c>
      <c r="E46" s="277">
        <f>D39</f>
        <v>150054.66</v>
      </c>
      <c r="F46" s="278" t="s">
        <v>309</v>
      </c>
      <c r="G46" s="277">
        <f>D40</f>
        <v>153117</v>
      </c>
      <c r="H46" s="278" t="s">
        <v>309</v>
      </c>
      <c r="I46" s="277">
        <f>D41</f>
        <v>156179.34000000003</v>
      </c>
      <c r="J46" s="278" t="s">
        <v>309</v>
      </c>
      <c r="K46" s="277">
        <f>D42</f>
        <v>159241.68000000002</v>
      </c>
    </row>
    <row r="47" spans="2:11">
      <c r="B47" s="183"/>
      <c r="C47" s="276" t="s">
        <v>384</v>
      </c>
      <c r="D47" s="276"/>
      <c r="E47" s="276" t="s">
        <v>385</v>
      </c>
      <c r="F47" s="276"/>
      <c r="G47" s="276" t="s">
        <v>386</v>
      </c>
      <c r="H47" s="276"/>
      <c r="I47" s="276" t="s">
        <v>387</v>
      </c>
      <c r="J47" s="276"/>
      <c r="K47" s="276" t="s">
        <v>388</v>
      </c>
    </row>
    <row r="48" spans="2:11">
      <c r="B48" s="183"/>
      <c r="C48" s="183"/>
      <c r="D48" s="183"/>
      <c r="E48" s="183"/>
      <c r="F48" s="183"/>
      <c r="G48" s="183"/>
      <c r="H48" s="183"/>
      <c r="I48" s="183"/>
      <c r="J48" s="183"/>
      <c r="K48" s="183"/>
    </row>
    <row r="49" spans="2:11">
      <c r="B49" s="274" t="s">
        <v>335</v>
      </c>
      <c r="C49" s="275">
        <f>C46/((1+1.015)^1)</f>
        <v>72949.042183622849</v>
      </c>
      <c r="D49" s="276" t="s">
        <v>309</v>
      </c>
      <c r="E49" s="275">
        <f>E46/((1+1.015)^2)</f>
        <v>36957.227739842012</v>
      </c>
      <c r="F49" s="276" t="s">
        <v>309</v>
      </c>
      <c r="G49" s="275">
        <f>G46/((1+1.015)^3)</f>
        <v>18715.363214585515</v>
      </c>
      <c r="H49" s="276" t="s">
        <v>309</v>
      </c>
      <c r="I49" s="275">
        <f>I46/((1+1.015)^4)</f>
        <v>9473.7818753733154</v>
      </c>
      <c r="J49" s="276" t="s">
        <v>309</v>
      </c>
      <c r="K49" s="275">
        <f>K46/((1+1.015)^5)</f>
        <v>4793.8175207455115</v>
      </c>
    </row>
    <row r="50" spans="2:11" ht="16.2" thickBot="1">
      <c r="B50" s="183"/>
      <c r="C50" s="183"/>
      <c r="D50" s="183"/>
      <c r="E50" s="183"/>
      <c r="F50" s="183"/>
      <c r="G50" s="183"/>
      <c r="H50" s="183"/>
      <c r="I50" s="183"/>
    </row>
    <row r="51" spans="2:11" ht="16.2" thickBot="1">
      <c r="B51" s="280" t="s">
        <v>335</v>
      </c>
      <c r="C51" s="281">
        <f>C49+E49+G49+I49+K49</f>
        <v>142889.23253416922</v>
      </c>
      <c r="D51" s="183"/>
      <c r="E51" s="183"/>
      <c r="F51" s="183"/>
      <c r="G51" s="183"/>
      <c r="H51" s="183"/>
      <c r="I51" s="183"/>
    </row>
    <row r="54" spans="2:11">
      <c r="B54" s="274" t="s">
        <v>336</v>
      </c>
      <c r="C54" s="277">
        <f>E38</f>
        <v>35442.5</v>
      </c>
      <c r="D54" s="278" t="s">
        <v>309</v>
      </c>
      <c r="E54" s="277">
        <f>E39</f>
        <v>34869.525000000001</v>
      </c>
      <c r="F54" s="278" t="s">
        <v>309</v>
      </c>
      <c r="G54" s="277">
        <f>E40</f>
        <v>34310.701249999998</v>
      </c>
      <c r="H54" s="278" t="s">
        <v>309</v>
      </c>
      <c r="I54" s="277">
        <f>E41</f>
        <v>33765.664972500002</v>
      </c>
      <c r="J54" s="278" t="s">
        <v>309</v>
      </c>
      <c r="K54" s="277">
        <f>E42</f>
        <v>33234.062088125007</v>
      </c>
    </row>
    <row r="55" spans="2:11">
      <c r="B55" s="183"/>
      <c r="C55" s="276" t="s">
        <v>384</v>
      </c>
      <c r="D55" s="276"/>
      <c r="E55" s="276" t="s">
        <v>385</v>
      </c>
      <c r="F55" s="276"/>
      <c r="G55" s="276" t="s">
        <v>386</v>
      </c>
      <c r="H55" s="276"/>
      <c r="I55" s="276" t="s">
        <v>387</v>
      </c>
      <c r="J55" s="276"/>
      <c r="K55" s="276" t="s">
        <v>388</v>
      </c>
    </row>
    <row r="56" spans="2:11">
      <c r="B56" s="183"/>
      <c r="C56" s="183"/>
      <c r="D56" s="183"/>
      <c r="E56" s="183"/>
      <c r="F56" s="183"/>
      <c r="G56" s="183"/>
      <c r="H56" s="183"/>
      <c r="I56" s="183"/>
    </row>
    <row r="57" spans="2:11">
      <c r="B57" s="274" t="s">
        <v>336</v>
      </c>
      <c r="C57" s="275">
        <f>C54/((1+1.015)^1)</f>
        <v>17589.330024813898</v>
      </c>
      <c r="D57" s="276" t="s">
        <v>309</v>
      </c>
      <c r="E57" s="275">
        <f>E54/((1+1.015)^2)</f>
        <v>8588.0770154363381</v>
      </c>
      <c r="F57" s="276" t="s">
        <v>309</v>
      </c>
      <c r="G57" s="275">
        <f>G54/((1+1.015)^3)</f>
        <v>4193.7683995956249</v>
      </c>
      <c r="H57" s="276" t="s">
        <v>309</v>
      </c>
      <c r="I57" s="275">
        <f>I54/((1+1.015)^4)</f>
        <v>2048.2129379365933</v>
      </c>
      <c r="J57" s="276" t="s">
        <v>309</v>
      </c>
      <c r="K57" s="275">
        <f>K54/((1+1.015)^5)</f>
        <v>1000.479454396599</v>
      </c>
    </row>
    <row r="58" spans="2:11" ht="16.2" thickBot="1">
      <c r="B58" s="183"/>
      <c r="C58" s="183"/>
      <c r="D58" s="183"/>
      <c r="E58" s="183"/>
      <c r="F58" s="183"/>
      <c r="G58" s="183"/>
      <c r="H58" s="183"/>
      <c r="I58" s="183"/>
    </row>
    <row r="59" spans="2:11" ht="16.2" thickBot="1">
      <c r="B59" s="280" t="s">
        <v>336</v>
      </c>
      <c r="C59" s="281">
        <f>+C57+E57+G57+I57+K57</f>
        <v>33419.867832179058</v>
      </c>
      <c r="D59" s="183"/>
      <c r="E59" s="183"/>
      <c r="F59" s="183"/>
      <c r="G59" s="183"/>
      <c r="H59" s="183"/>
      <c r="I59" s="183"/>
    </row>
    <row r="61" spans="2:11" ht="16.2" thickBot="1"/>
    <row r="62" spans="2:11" ht="16.2" thickBot="1">
      <c r="B62" s="338" t="s">
        <v>337</v>
      </c>
      <c r="C62" s="296">
        <f>C51</f>
        <v>142889.23253416922</v>
      </c>
    </row>
    <row r="63" spans="2:11" ht="16.2" thickBot="1">
      <c r="B63" s="338" t="s">
        <v>338</v>
      </c>
      <c r="C63" s="296">
        <f>C59</f>
        <v>33419.867832179058</v>
      </c>
    </row>
    <row r="64" spans="2:11" ht="16.2" thickBot="1">
      <c r="B64" s="338" t="s">
        <v>339</v>
      </c>
      <c r="C64" s="296">
        <f>C63+C37</f>
        <v>60170.367832179058</v>
      </c>
    </row>
    <row r="65" spans="2:11" ht="16.2" thickBot="1">
      <c r="B65" s="336" t="s">
        <v>340</v>
      </c>
      <c r="C65" s="337">
        <f>C62/(C63+C64)</f>
        <v>1.5267536353537103</v>
      </c>
    </row>
    <row r="67" spans="2:11" ht="16.2" thickBot="1"/>
    <row r="68" spans="2:11" ht="16.2" thickBot="1">
      <c r="B68" s="406" t="s">
        <v>389</v>
      </c>
      <c r="C68" s="408"/>
    </row>
    <row r="69" spans="2:11" ht="16.2" thickBot="1"/>
    <row r="70" spans="2:11" ht="16.2" thickBot="1">
      <c r="B70" s="415" t="s">
        <v>260</v>
      </c>
      <c r="C70" s="417" t="s">
        <v>261</v>
      </c>
      <c r="D70" s="418"/>
      <c r="E70" s="418"/>
      <c r="F70" s="418"/>
      <c r="G70" s="418"/>
      <c r="H70" s="419"/>
    </row>
    <row r="71" spans="2:11" ht="16.2" thickBot="1">
      <c r="B71" s="416"/>
      <c r="C71" s="266">
        <v>0</v>
      </c>
      <c r="D71" s="266">
        <v>1</v>
      </c>
      <c r="E71" s="266">
        <v>2</v>
      </c>
      <c r="F71" s="266">
        <v>3</v>
      </c>
      <c r="G71" s="266">
        <v>4</v>
      </c>
      <c r="H71" s="266">
        <v>5</v>
      </c>
    </row>
    <row r="72" spans="2:11" ht="16.2" thickBot="1">
      <c r="B72" s="267" t="s">
        <v>302</v>
      </c>
      <c r="C72" s="193">
        <f>'ESCENARIO PESIMISTA'!C57</f>
        <v>-26750.5</v>
      </c>
      <c r="D72" s="193">
        <f>'ESCENARIO PESIMISTA'!D57</f>
        <v>9101.0827917103106</v>
      </c>
      <c r="E72" s="193">
        <f>'ESCENARIO PESIMISTA'!E57</f>
        <v>7618.3957679932946</v>
      </c>
      <c r="F72" s="193">
        <f>'ESCENARIO PESIMISTA'!F57</f>
        <v>2599.2291245449346</v>
      </c>
      <c r="G72" s="193">
        <f>'ESCENARIO PESIMISTA'!G57</f>
        <v>6953.4438383355073</v>
      </c>
      <c r="H72" s="193">
        <f>'ESCENARIO PESIMISTA'!H57</f>
        <v>20013.86886836122</v>
      </c>
    </row>
    <row r="73" spans="2:11" ht="16.2" thickBot="1"/>
    <row r="74" spans="2:11" ht="16.2" thickBot="1">
      <c r="F74" s="304"/>
      <c r="G74" s="305"/>
      <c r="H74" s="305"/>
      <c r="I74" s="305"/>
      <c r="J74" s="305"/>
      <c r="K74" s="306"/>
    </row>
    <row r="75" spans="2:11" ht="16.2" thickBot="1">
      <c r="B75" s="303"/>
      <c r="C75" s="302" t="s">
        <v>321</v>
      </c>
      <c r="D75" s="302" t="s">
        <v>322</v>
      </c>
      <c r="F75" s="307" t="s">
        <v>323</v>
      </c>
      <c r="G75" s="308" t="s">
        <v>324</v>
      </c>
      <c r="H75" s="309" t="s">
        <v>309</v>
      </c>
      <c r="I75" s="310" t="s">
        <v>325</v>
      </c>
      <c r="J75" s="311" t="s">
        <v>326</v>
      </c>
      <c r="K75" s="312" t="s">
        <v>327</v>
      </c>
    </row>
    <row r="76" spans="2:11" ht="16.2" thickBot="1">
      <c r="B76" s="302" t="s">
        <v>320</v>
      </c>
      <c r="C76" s="193">
        <f>C72</f>
        <v>-26750.5</v>
      </c>
      <c r="D76" s="254">
        <f>C76</f>
        <v>-26750.5</v>
      </c>
      <c r="F76" s="313"/>
      <c r="G76" s="24"/>
      <c r="H76" s="24"/>
      <c r="I76" s="432" t="s">
        <v>325</v>
      </c>
      <c r="J76" s="432"/>
      <c r="K76" s="433"/>
    </row>
    <row r="77" spans="2:11" ht="16.2" thickBot="1">
      <c r="B77" s="302" t="s">
        <v>265</v>
      </c>
      <c r="C77" s="193">
        <f>D72</f>
        <v>9101.0827917103106</v>
      </c>
      <c r="D77" s="254">
        <f>D76+C77</f>
        <v>-17649.417208289691</v>
      </c>
      <c r="F77" s="314"/>
      <c r="G77" s="21"/>
      <c r="H77" s="21"/>
      <c r="I77" s="21"/>
      <c r="J77" s="21"/>
      <c r="K77" s="315"/>
    </row>
    <row r="78" spans="2:11" ht="16.2" thickBot="1">
      <c r="B78" s="302" t="s">
        <v>266</v>
      </c>
      <c r="C78" s="193">
        <f>E72</f>
        <v>7618.3957679932946</v>
      </c>
      <c r="D78" s="254">
        <f>D77+C78</f>
        <v>-10031.021440296397</v>
      </c>
      <c r="F78" s="307" t="s">
        <v>323</v>
      </c>
      <c r="G78" s="316" t="s">
        <v>391</v>
      </c>
      <c r="H78" s="21" t="s">
        <v>309</v>
      </c>
      <c r="I78" s="317">
        <v>17409.73</v>
      </c>
      <c r="J78" s="21"/>
      <c r="K78" s="315"/>
    </row>
    <row r="79" spans="2:11" ht="16.2" thickBot="1">
      <c r="B79" s="302" t="s">
        <v>267</v>
      </c>
      <c r="C79" s="193">
        <f>F72</f>
        <v>2599.2291245449346</v>
      </c>
      <c r="D79" s="254">
        <f>D78+C79</f>
        <v>-7431.7923157514633</v>
      </c>
      <c r="F79" s="314"/>
      <c r="G79" s="21"/>
      <c r="H79" s="21"/>
      <c r="I79" s="318">
        <v>20075.32</v>
      </c>
      <c r="J79" s="21"/>
      <c r="K79" s="315"/>
    </row>
    <row r="80" spans="2:11" ht="16.2" thickBot="1">
      <c r="B80" s="302" t="s">
        <v>268</v>
      </c>
      <c r="C80" s="193">
        <f>G72</f>
        <v>6953.4438383355073</v>
      </c>
      <c r="D80" s="254">
        <f>D79+C80</f>
        <v>-478.34847741595604</v>
      </c>
      <c r="F80" s="314"/>
      <c r="G80" s="21"/>
      <c r="H80" s="21"/>
      <c r="I80" s="21"/>
      <c r="J80" s="21"/>
      <c r="K80" s="315"/>
    </row>
    <row r="81" spans="2:11" ht="16.2" thickBot="1">
      <c r="B81" s="302" t="s">
        <v>269</v>
      </c>
      <c r="C81" s="193">
        <f>H72</f>
        <v>20013.86886836122</v>
      </c>
      <c r="D81" s="254">
        <f t="shared" ref="D81" si="1">D80+C81</f>
        <v>19535.520390945265</v>
      </c>
      <c r="F81" s="103" t="s">
        <v>323</v>
      </c>
      <c r="G81" s="319">
        <f>4+((I78/I79))</f>
        <v>4.8672205474184222</v>
      </c>
      <c r="H81" s="21" t="s">
        <v>14</v>
      </c>
      <c r="I81" s="21"/>
      <c r="J81" s="21"/>
      <c r="K81" s="315"/>
    </row>
    <row r="82" spans="2:11">
      <c r="F82" s="314"/>
      <c r="G82" s="21"/>
      <c r="H82" s="21"/>
      <c r="I82" s="21"/>
      <c r="J82" s="21"/>
      <c r="K82" s="315"/>
    </row>
    <row r="83" spans="2:11">
      <c r="F83" s="314" t="s">
        <v>392</v>
      </c>
      <c r="G83" s="320">
        <f>0.87*12</f>
        <v>10.44</v>
      </c>
      <c r="H83" s="21" t="s">
        <v>329</v>
      </c>
      <c r="I83" s="21"/>
      <c r="J83" s="320"/>
      <c r="K83" s="321"/>
    </row>
    <row r="84" spans="2:11">
      <c r="F84" s="314" t="s">
        <v>393</v>
      </c>
      <c r="G84" s="320">
        <f>0.44*30</f>
        <v>13.2</v>
      </c>
      <c r="H84" s="21" t="s">
        <v>381</v>
      </c>
      <c r="K84" s="349"/>
    </row>
    <row r="85" spans="2:11" ht="16.2" thickBot="1">
      <c r="F85" s="350"/>
      <c r="G85" s="320"/>
      <c r="H85" s="351"/>
      <c r="I85" s="351"/>
      <c r="J85" s="351"/>
      <c r="K85" s="352"/>
    </row>
    <row r="86" spans="2:11" ht="16.2" thickBot="1">
      <c r="F86" s="429" t="s">
        <v>394</v>
      </c>
      <c r="G86" s="430"/>
      <c r="H86" s="430"/>
      <c r="I86" s="430"/>
      <c r="J86" s="430"/>
      <c r="K86" s="431"/>
    </row>
    <row r="87" spans="2:11" ht="16.2" thickBot="1"/>
    <row r="88" spans="2:11" ht="16.2" thickBot="1">
      <c r="B88" s="406" t="s">
        <v>390</v>
      </c>
      <c r="C88" s="408"/>
    </row>
    <row r="89" spans="2:11" ht="16.2" thickBot="1"/>
    <row r="90" spans="2:11" ht="16.2" thickBot="1">
      <c r="B90" s="295" t="s">
        <v>317</v>
      </c>
      <c r="C90" s="301">
        <f>D6</f>
        <v>0.18512869429528367</v>
      </c>
      <c r="D90" s="335">
        <f>C90</f>
        <v>0.18512869429528367</v>
      </c>
    </row>
    <row r="91" spans="2:11" ht="16.2" thickBot="1"/>
    <row r="92" spans="2:11" ht="16.2" thickBot="1">
      <c r="B92" s="322" t="s">
        <v>261</v>
      </c>
      <c r="C92" s="323" t="s">
        <v>332</v>
      </c>
      <c r="D92" s="323" t="s">
        <v>333</v>
      </c>
      <c r="E92" s="324" t="s">
        <v>334</v>
      </c>
    </row>
    <row r="93" spans="2:11">
      <c r="B93" s="325">
        <v>0</v>
      </c>
      <c r="C93" s="331">
        <v>26750.5</v>
      </c>
      <c r="D93" s="326">
        <v>0</v>
      </c>
      <c r="E93" s="333">
        <f>C93</f>
        <v>26750.5</v>
      </c>
    </row>
    <row r="94" spans="2:11">
      <c r="B94" s="327">
        <v>1</v>
      </c>
      <c r="C94" s="328"/>
      <c r="D94" s="331">
        <f>'ESCENARIO PESIMISTA'!D10</f>
        <v>119439.36000000002</v>
      </c>
      <c r="E94" s="333">
        <f>'ESCENARIO PESIMISTA'!D13</f>
        <v>37360</v>
      </c>
    </row>
    <row r="95" spans="2:11">
      <c r="B95" s="327">
        <v>2</v>
      </c>
      <c r="C95" s="328"/>
      <c r="D95" s="331">
        <f>'ESCENARIO PESIMISTA'!E10</f>
        <v>121927.68000000002</v>
      </c>
      <c r="E95" s="333">
        <f>'ESCENARIO PESIMISTA'!E13</f>
        <v>38762.050000000003</v>
      </c>
    </row>
    <row r="96" spans="2:11">
      <c r="B96" s="327">
        <v>3</v>
      </c>
      <c r="C96" s="328"/>
      <c r="D96" s="331">
        <f>'ESCENARIO PESIMISTA'!F10</f>
        <v>124416</v>
      </c>
      <c r="E96" s="333">
        <f>'ESCENARIO PESIMISTA'!F13</f>
        <v>40240.085500000001</v>
      </c>
    </row>
    <row r="97" spans="2:11">
      <c r="B97" s="327">
        <v>4</v>
      </c>
      <c r="C97" s="328"/>
      <c r="D97" s="331">
        <f>'ESCENARIO PESIMISTA'!G10</f>
        <v>126904.32000000001</v>
      </c>
      <c r="E97" s="333">
        <f>'ESCENARIO PESIMISTA'!G13</f>
        <v>41798.258755000003</v>
      </c>
    </row>
    <row r="98" spans="2:11" ht="16.2" thickBot="1">
      <c r="B98" s="329">
        <v>5</v>
      </c>
      <c r="C98" s="330"/>
      <c r="D98" s="332">
        <f>'ESCENARIO PESIMISTA'!H10</f>
        <v>129392.64</v>
      </c>
      <c r="E98" s="334">
        <f>'ESCENARIO PESIMISTA'!H13</f>
        <v>43440.950811549999</v>
      </c>
    </row>
    <row r="102" spans="2:11">
      <c r="B102" s="274" t="s">
        <v>335</v>
      </c>
      <c r="C102" s="277">
        <f>D94</f>
        <v>119439.36000000002</v>
      </c>
      <c r="D102" s="278" t="s">
        <v>309</v>
      </c>
      <c r="E102" s="277">
        <f>D95</f>
        <v>121927.68000000002</v>
      </c>
      <c r="F102" s="278" t="s">
        <v>309</v>
      </c>
      <c r="G102" s="277">
        <f>D96</f>
        <v>124416</v>
      </c>
      <c r="H102" s="278" t="s">
        <v>309</v>
      </c>
      <c r="I102" s="277">
        <f>D97</f>
        <v>126904.32000000001</v>
      </c>
      <c r="J102" s="278" t="s">
        <v>309</v>
      </c>
      <c r="K102" s="277">
        <f>D98</f>
        <v>129392.64</v>
      </c>
    </row>
    <row r="103" spans="2:11">
      <c r="B103" s="183"/>
      <c r="C103" s="276" t="s">
        <v>396</v>
      </c>
      <c r="D103" s="276"/>
      <c r="E103" s="276" t="s">
        <v>397</v>
      </c>
      <c r="F103" s="276"/>
      <c r="G103" s="276" t="s">
        <v>398</v>
      </c>
      <c r="H103" s="276"/>
      <c r="I103" s="276" t="s">
        <v>399</v>
      </c>
      <c r="J103" s="276"/>
      <c r="K103" s="276" t="s">
        <v>400</v>
      </c>
    </row>
    <row r="104" spans="2:11">
      <c r="B104" s="183"/>
      <c r="C104" s="183"/>
      <c r="D104" s="183"/>
      <c r="E104" s="183"/>
      <c r="F104" s="183"/>
      <c r="G104" s="183"/>
      <c r="H104" s="183"/>
      <c r="I104" s="183"/>
      <c r="J104" s="183"/>
      <c r="K104" s="183"/>
    </row>
    <row r="105" spans="2:11">
      <c r="B105" s="274" t="s">
        <v>335</v>
      </c>
      <c r="C105" s="275">
        <f>C102/((1+0.0272)^1)</f>
        <v>116276.63551401872</v>
      </c>
      <c r="D105" s="276" t="s">
        <v>309</v>
      </c>
      <c r="E105" s="275">
        <f>E102/((1+0.0272)^2)</f>
        <v>115555.94375054594</v>
      </c>
      <c r="F105" s="276" t="s">
        <v>309</v>
      </c>
      <c r="G105" s="275">
        <f>G102/((1+0.0272)^3)</f>
        <v>114791.88893777608</v>
      </c>
      <c r="H105" s="276" t="s">
        <v>309</v>
      </c>
      <c r="I105" s="275">
        <f>I102/((1+0.0272)^4)</f>
        <v>113987.27289381974</v>
      </c>
      <c r="J105" s="276" t="s">
        <v>309</v>
      </c>
      <c r="K105" s="275">
        <f>K102/((1+0.0272)^5)</f>
        <v>113144.7794590783</v>
      </c>
    </row>
    <row r="106" spans="2:11" ht="16.2" thickBot="1">
      <c r="B106" s="183"/>
      <c r="C106" s="183"/>
      <c r="D106" s="183"/>
      <c r="E106" s="183"/>
      <c r="F106" s="183"/>
      <c r="G106" s="183"/>
      <c r="H106" s="183"/>
      <c r="I106" s="183"/>
    </row>
    <row r="107" spans="2:11" ht="16.2" thickBot="1">
      <c r="B107" s="280" t="s">
        <v>335</v>
      </c>
      <c r="C107" s="281">
        <f>C105+E105+G105+I105+K105</f>
        <v>573756.52055523882</v>
      </c>
      <c r="D107" s="183"/>
      <c r="E107" s="183"/>
      <c r="F107" s="183"/>
      <c r="G107" s="183"/>
      <c r="H107" s="183"/>
      <c r="I107" s="183"/>
    </row>
    <row r="110" spans="2:11">
      <c r="B110" s="274" t="s">
        <v>336</v>
      </c>
      <c r="C110" s="277">
        <f>E94</f>
        <v>37360</v>
      </c>
      <c r="D110" s="278" t="s">
        <v>309</v>
      </c>
      <c r="E110" s="277">
        <f>E95</f>
        <v>38762.050000000003</v>
      </c>
      <c r="F110" s="278" t="s">
        <v>309</v>
      </c>
      <c r="G110" s="277">
        <f>E96</f>
        <v>40240.085500000001</v>
      </c>
      <c r="H110" s="278" t="s">
        <v>309</v>
      </c>
      <c r="I110" s="277">
        <f>E97</f>
        <v>41798.258755000003</v>
      </c>
      <c r="J110" s="278" t="s">
        <v>309</v>
      </c>
      <c r="K110" s="277">
        <f>E98</f>
        <v>43440.950811549999</v>
      </c>
    </row>
    <row r="111" spans="2:11">
      <c r="B111" s="183"/>
      <c r="C111" s="276" t="s">
        <v>396</v>
      </c>
      <c r="D111" s="276"/>
      <c r="E111" s="276" t="s">
        <v>397</v>
      </c>
      <c r="F111" s="276"/>
      <c r="G111" s="276" t="s">
        <v>398</v>
      </c>
      <c r="H111" s="276"/>
      <c r="I111" s="276" t="s">
        <v>399</v>
      </c>
      <c r="J111" s="276"/>
      <c r="K111" s="276" t="s">
        <v>400</v>
      </c>
    </row>
    <row r="112" spans="2:11">
      <c r="B112" s="183"/>
      <c r="C112" s="183"/>
      <c r="D112" s="183"/>
      <c r="E112" s="183"/>
      <c r="F112" s="183"/>
      <c r="G112" s="183"/>
      <c r="H112" s="183"/>
      <c r="I112" s="183"/>
    </row>
    <row r="113" spans="2:11">
      <c r="B113" s="274" t="s">
        <v>336</v>
      </c>
      <c r="C113" s="275">
        <f>C110/((1+0.0272)^1)</f>
        <v>36370.716510903432</v>
      </c>
      <c r="D113" s="276" t="s">
        <v>309</v>
      </c>
      <c r="E113" s="275">
        <f>E110/((1+0.0272)^2)</f>
        <v>36736.41021838395</v>
      </c>
      <c r="F113" s="276" t="s">
        <v>309</v>
      </c>
      <c r="G113" s="275">
        <f>G110/((1+0.0272)^3)</f>
        <v>37127.342347950536</v>
      </c>
      <c r="H113" s="276" t="s">
        <v>309</v>
      </c>
      <c r="I113" s="275">
        <f>I110/((1+0.0272)^4)</f>
        <v>37543.793049698193</v>
      </c>
      <c r="J113" s="276" t="s">
        <v>309</v>
      </c>
      <c r="K113" s="275">
        <f>K110/((1+0.0272)^5)</f>
        <v>37986.061642033841</v>
      </c>
    </row>
    <row r="114" spans="2:11" ht="16.2" thickBot="1">
      <c r="B114" s="183"/>
      <c r="C114" s="183"/>
      <c r="D114" s="183"/>
      <c r="E114" s="183"/>
      <c r="F114" s="183"/>
      <c r="G114" s="183"/>
      <c r="H114" s="183"/>
      <c r="I114" s="183"/>
    </row>
    <row r="115" spans="2:11" ht="16.2" thickBot="1">
      <c r="B115" s="280" t="s">
        <v>336</v>
      </c>
      <c r="C115" s="281">
        <f>+C113+E113+G113+I113+K113</f>
        <v>185764.32376896995</v>
      </c>
      <c r="D115" s="183"/>
      <c r="E115" s="183"/>
      <c r="F115" s="183"/>
      <c r="G115" s="183"/>
      <c r="H115" s="183"/>
      <c r="I115" s="183"/>
    </row>
    <row r="117" spans="2:11" ht="16.2" thickBot="1"/>
    <row r="118" spans="2:11" ht="16.2" thickBot="1">
      <c r="B118" s="338" t="s">
        <v>337</v>
      </c>
      <c r="C118" s="296">
        <f>C107</f>
        <v>573756.52055523882</v>
      </c>
    </row>
    <row r="119" spans="2:11" ht="16.2" thickBot="1">
      <c r="B119" s="338" t="s">
        <v>338</v>
      </c>
      <c r="C119" s="296">
        <f>C115</f>
        <v>185764.32376896995</v>
      </c>
    </row>
    <row r="120" spans="2:11" ht="16.2" thickBot="1">
      <c r="B120" s="338" t="s">
        <v>339</v>
      </c>
      <c r="C120" s="296">
        <f>C119+C93</f>
        <v>212514.82376896995</v>
      </c>
    </row>
    <row r="121" spans="2:11" ht="16.2" thickBot="1">
      <c r="B121" s="336" t="s">
        <v>340</v>
      </c>
      <c r="C121" s="337">
        <f>C118/(C119+C120)</f>
        <v>1.4405889037928681</v>
      </c>
    </row>
  </sheetData>
  <mergeCells count="13">
    <mergeCell ref="I76:K76"/>
    <mergeCell ref="F86:K86"/>
    <mergeCell ref="B88:C88"/>
    <mergeCell ref="F29:K29"/>
    <mergeCell ref="B32:C32"/>
    <mergeCell ref="B68:C68"/>
    <mergeCell ref="B70:B71"/>
    <mergeCell ref="C70:H70"/>
    <mergeCell ref="B2:C2"/>
    <mergeCell ref="B11:C11"/>
    <mergeCell ref="B13:B14"/>
    <mergeCell ref="C13:H13"/>
    <mergeCell ref="I19:K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showGridLines="0" workbookViewId="0">
      <selection activeCell="D10" sqref="D10"/>
    </sheetView>
  </sheetViews>
  <sheetFormatPr baseColWidth="10" defaultRowHeight="15.6"/>
  <cols>
    <col min="1" max="1" width="3.59765625" customWidth="1"/>
  </cols>
  <sheetData>
    <row r="1" spans="2:7" ht="16.2" thickBot="1"/>
    <row r="2" spans="2:7" ht="16.2" thickBot="1">
      <c r="B2" s="383" t="s">
        <v>175</v>
      </c>
      <c r="C2" s="384"/>
      <c r="D2" s="385"/>
    </row>
    <row r="3" spans="2:7" ht="16.2" thickBot="1"/>
    <row r="4" spans="2:7" ht="31.8" thickBot="1">
      <c r="B4" s="80" t="s">
        <v>47</v>
      </c>
      <c r="C4" s="80" t="s">
        <v>48</v>
      </c>
      <c r="D4" s="80" t="s">
        <v>49</v>
      </c>
      <c r="E4" s="80" t="s">
        <v>50</v>
      </c>
      <c r="F4" s="80" t="s">
        <v>51</v>
      </c>
    </row>
    <row r="5" spans="2:7">
      <c r="B5" s="81">
        <v>2026</v>
      </c>
      <c r="C5" s="90">
        <v>1728</v>
      </c>
      <c r="D5" s="90">
        <v>1152</v>
      </c>
      <c r="E5" s="93">
        <f>+C5+D5</f>
        <v>2880</v>
      </c>
      <c r="F5" s="85">
        <f>+E5/12</f>
        <v>240</v>
      </c>
    </row>
    <row r="6" spans="2:7">
      <c r="B6" s="82">
        <v>2027</v>
      </c>
      <c r="C6" s="91">
        <v>1764</v>
      </c>
      <c r="D6" s="91">
        <v>1176</v>
      </c>
      <c r="E6" s="94">
        <f>+C6+D6</f>
        <v>2940</v>
      </c>
      <c r="F6" s="87">
        <f>+E6/12</f>
        <v>245</v>
      </c>
    </row>
    <row r="7" spans="2:7">
      <c r="B7" s="82">
        <v>2028</v>
      </c>
      <c r="C7" s="91">
        <v>1800</v>
      </c>
      <c r="D7" s="91">
        <v>1200</v>
      </c>
      <c r="E7" s="94">
        <f>+C7+D7</f>
        <v>3000</v>
      </c>
      <c r="F7" s="87">
        <f t="shared" ref="F7:F9" si="0">+E7/12</f>
        <v>250</v>
      </c>
    </row>
    <row r="8" spans="2:7">
      <c r="B8" s="82">
        <v>2029</v>
      </c>
      <c r="C8" s="91">
        <v>1836</v>
      </c>
      <c r="D8" s="91">
        <v>1224</v>
      </c>
      <c r="E8" s="94">
        <f>+C8+D8</f>
        <v>3060</v>
      </c>
      <c r="F8" s="87">
        <f t="shared" si="0"/>
        <v>255</v>
      </c>
    </row>
    <row r="9" spans="2:7" ht="16.2" thickBot="1">
      <c r="B9" s="83">
        <v>2030</v>
      </c>
      <c r="C9" s="92">
        <v>1872</v>
      </c>
      <c r="D9" s="92">
        <v>1248</v>
      </c>
      <c r="E9" s="95">
        <f>+C9+D9</f>
        <v>3120</v>
      </c>
      <c r="F9" s="89">
        <f t="shared" si="0"/>
        <v>260</v>
      </c>
    </row>
    <row r="10" spans="2:7" ht="16.2" thickBot="1">
      <c r="B10" s="103" t="s">
        <v>15</v>
      </c>
      <c r="C10" s="102">
        <f>SUM(C5:C9)</f>
        <v>9000</v>
      </c>
      <c r="D10" s="102">
        <f>SUM(D5:D9)</f>
        <v>6000</v>
      </c>
      <c r="E10" s="102">
        <f>SUM(E5:E9)</f>
        <v>15000</v>
      </c>
      <c r="F10" s="102">
        <f>SUM(F5:F9)</f>
        <v>1250</v>
      </c>
    </row>
    <row r="11" spans="2:7" ht="16.2" thickBot="1"/>
    <row r="12" spans="2:7" ht="16.2" thickBot="1">
      <c r="B12" s="383" t="s">
        <v>176</v>
      </c>
      <c r="C12" s="384"/>
      <c r="D12" s="385"/>
      <c r="F12" s="15"/>
    </row>
    <row r="13" spans="2:7" ht="16.2" thickBot="1"/>
    <row r="14" spans="2:7" ht="31.8" thickBot="1">
      <c r="B14" s="80" t="s">
        <v>47</v>
      </c>
      <c r="C14" s="80" t="s">
        <v>48</v>
      </c>
      <c r="D14" s="80" t="s">
        <v>49</v>
      </c>
      <c r="E14" s="80" t="s">
        <v>50</v>
      </c>
      <c r="F14" s="81" t="s">
        <v>177</v>
      </c>
      <c r="G14" s="80" t="s">
        <v>178</v>
      </c>
    </row>
    <row r="15" spans="2:7">
      <c r="B15" s="81">
        <v>2026</v>
      </c>
      <c r="C15" s="90">
        <v>1728</v>
      </c>
      <c r="D15" s="84">
        <v>1152</v>
      </c>
      <c r="E15" s="93">
        <f>+C15+D15</f>
        <v>2880</v>
      </c>
      <c r="F15" s="96">
        <v>45</v>
      </c>
      <c r="G15" s="99">
        <f>+E15*F15</f>
        <v>129600</v>
      </c>
    </row>
    <row r="16" spans="2:7">
      <c r="B16" s="82">
        <v>2027</v>
      </c>
      <c r="C16" s="91">
        <v>1764</v>
      </c>
      <c r="D16" s="86">
        <v>1176</v>
      </c>
      <c r="E16" s="94">
        <f>+D16+C16</f>
        <v>2940</v>
      </c>
      <c r="F16" s="97">
        <v>45</v>
      </c>
      <c r="G16" s="100">
        <f>+E16*F16</f>
        <v>132300</v>
      </c>
    </row>
    <row r="17" spans="2:7">
      <c r="B17" s="82">
        <v>2028</v>
      </c>
      <c r="C17" s="91">
        <v>1800</v>
      </c>
      <c r="D17" s="86">
        <v>1200</v>
      </c>
      <c r="E17" s="94">
        <f>+C17+D17</f>
        <v>3000</v>
      </c>
      <c r="F17" s="97">
        <v>45</v>
      </c>
      <c r="G17" s="100">
        <f>+E17*F17</f>
        <v>135000</v>
      </c>
    </row>
    <row r="18" spans="2:7">
      <c r="B18" s="82">
        <v>2029</v>
      </c>
      <c r="C18" s="91">
        <v>1836</v>
      </c>
      <c r="D18" s="86">
        <v>1224</v>
      </c>
      <c r="E18" s="94">
        <f>+D18+C18</f>
        <v>3060</v>
      </c>
      <c r="F18" s="97">
        <v>45</v>
      </c>
      <c r="G18" s="100">
        <f>+E18*F18</f>
        <v>137700</v>
      </c>
    </row>
    <row r="19" spans="2:7" ht="16.2" thickBot="1">
      <c r="B19" s="83">
        <v>2030</v>
      </c>
      <c r="C19" s="92">
        <v>1872</v>
      </c>
      <c r="D19" s="88">
        <v>1248</v>
      </c>
      <c r="E19" s="95">
        <f>+D19+C19</f>
        <v>3120</v>
      </c>
      <c r="F19" s="98">
        <v>45</v>
      </c>
      <c r="G19" s="101">
        <f>+E19*F19</f>
        <v>140400</v>
      </c>
    </row>
    <row r="20" spans="2:7" ht="16.2" thickBot="1">
      <c r="B20" s="103" t="s">
        <v>15</v>
      </c>
      <c r="C20" s="102">
        <f>SUM(C15:C19)</f>
        <v>9000</v>
      </c>
      <c r="D20" s="102">
        <f>SUM(D15:D19)</f>
        <v>6000</v>
      </c>
      <c r="E20" s="102">
        <f>SUM(E15:E19)</f>
        <v>15000</v>
      </c>
      <c r="F20" s="102"/>
      <c r="G20" s="104">
        <f>SUM(G15:G19)</f>
        <v>675000</v>
      </c>
    </row>
  </sheetData>
  <mergeCells count="2">
    <mergeCell ref="B2:D2"/>
    <mergeCell ref="B12:D12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0"/>
  <sheetViews>
    <sheetView showGridLines="0" zoomScaleNormal="100" workbookViewId="0">
      <selection activeCell="N12" sqref="N12"/>
    </sheetView>
  </sheetViews>
  <sheetFormatPr baseColWidth="10" defaultRowHeight="15.6"/>
  <cols>
    <col min="1" max="1" width="3.59765625" customWidth="1"/>
    <col min="2" max="2" width="17.59765625" customWidth="1"/>
    <col min="3" max="15" width="8.59765625" customWidth="1"/>
    <col min="17" max="17" width="17.59765625" customWidth="1"/>
    <col min="19" max="31" width="11.59765625" customWidth="1"/>
  </cols>
  <sheetData>
    <row r="1" spans="2:31" ht="16.2" thickBot="1"/>
    <row r="2" spans="2:31" ht="16.2" thickBot="1">
      <c r="B2" s="383" t="s">
        <v>192</v>
      </c>
      <c r="C2" s="385"/>
    </row>
    <row r="3" spans="2:31" ht="16.2" thickBot="1"/>
    <row r="4" spans="2:31" ht="16.2" thickBot="1">
      <c r="B4" s="389" t="s">
        <v>179</v>
      </c>
      <c r="C4" s="386" t="s">
        <v>195</v>
      </c>
      <c r="D4" s="387"/>
      <c r="E4" s="387"/>
      <c r="F4" s="387"/>
      <c r="G4" s="387"/>
      <c r="H4" s="387"/>
      <c r="I4" s="387"/>
      <c r="J4" s="387"/>
      <c r="K4" s="387"/>
      <c r="L4" s="387"/>
      <c r="M4" s="387"/>
      <c r="N4" s="388"/>
      <c r="O4" s="105"/>
      <c r="Q4" s="398" t="s">
        <v>179</v>
      </c>
      <c r="R4" s="105"/>
      <c r="S4" s="387" t="s">
        <v>196</v>
      </c>
      <c r="T4" s="387"/>
      <c r="U4" s="387"/>
      <c r="V4" s="387"/>
      <c r="W4" s="387"/>
      <c r="X4" s="387"/>
      <c r="Y4" s="387"/>
      <c r="Z4" s="387"/>
      <c r="AA4" s="387"/>
      <c r="AB4" s="387"/>
      <c r="AC4" s="387"/>
      <c r="AD4" s="388"/>
      <c r="AE4" s="105"/>
    </row>
    <row r="5" spans="2:31" ht="16.2" thickBot="1">
      <c r="B5" s="390"/>
      <c r="C5" s="386">
        <v>2026</v>
      </c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  <c r="O5" s="106"/>
      <c r="Q5" s="399"/>
      <c r="R5" s="106"/>
      <c r="S5" s="387" t="s">
        <v>200</v>
      </c>
      <c r="T5" s="387"/>
      <c r="U5" s="387"/>
      <c r="V5" s="387"/>
      <c r="W5" s="387"/>
      <c r="X5" s="387"/>
      <c r="Y5" s="387"/>
      <c r="Z5" s="387"/>
      <c r="AA5" s="387"/>
      <c r="AB5" s="387"/>
      <c r="AC5" s="387"/>
      <c r="AD5" s="388"/>
      <c r="AE5" s="106"/>
    </row>
    <row r="6" spans="2:31" ht="54.9" customHeight="1" thickBot="1">
      <c r="B6" s="391"/>
      <c r="C6" s="109" t="s">
        <v>180</v>
      </c>
      <c r="D6" s="109" t="s">
        <v>181</v>
      </c>
      <c r="E6" s="109" t="s">
        <v>182</v>
      </c>
      <c r="F6" s="109" t="s">
        <v>183</v>
      </c>
      <c r="G6" s="109" t="s">
        <v>184</v>
      </c>
      <c r="H6" s="109" t="s">
        <v>185</v>
      </c>
      <c r="I6" s="109" t="s">
        <v>186</v>
      </c>
      <c r="J6" s="109" t="s">
        <v>187</v>
      </c>
      <c r="K6" s="109" t="s">
        <v>188</v>
      </c>
      <c r="L6" s="109" t="s">
        <v>189</v>
      </c>
      <c r="M6" s="109" t="s">
        <v>190</v>
      </c>
      <c r="N6" s="109" t="s">
        <v>191</v>
      </c>
      <c r="O6" s="108" t="s">
        <v>15</v>
      </c>
      <c r="Q6" s="391"/>
      <c r="R6" s="108" t="s">
        <v>177</v>
      </c>
      <c r="S6" s="107" t="s">
        <v>180</v>
      </c>
      <c r="T6" s="107" t="s">
        <v>181</v>
      </c>
      <c r="U6" s="107" t="s">
        <v>182</v>
      </c>
      <c r="V6" s="107" t="s">
        <v>183</v>
      </c>
      <c r="W6" s="107" t="s">
        <v>184</v>
      </c>
      <c r="X6" s="107" t="s">
        <v>185</v>
      </c>
      <c r="Y6" s="107" t="s">
        <v>186</v>
      </c>
      <c r="Z6" s="107" t="s">
        <v>187</v>
      </c>
      <c r="AA6" s="107" t="s">
        <v>188</v>
      </c>
      <c r="AB6" s="107" t="s">
        <v>189</v>
      </c>
      <c r="AC6" s="107" t="s">
        <v>190</v>
      </c>
      <c r="AD6" s="107" t="s">
        <v>191</v>
      </c>
      <c r="AE6" s="108" t="s">
        <v>15</v>
      </c>
    </row>
    <row r="7" spans="2:31" ht="16.2" thickBot="1">
      <c r="B7" s="110" t="s">
        <v>193</v>
      </c>
      <c r="C7" s="111">
        <v>144</v>
      </c>
      <c r="D7" s="111">
        <v>170</v>
      </c>
      <c r="E7" s="111">
        <v>148</v>
      </c>
      <c r="F7" s="111">
        <v>139</v>
      </c>
      <c r="G7" s="111">
        <v>200</v>
      </c>
      <c r="H7" s="111">
        <v>141</v>
      </c>
      <c r="I7" s="111">
        <v>146</v>
      </c>
      <c r="J7" s="111">
        <v>144</v>
      </c>
      <c r="K7" s="111">
        <v>186</v>
      </c>
      <c r="L7" s="111">
        <v>138</v>
      </c>
      <c r="M7" s="111">
        <v>145</v>
      </c>
      <c r="N7" s="111">
        <v>225</v>
      </c>
      <c r="O7" s="112">
        <f>SUM(C7:N7)</f>
        <v>1926</v>
      </c>
      <c r="Q7" s="110" t="s">
        <v>193</v>
      </c>
      <c r="R7" s="116">
        <v>45</v>
      </c>
      <c r="S7" s="117">
        <f>C7*$R$7</f>
        <v>6480</v>
      </c>
      <c r="T7" s="117">
        <f t="shared" ref="T7:AD7" si="0">D7*$R$7</f>
        <v>7650</v>
      </c>
      <c r="U7" s="117">
        <f t="shared" si="0"/>
        <v>6660</v>
      </c>
      <c r="V7" s="117">
        <f t="shared" si="0"/>
        <v>6255</v>
      </c>
      <c r="W7" s="117">
        <f t="shared" si="0"/>
        <v>9000</v>
      </c>
      <c r="X7" s="117">
        <f t="shared" si="0"/>
        <v>6345</v>
      </c>
      <c r="Y7" s="117">
        <f t="shared" si="0"/>
        <v>6570</v>
      </c>
      <c r="Z7" s="117">
        <f t="shared" si="0"/>
        <v>6480</v>
      </c>
      <c r="AA7" s="117">
        <f t="shared" si="0"/>
        <v>8370</v>
      </c>
      <c r="AB7" s="117">
        <f t="shared" si="0"/>
        <v>6210</v>
      </c>
      <c r="AC7" s="117">
        <f t="shared" si="0"/>
        <v>6525</v>
      </c>
      <c r="AD7" s="117">
        <f t="shared" si="0"/>
        <v>10125</v>
      </c>
      <c r="AE7" s="118">
        <f>SUM(S7:AD7)</f>
        <v>86670</v>
      </c>
    </row>
    <row r="8" spans="2:31" ht="27" thickBot="1">
      <c r="B8" s="110" t="s">
        <v>405</v>
      </c>
      <c r="C8" s="113">
        <v>99</v>
      </c>
      <c r="D8" s="113">
        <v>100</v>
      </c>
      <c r="E8" s="113">
        <v>98</v>
      </c>
      <c r="F8" s="113">
        <v>95</v>
      </c>
      <c r="G8" s="113">
        <v>125</v>
      </c>
      <c r="H8" s="113">
        <v>95</v>
      </c>
      <c r="I8" s="113">
        <v>92</v>
      </c>
      <c r="J8" s="113">
        <v>97</v>
      </c>
      <c r="K8" s="113">
        <v>117</v>
      </c>
      <c r="L8" s="113">
        <v>95</v>
      </c>
      <c r="M8" s="113">
        <v>98</v>
      </c>
      <c r="N8" s="113">
        <v>156</v>
      </c>
      <c r="O8" s="112">
        <f>SUM(C8:N8)</f>
        <v>1267</v>
      </c>
      <c r="Q8" s="110" t="s">
        <v>405</v>
      </c>
      <c r="R8" s="116">
        <v>45</v>
      </c>
      <c r="S8" s="116">
        <f>C8*$R$8</f>
        <v>4455</v>
      </c>
      <c r="T8" s="116">
        <f t="shared" ref="T8:AD8" si="1">D8*$R$8</f>
        <v>4500</v>
      </c>
      <c r="U8" s="116">
        <f t="shared" si="1"/>
        <v>4410</v>
      </c>
      <c r="V8" s="116">
        <f t="shared" si="1"/>
        <v>4275</v>
      </c>
      <c r="W8" s="116">
        <f t="shared" si="1"/>
        <v>5625</v>
      </c>
      <c r="X8" s="116">
        <f t="shared" si="1"/>
        <v>4275</v>
      </c>
      <c r="Y8" s="116">
        <f t="shared" si="1"/>
        <v>4140</v>
      </c>
      <c r="Z8" s="116">
        <f t="shared" si="1"/>
        <v>4365</v>
      </c>
      <c r="AA8" s="116">
        <f t="shared" si="1"/>
        <v>5265</v>
      </c>
      <c r="AB8" s="116">
        <f t="shared" si="1"/>
        <v>4275</v>
      </c>
      <c r="AC8" s="116">
        <f t="shared" si="1"/>
        <v>4410</v>
      </c>
      <c r="AD8" s="116">
        <f t="shared" si="1"/>
        <v>7020</v>
      </c>
      <c r="AE8" s="118">
        <f t="shared" ref="AE8" si="2">SUM(S8:AD8)</f>
        <v>57015</v>
      </c>
    </row>
    <row r="9" spans="2:31" ht="16.2" thickBot="1">
      <c r="B9" s="114" t="s">
        <v>15</v>
      </c>
      <c r="C9" s="115">
        <f>SUM(C7:C8)</f>
        <v>243</v>
      </c>
      <c r="D9" s="115">
        <f t="shared" ref="D9" si="3">SUM(D7:D8)</f>
        <v>270</v>
      </c>
      <c r="E9" s="115">
        <f t="shared" ref="E9" si="4">SUM(E7:E8)</f>
        <v>246</v>
      </c>
      <c r="F9" s="115">
        <f t="shared" ref="F9" si="5">SUM(F7:F8)</f>
        <v>234</v>
      </c>
      <c r="G9" s="115">
        <f t="shared" ref="G9" si="6">SUM(G7:G8)</f>
        <v>325</v>
      </c>
      <c r="H9" s="115">
        <f t="shared" ref="H9" si="7">SUM(H7:H8)</f>
        <v>236</v>
      </c>
      <c r="I9" s="115">
        <f t="shared" ref="I9" si="8">SUM(I7:I8)</f>
        <v>238</v>
      </c>
      <c r="J9" s="115">
        <f t="shared" ref="J9" si="9">SUM(J7:J8)</f>
        <v>241</v>
      </c>
      <c r="K9" s="115">
        <f t="shared" ref="K9" si="10">SUM(K7:K8)</f>
        <v>303</v>
      </c>
      <c r="L9" s="115">
        <f t="shared" ref="L9" si="11">SUM(L7:L8)</f>
        <v>233</v>
      </c>
      <c r="M9" s="115">
        <f t="shared" ref="M9" si="12">SUM(M7:M8)</f>
        <v>243</v>
      </c>
      <c r="N9" s="115">
        <f t="shared" ref="N9" si="13">SUM(N7:N8)</f>
        <v>381</v>
      </c>
      <c r="O9" s="112">
        <f>SUM(O7:O8)</f>
        <v>3193</v>
      </c>
      <c r="Q9" s="114" t="s">
        <v>15</v>
      </c>
      <c r="R9" s="118"/>
      <c r="S9" s="118">
        <f>SUM(S7:S8)</f>
        <v>10935</v>
      </c>
      <c r="T9" s="118">
        <f t="shared" ref="T9:AD9" si="14">SUM(T7:T8)</f>
        <v>12150</v>
      </c>
      <c r="U9" s="118">
        <f t="shared" si="14"/>
        <v>11070</v>
      </c>
      <c r="V9" s="118">
        <f t="shared" si="14"/>
        <v>10530</v>
      </c>
      <c r="W9" s="118">
        <f t="shared" si="14"/>
        <v>14625</v>
      </c>
      <c r="X9" s="118">
        <f t="shared" si="14"/>
        <v>10620</v>
      </c>
      <c r="Y9" s="118">
        <f t="shared" si="14"/>
        <v>10710</v>
      </c>
      <c r="Z9" s="118">
        <f t="shared" si="14"/>
        <v>10845</v>
      </c>
      <c r="AA9" s="118">
        <f t="shared" si="14"/>
        <v>13635</v>
      </c>
      <c r="AB9" s="118">
        <f t="shared" si="14"/>
        <v>10485</v>
      </c>
      <c r="AC9" s="118">
        <f t="shared" si="14"/>
        <v>10935</v>
      </c>
      <c r="AD9" s="118">
        <f t="shared" si="14"/>
        <v>17145</v>
      </c>
      <c r="AE9" s="118">
        <f>SUM(AE7:AE8)</f>
        <v>143685</v>
      </c>
    </row>
    <row r="11" spans="2:31" ht="16.2" thickBot="1"/>
    <row r="12" spans="2:31" ht="16.2" thickBot="1">
      <c r="B12" s="392" t="s">
        <v>197</v>
      </c>
      <c r="C12" s="395" t="s">
        <v>198</v>
      </c>
      <c r="D12" s="396"/>
      <c r="E12" s="396"/>
      <c r="F12" s="396"/>
      <c r="G12" s="397"/>
      <c r="H12" s="392" t="s">
        <v>15</v>
      </c>
      <c r="Q12" s="392" t="s">
        <v>197</v>
      </c>
      <c r="R12" s="392" t="s">
        <v>177</v>
      </c>
      <c r="S12" s="395" t="s">
        <v>198</v>
      </c>
      <c r="T12" s="396"/>
      <c r="U12" s="396"/>
      <c r="V12" s="396"/>
      <c r="W12" s="397"/>
      <c r="X12" s="392" t="s">
        <v>15</v>
      </c>
      <c r="AE12" s="119"/>
    </row>
    <row r="13" spans="2:31" ht="16.2" thickBot="1">
      <c r="B13" s="393"/>
      <c r="C13" s="395" t="s">
        <v>199</v>
      </c>
      <c r="D13" s="396"/>
      <c r="E13" s="396"/>
      <c r="F13" s="396"/>
      <c r="G13" s="397"/>
      <c r="H13" s="393"/>
      <c r="Q13" s="393"/>
      <c r="R13" s="393"/>
      <c r="S13" s="395" t="s">
        <v>199</v>
      </c>
      <c r="T13" s="396"/>
      <c r="U13" s="396"/>
      <c r="V13" s="396"/>
      <c r="W13" s="397"/>
      <c r="X13" s="393"/>
    </row>
    <row r="14" spans="2:31" ht="16.2" thickBot="1">
      <c r="B14" s="394"/>
      <c r="C14" s="120">
        <v>2026</v>
      </c>
      <c r="D14" s="120">
        <v>2027</v>
      </c>
      <c r="E14" s="120">
        <v>2028</v>
      </c>
      <c r="F14" s="120">
        <v>2029</v>
      </c>
      <c r="G14" s="121">
        <v>2030</v>
      </c>
      <c r="H14" s="394"/>
      <c r="Q14" s="394"/>
      <c r="R14" s="394"/>
      <c r="S14" s="120">
        <v>2026</v>
      </c>
      <c r="T14" s="120">
        <v>2027</v>
      </c>
      <c r="U14" s="120">
        <v>2028</v>
      </c>
      <c r="V14" s="120">
        <v>2029</v>
      </c>
      <c r="W14" s="121">
        <v>2030</v>
      </c>
      <c r="X14" s="394"/>
      <c r="AE14" s="119"/>
    </row>
    <row r="15" spans="2:31" ht="16.2" thickBot="1">
      <c r="B15" s="110" t="s">
        <v>193</v>
      </c>
      <c r="C15" s="122">
        <f>SUM(C7:N7)</f>
        <v>1926</v>
      </c>
      <c r="D15" s="122">
        <f>C15*1.03</f>
        <v>1983.78</v>
      </c>
      <c r="E15" s="122">
        <f t="shared" ref="E15:G15" si="15">D15*1.03</f>
        <v>2043.2934</v>
      </c>
      <c r="F15" s="122">
        <f t="shared" si="15"/>
        <v>2104.5922020000003</v>
      </c>
      <c r="G15" s="122">
        <f t="shared" si="15"/>
        <v>2167.7299680600004</v>
      </c>
      <c r="H15" s="112">
        <f>SUM(C15:G15)</f>
        <v>10225.39557006</v>
      </c>
      <c r="Q15" s="110" t="s">
        <v>193</v>
      </c>
      <c r="R15" s="116">
        <v>45</v>
      </c>
      <c r="S15" s="117">
        <f>C15*$R$15</f>
        <v>86670</v>
      </c>
      <c r="T15" s="117">
        <f t="shared" ref="T15:W15" si="16">D15*$R$15</f>
        <v>89270.1</v>
      </c>
      <c r="U15" s="117">
        <f t="shared" si="16"/>
        <v>91948.202999999994</v>
      </c>
      <c r="V15" s="117">
        <f t="shared" si="16"/>
        <v>94706.649090000006</v>
      </c>
      <c r="W15" s="117">
        <f t="shared" si="16"/>
        <v>97547.848562700019</v>
      </c>
      <c r="X15" s="118">
        <f>SUM(S15:W15)</f>
        <v>460142.80065270007</v>
      </c>
    </row>
    <row r="16" spans="2:31" ht="27" thickBot="1">
      <c r="B16" s="110" t="s">
        <v>405</v>
      </c>
      <c r="C16" s="123">
        <f>SUM(C8:N8)</f>
        <v>1267</v>
      </c>
      <c r="D16" s="123">
        <f>C16*1.03</f>
        <v>1305.01</v>
      </c>
      <c r="E16" s="123">
        <f t="shared" ref="E16:G16" si="17">D16*1.03</f>
        <v>1344.1603</v>
      </c>
      <c r="F16" s="123">
        <f t="shared" si="17"/>
        <v>1384.485109</v>
      </c>
      <c r="G16" s="123">
        <f t="shared" si="17"/>
        <v>1426.01966227</v>
      </c>
      <c r="H16" s="112">
        <f>SUM(C16:G16)</f>
        <v>6726.6750712699995</v>
      </c>
      <c r="Q16" s="110" t="s">
        <v>405</v>
      </c>
      <c r="R16" s="116">
        <v>45</v>
      </c>
      <c r="S16" s="117">
        <f>C16*$R$16</f>
        <v>57015</v>
      </c>
      <c r="T16" s="117">
        <f t="shared" ref="T16:X16" si="18">D16*$R$16</f>
        <v>58725.45</v>
      </c>
      <c r="U16" s="117">
        <f t="shared" si="18"/>
        <v>60487.213499999998</v>
      </c>
      <c r="V16" s="117">
        <f t="shared" si="18"/>
        <v>62301.829904999999</v>
      </c>
      <c r="W16" s="117">
        <f t="shared" si="18"/>
        <v>64170.884802150002</v>
      </c>
      <c r="X16" s="118">
        <f t="shared" si="18"/>
        <v>302700.37820714997</v>
      </c>
    </row>
    <row r="17" spans="2:24" ht="16.2" thickBot="1">
      <c r="B17" s="114" t="s">
        <v>15</v>
      </c>
      <c r="C17" s="112">
        <f>SUM(C15:C16)</f>
        <v>3193</v>
      </c>
      <c r="D17" s="112">
        <f>SUM(D15:D16)</f>
        <v>3288.79</v>
      </c>
      <c r="E17" s="112">
        <f t="shared" ref="D17:G17" si="19">SUM(E15:E16)</f>
        <v>3387.4537</v>
      </c>
      <c r="F17" s="112">
        <f t="shared" si="19"/>
        <v>3489.077311</v>
      </c>
      <c r="G17" s="112">
        <f t="shared" si="19"/>
        <v>3593.7496303300004</v>
      </c>
      <c r="H17" s="112">
        <f>SUM(H15:H16)</f>
        <v>16952.070641329999</v>
      </c>
      <c r="Q17" s="114" t="s">
        <v>15</v>
      </c>
      <c r="R17" s="118"/>
      <c r="S17" s="118">
        <f>SUM(S15:S16)</f>
        <v>143685</v>
      </c>
      <c r="T17" s="118">
        <f t="shared" ref="T17" si="20">SUM(T15:T16)</f>
        <v>147995.54999999999</v>
      </c>
      <c r="U17" s="118">
        <f t="shared" ref="U17" si="21">SUM(U15:U16)</f>
        <v>152435.41649999999</v>
      </c>
      <c r="V17" s="118">
        <f t="shared" ref="V17" si="22">SUM(V15:V16)</f>
        <v>157008.47899500001</v>
      </c>
      <c r="W17" s="118">
        <f t="shared" ref="W17" si="23">SUM(W15:W16)</f>
        <v>161718.73336485002</v>
      </c>
      <c r="X17" s="118">
        <f>SUM(X15:X16)</f>
        <v>762843.17885985004</v>
      </c>
    </row>
    <row r="20" spans="2:24">
      <c r="B20" t="s">
        <v>406</v>
      </c>
      <c r="G20" s="447">
        <v>0.03</v>
      </c>
    </row>
  </sheetData>
  <mergeCells count="16">
    <mergeCell ref="Q12:Q14"/>
    <mergeCell ref="X12:X14"/>
    <mergeCell ref="S13:W13"/>
    <mergeCell ref="Q4:Q6"/>
    <mergeCell ref="S4:AD4"/>
    <mergeCell ref="S5:AD5"/>
    <mergeCell ref="R12:R14"/>
    <mergeCell ref="S12:W12"/>
    <mergeCell ref="C4:N4"/>
    <mergeCell ref="B4:B6"/>
    <mergeCell ref="C5:N5"/>
    <mergeCell ref="B2:C2"/>
    <mergeCell ref="B12:B14"/>
    <mergeCell ref="C12:G12"/>
    <mergeCell ref="H12:H14"/>
    <mergeCell ref="C13:G1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4"/>
  <sheetViews>
    <sheetView showGridLines="0" zoomScale="90" zoomScaleNormal="90" workbookViewId="0">
      <selection activeCell="F105" sqref="F105"/>
    </sheetView>
  </sheetViews>
  <sheetFormatPr baseColWidth="10" defaultRowHeight="15.6"/>
  <cols>
    <col min="1" max="1" width="3.59765625" customWidth="1"/>
    <col min="2" max="2" width="29" customWidth="1"/>
    <col min="3" max="3" width="13" customWidth="1"/>
    <col min="5" max="5" width="12.3984375" customWidth="1"/>
  </cols>
  <sheetData>
    <row r="1" spans="2:6" ht="16.2" thickBot="1"/>
    <row r="2" spans="2:6" ht="16.2" thickBot="1">
      <c r="B2" s="383" t="s">
        <v>213</v>
      </c>
      <c r="C2" s="385"/>
    </row>
    <row r="3" spans="2:6" ht="16.2" thickBot="1"/>
    <row r="4" spans="2:6">
      <c r="B4" s="400" t="s">
        <v>13</v>
      </c>
      <c r="C4" s="400" t="s">
        <v>53</v>
      </c>
      <c r="D4" s="400" t="s">
        <v>1</v>
      </c>
      <c r="E4" s="400" t="s">
        <v>2</v>
      </c>
      <c r="F4" s="400" t="s">
        <v>54</v>
      </c>
    </row>
    <row r="5" spans="2:6" ht="16.2" thickBot="1">
      <c r="B5" s="401"/>
      <c r="C5" s="401"/>
      <c r="D5" s="401"/>
      <c r="E5" s="401"/>
      <c r="F5" s="401"/>
    </row>
    <row r="6" spans="2:6">
      <c r="B6" s="126" t="s">
        <v>205</v>
      </c>
      <c r="C6" s="129" t="s">
        <v>201</v>
      </c>
      <c r="D6" s="137">
        <v>1200</v>
      </c>
      <c r="E6" s="132">
        <v>5</v>
      </c>
      <c r="F6" s="132">
        <f t="shared" ref="F6:F14" si="0">+D6*E6</f>
        <v>6000</v>
      </c>
    </row>
    <row r="7" spans="2:6">
      <c r="B7" s="127" t="s">
        <v>206</v>
      </c>
      <c r="C7" s="130" t="s">
        <v>202</v>
      </c>
      <c r="D7" s="131">
        <v>500</v>
      </c>
      <c r="E7" s="133">
        <v>3.5</v>
      </c>
      <c r="F7" s="133">
        <f t="shared" si="0"/>
        <v>1750</v>
      </c>
    </row>
    <row r="8" spans="2:6">
      <c r="B8" s="127" t="s">
        <v>207</v>
      </c>
      <c r="C8" s="130" t="s">
        <v>203</v>
      </c>
      <c r="D8" s="131">
        <v>500</v>
      </c>
      <c r="E8" s="133">
        <v>1.5</v>
      </c>
      <c r="F8" s="133">
        <f t="shared" si="0"/>
        <v>750</v>
      </c>
    </row>
    <row r="9" spans="2:6">
      <c r="B9" s="127" t="s">
        <v>208</v>
      </c>
      <c r="C9" s="130" t="s">
        <v>203</v>
      </c>
      <c r="D9" s="131">
        <v>500</v>
      </c>
      <c r="E9" s="133">
        <v>3.5</v>
      </c>
      <c r="F9" s="133">
        <f t="shared" si="0"/>
        <v>1750</v>
      </c>
    </row>
    <row r="10" spans="2:6">
      <c r="B10" s="127" t="s">
        <v>209</v>
      </c>
      <c r="C10" s="130" t="s">
        <v>203</v>
      </c>
      <c r="D10" s="131">
        <v>300</v>
      </c>
      <c r="E10" s="133">
        <v>2.5</v>
      </c>
      <c r="F10" s="133">
        <f t="shared" si="0"/>
        <v>750</v>
      </c>
    </row>
    <row r="11" spans="2:6">
      <c r="B11" s="127" t="s">
        <v>204</v>
      </c>
      <c r="C11" s="130" t="s">
        <v>211</v>
      </c>
      <c r="D11" s="131">
        <v>350</v>
      </c>
      <c r="E11" s="133">
        <v>4</v>
      </c>
      <c r="F11" s="133">
        <f t="shared" si="0"/>
        <v>1400</v>
      </c>
    </row>
    <row r="12" spans="2:6">
      <c r="B12" s="127" t="s">
        <v>210</v>
      </c>
      <c r="C12" s="130" t="s">
        <v>212</v>
      </c>
      <c r="D12" s="131">
        <v>10000</v>
      </c>
      <c r="E12" s="133">
        <v>0.15</v>
      </c>
      <c r="F12" s="133">
        <f t="shared" si="0"/>
        <v>1500</v>
      </c>
    </row>
    <row r="13" spans="2:6">
      <c r="B13" s="143" t="s">
        <v>226</v>
      </c>
      <c r="C13" s="130" t="s">
        <v>78</v>
      </c>
      <c r="D13" s="131">
        <v>8000</v>
      </c>
      <c r="E13" s="133">
        <v>0.1</v>
      </c>
      <c r="F13" s="133">
        <f t="shared" si="0"/>
        <v>800</v>
      </c>
    </row>
    <row r="14" spans="2:6" ht="16.2" thickBot="1">
      <c r="B14" s="144" t="s">
        <v>227</v>
      </c>
      <c r="C14" s="130" t="s">
        <v>228</v>
      </c>
      <c r="D14" s="131">
        <v>200</v>
      </c>
      <c r="E14" s="133">
        <v>2.5</v>
      </c>
      <c r="F14" s="133">
        <f t="shared" si="0"/>
        <v>500</v>
      </c>
    </row>
    <row r="15" spans="2:6" ht="16.2" thickBot="1">
      <c r="B15" s="155" t="s">
        <v>71</v>
      </c>
      <c r="C15" s="377"/>
      <c r="D15" s="377"/>
      <c r="E15" s="377"/>
      <c r="F15" s="136">
        <f>SUM(F6:F14)</f>
        <v>15200</v>
      </c>
    </row>
    <row r="16" spans="2:6" ht="16.2" thickBot="1"/>
    <row r="17" spans="2:6" ht="16.2" thickBot="1">
      <c r="B17" s="383" t="s">
        <v>214</v>
      </c>
      <c r="C17" s="385"/>
    </row>
    <row r="18" spans="2:6" ht="16.2" thickBot="1"/>
    <row r="19" spans="2:6" ht="31.2">
      <c r="B19" s="124" t="s">
        <v>13</v>
      </c>
      <c r="C19" s="124" t="s">
        <v>53</v>
      </c>
      <c r="D19" s="124" t="s">
        <v>1</v>
      </c>
      <c r="E19" s="124" t="s">
        <v>2</v>
      </c>
      <c r="F19" s="124" t="s">
        <v>54</v>
      </c>
    </row>
    <row r="20" spans="2:6" ht="16.2" thickBot="1">
      <c r="B20" s="125"/>
      <c r="C20" s="125"/>
      <c r="D20" s="125"/>
      <c r="E20" s="125"/>
      <c r="F20" s="125"/>
    </row>
    <row r="21" spans="2:6">
      <c r="B21" s="127" t="s">
        <v>215</v>
      </c>
      <c r="C21" s="130" t="s">
        <v>220</v>
      </c>
      <c r="D21" s="131">
        <v>200</v>
      </c>
      <c r="E21" s="133">
        <v>7</v>
      </c>
      <c r="F21" s="133">
        <f>+D21*E21</f>
        <v>1400</v>
      </c>
    </row>
    <row r="22" spans="2:6">
      <c r="B22" s="127" t="s">
        <v>222</v>
      </c>
      <c r="C22" s="130" t="s">
        <v>203</v>
      </c>
      <c r="D22" s="131">
        <v>100</v>
      </c>
      <c r="E22" s="133">
        <v>12</v>
      </c>
      <c r="F22" s="133">
        <f>+D22*E22</f>
        <v>1200</v>
      </c>
    </row>
    <row r="23" spans="2:6">
      <c r="B23" s="127" t="s">
        <v>216</v>
      </c>
      <c r="C23" s="130" t="s">
        <v>221</v>
      </c>
      <c r="D23" s="131">
        <v>90</v>
      </c>
      <c r="E23" s="133">
        <v>10</v>
      </c>
      <c r="F23" s="133">
        <f t="shared" ref="F23:F26" si="1">+D23*E23</f>
        <v>900</v>
      </c>
    </row>
    <row r="24" spans="2:6">
      <c r="B24" s="127" t="s">
        <v>217</v>
      </c>
      <c r="C24" s="130" t="s">
        <v>221</v>
      </c>
      <c r="D24" s="131">
        <v>100</v>
      </c>
      <c r="E24" s="133">
        <v>15</v>
      </c>
      <c r="F24" s="133">
        <f t="shared" si="1"/>
        <v>1500</v>
      </c>
    </row>
    <row r="25" spans="2:6">
      <c r="B25" s="127" t="s">
        <v>218</v>
      </c>
      <c r="C25" s="130" t="s">
        <v>78</v>
      </c>
      <c r="D25" s="131">
        <v>6000</v>
      </c>
      <c r="E25" s="133">
        <v>0.75</v>
      </c>
      <c r="F25" s="133">
        <f t="shared" si="1"/>
        <v>4500</v>
      </c>
    </row>
    <row r="26" spans="2:6" ht="16.2" thickBot="1">
      <c r="B26" s="127" t="s">
        <v>219</v>
      </c>
      <c r="C26" s="130" t="s">
        <v>78</v>
      </c>
      <c r="D26" s="131">
        <v>6000</v>
      </c>
      <c r="E26" s="133">
        <v>1</v>
      </c>
      <c r="F26" s="133">
        <f t="shared" si="1"/>
        <v>6000</v>
      </c>
    </row>
    <row r="27" spans="2:6" ht="16.2" thickBot="1">
      <c r="B27" s="155" t="s">
        <v>71</v>
      </c>
      <c r="C27" s="78"/>
      <c r="D27" s="79"/>
      <c r="E27" s="145"/>
      <c r="F27" s="136">
        <f>SUM(F20:F26)</f>
        <v>15500</v>
      </c>
    </row>
    <row r="28" spans="2:6" ht="16.2" thickBot="1"/>
    <row r="29" spans="2:6" ht="16.2" thickBot="1">
      <c r="B29" s="383" t="s">
        <v>72</v>
      </c>
      <c r="C29" s="385"/>
    </row>
    <row r="30" spans="2:6" ht="16.2" thickBot="1"/>
    <row r="31" spans="2:6" ht="31.2">
      <c r="B31" s="124" t="s">
        <v>13</v>
      </c>
      <c r="C31" s="124" t="s">
        <v>73</v>
      </c>
      <c r="D31" s="124" t="s">
        <v>74</v>
      </c>
      <c r="E31" s="124" t="s">
        <v>75</v>
      </c>
    </row>
    <row r="32" spans="2:6" ht="16.2" thickBot="1">
      <c r="B32" s="125"/>
      <c r="C32" s="125"/>
      <c r="D32" s="125"/>
      <c r="E32" s="125"/>
    </row>
    <row r="33" spans="2:10" ht="16.2" thickBot="1">
      <c r="B33" s="138" t="s">
        <v>407</v>
      </c>
      <c r="C33" s="139">
        <v>2</v>
      </c>
      <c r="D33" s="141">
        <f>470*C33</f>
        <v>940</v>
      </c>
      <c r="E33" s="141">
        <f>D33*12</f>
        <v>11280</v>
      </c>
    </row>
    <row r="34" spans="2:10" ht="16.2" thickBot="1">
      <c r="B34" s="155" t="s">
        <v>15</v>
      </c>
      <c r="C34" s="34"/>
      <c r="D34" s="140">
        <f>D33</f>
        <v>940</v>
      </c>
      <c r="E34" s="140">
        <f>E33</f>
        <v>11280</v>
      </c>
    </row>
    <row r="35" spans="2:10" ht="16.2" thickBot="1"/>
    <row r="36" spans="2:10" ht="16.2" thickBot="1">
      <c r="B36" s="383" t="s">
        <v>224</v>
      </c>
      <c r="C36" s="385"/>
    </row>
    <row r="37" spans="2:10" ht="16.2" thickBot="1"/>
    <row r="38" spans="2:10" ht="31.5" customHeight="1">
      <c r="B38" s="378" t="s">
        <v>225</v>
      </c>
      <c r="C38" s="374"/>
    </row>
    <row r="39" spans="2:10" ht="16.2" thickBot="1">
      <c r="B39" s="402"/>
      <c r="C39" s="375"/>
    </row>
    <row r="40" spans="2:10">
      <c r="B40" s="60" t="s">
        <v>121</v>
      </c>
      <c r="C40" s="132">
        <f>F15</f>
        <v>15200</v>
      </c>
    </row>
    <row r="41" spans="2:10">
      <c r="B41" s="61" t="s">
        <v>122</v>
      </c>
      <c r="C41" s="133">
        <f>F27</f>
        <v>15500</v>
      </c>
    </row>
    <row r="42" spans="2:10" ht="16.2" thickBot="1">
      <c r="B42" s="55" t="s">
        <v>123</v>
      </c>
      <c r="C42" s="134">
        <f>E34</f>
        <v>11280</v>
      </c>
    </row>
    <row r="43" spans="2:10" ht="16.2" thickBot="1">
      <c r="B43" s="103" t="s">
        <v>15</v>
      </c>
      <c r="C43" s="142">
        <f>SUM(C40:C42)</f>
        <v>41980</v>
      </c>
    </row>
    <row r="44" spans="2:10" ht="16.2" thickBot="1"/>
    <row r="45" spans="2:10" ht="16.2" thickBot="1">
      <c r="B45" s="383" t="s">
        <v>117</v>
      </c>
      <c r="C45" s="385"/>
    </row>
    <row r="46" spans="2:10" ht="16.2" thickBot="1"/>
    <row r="47" spans="2:10" ht="31.8" thickBot="1">
      <c r="B47" s="146" t="s">
        <v>229</v>
      </c>
      <c r="C47" s="146" t="s">
        <v>1</v>
      </c>
      <c r="D47" s="146" t="s">
        <v>2</v>
      </c>
      <c r="E47" s="146" t="s">
        <v>234</v>
      </c>
      <c r="F47" s="146" t="s">
        <v>235</v>
      </c>
      <c r="G47" s="452" t="s">
        <v>114</v>
      </c>
      <c r="H47" s="146" t="s">
        <v>15</v>
      </c>
    </row>
    <row r="48" spans="2:10">
      <c r="B48" s="147" t="s">
        <v>236</v>
      </c>
      <c r="C48" s="149">
        <v>1</v>
      </c>
      <c r="D48" s="132">
        <v>1800</v>
      </c>
      <c r="E48" s="132">
        <v>1800</v>
      </c>
      <c r="F48" s="448">
        <v>10</v>
      </c>
      <c r="G48" s="453">
        <f>E48/F48</f>
        <v>180</v>
      </c>
      <c r="H48" s="449">
        <f>+E48-G48</f>
        <v>1620</v>
      </c>
      <c r="J48" s="119"/>
    </row>
    <row r="49" spans="2:10">
      <c r="B49" s="148" t="s">
        <v>237</v>
      </c>
      <c r="C49" s="131">
        <v>1</v>
      </c>
      <c r="D49" s="133">
        <v>2200</v>
      </c>
      <c r="E49" s="133">
        <v>2200</v>
      </c>
      <c r="F49" s="313">
        <v>10</v>
      </c>
      <c r="G49" s="454">
        <f t="shared" ref="G49:G64" si="2">E49/F49</f>
        <v>220</v>
      </c>
      <c r="H49" s="450">
        <f t="shared" ref="H49:H64" si="3">+E49-G49</f>
        <v>1980</v>
      </c>
      <c r="J49" s="119"/>
    </row>
    <row r="50" spans="2:10">
      <c r="B50" s="148" t="s">
        <v>238</v>
      </c>
      <c r="C50" s="131">
        <v>1</v>
      </c>
      <c r="D50" s="133">
        <v>1300</v>
      </c>
      <c r="E50" s="133">
        <v>1300</v>
      </c>
      <c r="F50" s="313">
        <v>8</v>
      </c>
      <c r="G50" s="454">
        <f t="shared" si="2"/>
        <v>162.5</v>
      </c>
      <c r="H50" s="450">
        <f t="shared" si="3"/>
        <v>1137.5</v>
      </c>
      <c r="J50" s="119"/>
    </row>
    <row r="51" spans="2:10">
      <c r="B51" s="148" t="s">
        <v>239</v>
      </c>
      <c r="C51" s="131">
        <v>1</v>
      </c>
      <c r="D51" s="133">
        <v>500</v>
      </c>
      <c r="E51" s="133">
        <v>500</v>
      </c>
      <c r="F51" s="313">
        <v>8</v>
      </c>
      <c r="G51" s="454">
        <f t="shared" si="2"/>
        <v>62.5</v>
      </c>
      <c r="H51" s="450">
        <f t="shared" si="3"/>
        <v>437.5</v>
      </c>
      <c r="J51" s="119"/>
    </row>
    <row r="52" spans="2:10">
      <c r="B52" s="148" t="s">
        <v>240</v>
      </c>
      <c r="C52" s="131">
        <v>1</v>
      </c>
      <c r="D52" s="133">
        <v>1000</v>
      </c>
      <c r="E52" s="133">
        <v>1000</v>
      </c>
      <c r="F52" s="313">
        <v>10</v>
      </c>
      <c r="G52" s="454">
        <f t="shared" si="2"/>
        <v>100</v>
      </c>
      <c r="H52" s="450">
        <f t="shared" si="3"/>
        <v>900</v>
      </c>
      <c r="J52" s="119"/>
    </row>
    <row r="53" spans="2:10" ht="15.75" customHeight="1">
      <c r="B53" s="148" t="s">
        <v>230</v>
      </c>
      <c r="C53" s="131">
        <v>2</v>
      </c>
      <c r="D53" s="133">
        <v>70</v>
      </c>
      <c r="E53" s="133">
        <v>140</v>
      </c>
      <c r="F53" s="313">
        <v>5</v>
      </c>
      <c r="G53" s="454">
        <f t="shared" si="2"/>
        <v>28</v>
      </c>
      <c r="H53" s="450">
        <f t="shared" si="3"/>
        <v>112</v>
      </c>
      <c r="J53" s="119"/>
    </row>
    <row r="54" spans="2:10">
      <c r="B54" s="148" t="s">
        <v>241</v>
      </c>
      <c r="C54" s="131">
        <v>1</v>
      </c>
      <c r="D54" s="133">
        <v>350</v>
      </c>
      <c r="E54" s="133">
        <v>350</v>
      </c>
      <c r="F54" s="313">
        <v>10</v>
      </c>
      <c r="G54" s="454">
        <f t="shared" si="2"/>
        <v>35</v>
      </c>
      <c r="H54" s="450">
        <f t="shared" si="3"/>
        <v>315</v>
      </c>
      <c r="J54" s="119"/>
    </row>
    <row r="55" spans="2:10">
      <c r="B55" s="148" t="s">
        <v>231</v>
      </c>
      <c r="C55" s="131">
        <v>2</v>
      </c>
      <c r="D55" s="133">
        <v>180</v>
      </c>
      <c r="E55" s="133">
        <v>360</v>
      </c>
      <c r="F55" s="313">
        <v>8</v>
      </c>
      <c r="G55" s="454">
        <f t="shared" si="2"/>
        <v>45</v>
      </c>
      <c r="H55" s="450">
        <f t="shared" si="3"/>
        <v>315</v>
      </c>
      <c r="J55" s="119"/>
    </row>
    <row r="56" spans="2:10">
      <c r="B56" s="148" t="s">
        <v>232</v>
      </c>
      <c r="C56" s="131">
        <v>3</v>
      </c>
      <c r="D56" s="133">
        <v>150</v>
      </c>
      <c r="E56" s="133">
        <v>450</v>
      </c>
      <c r="F56" s="313">
        <v>10</v>
      </c>
      <c r="G56" s="454">
        <f t="shared" si="2"/>
        <v>45</v>
      </c>
      <c r="H56" s="450">
        <f t="shared" si="3"/>
        <v>405</v>
      </c>
      <c r="J56" s="119"/>
    </row>
    <row r="57" spans="2:10">
      <c r="B57" s="148" t="s">
        <v>242</v>
      </c>
      <c r="C57" s="131">
        <v>2</v>
      </c>
      <c r="D57" s="133">
        <v>350</v>
      </c>
      <c r="E57" s="133">
        <v>700</v>
      </c>
      <c r="F57" s="313">
        <v>8</v>
      </c>
      <c r="G57" s="454">
        <f t="shared" si="2"/>
        <v>87.5</v>
      </c>
      <c r="H57" s="450">
        <f t="shared" si="3"/>
        <v>612.5</v>
      </c>
      <c r="J57" s="119"/>
    </row>
    <row r="58" spans="2:10">
      <c r="B58" s="148" t="s">
        <v>233</v>
      </c>
      <c r="C58" s="131">
        <v>2</v>
      </c>
      <c r="D58" s="133">
        <v>225</v>
      </c>
      <c r="E58" s="133">
        <v>450</v>
      </c>
      <c r="F58" s="313">
        <v>10</v>
      </c>
      <c r="G58" s="454">
        <f t="shared" si="2"/>
        <v>45</v>
      </c>
      <c r="H58" s="450">
        <f t="shared" si="3"/>
        <v>405</v>
      </c>
      <c r="J58" s="119"/>
    </row>
    <row r="59" spans="2:10">
      <c r="B59" s="127" t="s">
        <v>18</v>
      </c>
      <c r="C59" s="130">
        <v>5</v>
      </c>
      <c r="D59" s="150">
        <v>150</v>
      </c>
      <c r="E59" s="150">
        <v>750</v>
      </c>
      <c r="F59" s="314">
        <v>10</v>
      </c>
      <c r="G59" s="454">
        <f t="shared" si="2"/>
        <v>75</v>
      </c>
      <c r="H59" s="451">
        <f t="shared" si="3"/>
        <v>675</v>
      </c>
      <c r="J59" s="119"/>
    </row>
    <row r="60" spans="2:10">
      <c r="B60" s="127" t="s">
        <v>19</v>
      </c>
      <c r="C60" s="130">
        <v>10</v>
      </c>
      <c r="D60" s="150">
        <v>50</v>
      </c>
      <c r="E60" s="150">
        <v>500</v>
      </c>
      <c r="F60" s="314">
        <v>10</v>
      </c>
      <c r="G60" s="454">
        <f t="shared" si="2"/>
        <v>50</v>
      </c>
      <c r="H60" s="451">
        <f t="shared" si="3"/>
        <v>450</v>
      </c>
      <c r="J60" s="119"/>
    </row>
    <row r="61" spans="2:10">
      <c r="B61" s="127" t="s">
        <v>21</v>
      </c>
      <c r="C61" s="130">
        <v>2</v>
      </c>
      <c r="D61" s="150">
        <v>250</v>
      </c>
      <c r="E61" s="150">
        <v>500</v>
      </c>
      <c r="F61" s="314">
        <v>10</v>
      </c>
      <c r="G61" s="454">
        <f t="shared" si="2"/>
        <v>50</v>
      </c>
      <c r="H61" s="451">
        <f t="shared" si="3"/>
        <v>450</v>
      </c>
      <c r="J61" s="119"/>
    </row>
    <row r="62" spans="2:10">
      <c r="B62" s="127" t="s">
        <v>115</v>
      </c>
      <c r="C62" s="130">
        <v>5</v>
      </c>
      <c r="D62" s="150">
        <v>900</v>
      </c>
      <c r="E62" s="150">
        <v>4500</v>
      </c>
      <c r="F62" s="314">
        <v>3</v>
      </c>
      <c r="G62" s="454">
        <f t="shared" si="2"/>
        <v>1500</v>
      </c>
      <c r="H62" s="451">
        <f t="shared" si="3"/>
        <v>3000</v>
      </c>
      <c r="J62" s="119"/>
    </row>
    <row r="63" spans="2:10">
      <c r="B63" s="127" t="s">
        <v>136</v>
      </c>
      <c r="C63" s="130">
        <v>4</v>
      </c>
      <c r="D63" s="150">
        <v>150</v>
      </c>
      <c r="E63" s="150">
        <v>600</v>
      </c>
      <c r="F63" s="314">
        <v>5</v>
      </c>
      <c r="G63" s="454">
        <f t="shared" si="2"/>
        <v>120</v>
      </c>
      <c r="H63" s="451">
        <f t="shared" si="3"/>
        <v>480</v>
      </c>
      <c r="J63" s="119"/>
    </row>
    <row r="64" spans="2:10" ht="16.2" thickBot="1">
      <c r="B64" s="143" t="s">
        <v>243</v>
      </c>
      <c r="C64" s="130">
        <v>2</v>
      </c>
      <c r="D64" s="150">
        <v>500</v>
      </c>
      <c r="E64" s="150">
        <v>1000</v>
      </c>
      <c r="F64" s="314">
        <v>5</v>
      </c>
      <c r="G64" s="454">
        <f t="shared" si="2"/>
        <v>200</v>
      </c>
      <c r="H64" s="451">
        <f t="shared" si="3"/>
        <v>800</v>
      </c>
      <c r="J64" s="119"/>
    </row>
    <row r="65" spans="2:10" ht="16.2" thickBot="1">
      <c r="B65" s="154" t="s">
        <v>15</v>
      </c>
      <c r="C65" s="152"/>
      <c r="D65" s="153"/>
      <c r="E65" s="151">
        <f>SUM(E48:E64)</f>
        <v>17100</v>
      </c>
      <c r="F65" s="152"/>
      <c r="G65" s="455">
        <f>SUM(G48:G64)</f>
        <v>3005.5</v>
      </c>
      <c r="H65" s="151">
        <f>SUM(H48:H64)</f>
        <v>14094.5</v>
      </c>
      <c r="J65" s="119"/>
    </row>
    <row r="66" spans="2:10" ht="16.2" thickBot="1"/>
    <row r="67" spans="2:10" ht="15.75" customHeight="1" thickBot="1">
      <c r="B67" s="383" t="s">
        <v>118</v>
      </c>
      <c r="C67" s="385"/>
    </row>
    <row r="68" spans="2:10" ht="16.2" thickBot="1"/>
    <row r="69" spans="2:10" ht="16.2" thickBot="1">
      <c r="B69" s="400" t="s">
        <v>13</v>
      </c>
      <c r="C69" s="403" t="s">
        <v>14</v>
      </c>
      <c r="D69" s="404"/>
      <c r="E69" s="404"/>
      <c r="F69" s="404"/>
      <c r="G69" s="405"/>
    </row>
    <row r="70" spans="2:10" ht="16.2" thickBot="1">
      <c r="B70" s="401"/>
      <c r="C70" s="155">
        <v>1</v>
      </c>
      <c r="D70" s="155">
        <v>2</v>
      </c>
      <c r="E70" s="155">
        <v>3</v>
      </c>
      <c r="F70" s="155">
        <v>4</v>
      </c>
      <c r="G70" s="155">
        <v>5</v>
      </c>
    </row>
    <row r="71" spans="2:10">
      <c r="B71" s="147" t="s">
        <v>236</v>
      </c>
      <c r="C71" s="132">
        <v>200</v>
      </c>
      <c r="D71" s="132">
        <f>$C$71</f>
        <v>200</v>
      </c>
      <c r="E71" s="132">
        <f t="shared" ref="E71:G71" si="4">$C$71</f>
        <v>200</v>
      </c>
      <c r="F71" s="132">
        <f t="shared" si="4"/>
        <v>200</v>
      </c>
      <c r="G71" s="132">
        <f t="shared" si="4"/>
        <v>200</v>
      </c>
    </row>
    <row r="72" spans="2:10">
      <c r="B72" s="148" t="s">
        <v>237</v>
      </c>
      <c r="C72" s="133">
        <v>120</v>
      </c>
      <c r="D72" s="133">
        <v>120</v>
      </c>
      <c r="E72" s="133">
        <v>120</v>
      </c>
      <c r="F72" s="133">
        <v>120</v>
      </c>
      <c r="G72" s="133">
        <v>120</v>
      </c>
    </row>
    <row r="73" spans="2:10">
      <c r="B73" s="148" t="s">
        <v>238</v>
      </c>
      <c r="C73" s="133">
        <v>180</v>
      </c>
      <c r="D73" s="133">
        <f>C73</f>
        <v>180</v>
      </c>
      <c r="E73" s="133">
        <f t="shared" ref="E73:G73" si="5">D73</f>
        <v>180</v>
      </c>
      <c r="F73" s="133">
        <f t="shared" si="5"/>
        <v>180</v>
      </c>
      <c r="G73" s="133">
        <f t="shared" si="5"/>
        <v>180</v>
      </c>
    </row>
    <row r="74" spans="2:10">
      <c r="B74" s="148" t="s">
        <v>239</v>
      </c>
      <c r="C74" s="133">
        <v>60</v>
      </c>
      <c r="D74" s="133">
        <f t="shared" ref="D74:G83" si="6">C74</f>
        <v>60</v>
      </c>
      <c r="E74" s="133">
        <f t="shared" si="6"/>
        <v>60</v>
      </c>
      <c r="F74" s="133">
        <f t="shared" si="6"/>
        <v>60</v>
      </c>
      <c r="G74" s="133">
        <f t="shared" si="6"/>
        <v>60</v>
      </c>
    </row>
    <row r="75" spans="2:10">
      <c r="B75" s="148" t="s">
        <v>240</v>
      </c>
      <c r="C75" s="133">
        <v>80</v>
      </c>
      <c r="D75" s="133">
        <f t="shared" si="6"/>
        <v>80</v>
      </c>
      <c r="E75" s="133">
        <f t="shared" si="6"/>
        <v>80</v>
      </c>
      <c r="F75" s="133">
        <f t="shared" si="6"/>
        <v>80</v>
      </c>
      <c r="G75" s="133">
        <f t="shared" si="6"/>
        <v>80</v>
      </c>
    </row>
    <row r="76" spans="2:10">
      <c r="B76" s="148" t="s">
        <v>230</v>
      </c>
      <c r="C76" s="133">
        <v>20</v>
      </c>
      <c r="D76" s="133">
        <f t="shared" si="6"/>
        <v>20</v>
      </c>
      <c r="E76" s="133">
        <f t="shared" si="6"/>
        <v>20</v>
      </c>
      <c r="F76" s="133">
        <f t="shared" si="6"/>
        <v>20</v>
      </c>
      <c r="G76" s="133">
        <f t="shared" si="6"/>
        <v>20</v>
      </c>
    </row>
    <row r="77" spans="2:10">
      <c r="B77" s="148" t="s">
        <v>241</v>
      </c>
      <c r="C77" s="133">
        <v>240</v>
      </c>
      <c r="D77" s="133">
        <f t="shared" si="6"/>
        <v>240</v>
      </c>
      <c r="E77" s="133">
        <f t="shared" si="6"/>
        <v>240</v>
      </c>
      <c r="F77" s="133">
        <f t="shared" si="6"/>
        <v>240</v>
      </c>
      <c r="G77" s="133">
        <f t="shared" si="6"/>
        <v>240</v>
      </c>
    </row>
    <row r="78" spans="2:10">
      <c r="B78" s="148" t="s">
        <v>231</v>
      </c>
      <c r="C78" s="133">
        <v>80</v>
      </c>
      <c r="D78" s="133">
        <f t="shared" si="6"/>
        <v>80</v>
      </c>
      <c r="E78" s="133">
        <f t="shared" si="6"/>
        <v>80</v>
      </c>
      <c r="F78" s="133">
        <f t="shared" si="6"/>
        <v>80</v>
      </c>
      <c r="G78" s="133">
        <f t="shared" si="6"/>
        <v>80</v>
      </c>
    </row>
    <row r="79" spans="2:10">
      <c r="B79" s="148" t="s">
        <v>232</v>
      </c>
      <c r="C79" s="133">
        <v>20</v>
      </c>
      <c r="D79" s="133">
        <f t="shared" si="6"/>
        <v>20</v>
      </c>
      <c r="E79" s="133">
        <f t="shared" si="6"/>
        <v>20</v>
      </c>
      <c r="F79" s="133">
        <f t="shared" si="6"/>
        <v>20</v>
      </c>
      <c r="G79" s="133">
        <f t="shared" si="6"/>
        <v>20</v>
      </c>
    </row>
    <row r="80" spans="2:10">
      <c r="B80" s="148" t="s">
        <v>242</v>
      </c>
      <c r="C80" s="133">
        <v>100</v>
      </c>
      <c r="D80" s="133">
        <f t="shared" si="6"/>
        <v>100</v>
      </c>
      <c r="E80" s="133">
        <f t="shared" si="6"/>
        <v>100</v>
      </c>
      <c r="F80" s="133">
        <f t="shared" si="6"/>
        <v>100</v>
      </c>
      <c r="G80" s="133">
        <f t="shared" si="6"/>
        <v>100</v>
      </c>
    </row>
    <row r="81" spans="2:7">
      <c r="B81" s="148" t="s">
        <v>233</v>
      </c>
      <c r="C81" s="133">
        <v>100</v>
      </c>
      <c r="D81" s="133">
        <f t="shared" si="6"/>
        <v>100</v>
      </c>
      <c r="E81" s="133">
        <f t="shared" si="6"/>
        <v>100</v>
      </c>
      <c r="F81" s="133">
        <f t="shared" si="6"/>
        <v>100</v>
      </c>
      <c r="G81" s="133">
        <f t="shared" si="6"/>
        <v>100</v>
      </c>
    </row>
    <row r="82" spans="2:7">
      <c r="B82" s="143" t="s">
        <v>243</v>
      </c>
      <c r="C82" s="133">
        <v>20</v>
      </c>
      <c r="D82" s="133">
        <f t="shared" si="6"/>
        <v>20</v>
      </c>
      <c r="E82" s="133">
        <f t="shared" si="6"/>
        <v>20</v>
      </c>
      <c r="F82" s="133">
        <f t="shared" si="6"/>
        <v>20</v>
      </c>
      <c r="G82" s="133">
        <f t="shared" si="6"/>
        <v>20</v>
      </c>
    </row>
    <row r="83" spans="2:7">
      <c r="B83" s="127" t="s">
        <v>115</v>
      </c>
      <c r="C83" s="133">
        <f>50*C62</f>
        <v>250</v>
      </c>
      <c r="D83" s="133">
        <f t="shared" si="6"/>
        <v>250</v>
      </c>
      <c r="E83" s="133">
        <f t="shared" si="6"/>
        <v>250</v>
      </c>
      <c r="F83" s="133">
        <f t="shared" si="6"/>
        <v>250</v>
      </c>
      <c r="G83" s="133">
        <f t="shared" si="6"/>
        <v>250</v>
      </c>
    </row>
    <row r="84" spans="2:7">
      <c r="B84" s="127" t="s">
        <v>136</v>
      </c>
      <c r="C84" s="456">
        <v>5</v>
      </c>
      <c r="D84" s="456">
        <f>C84</f>
        <v>5</v>
      </c>
      <c r="E84" s="456">
        <f t="shared" ref="E84:G84" si="7">D84</f>
        <v>5</v>
      </c>
      <c r="F84" s="456">
        <f t="shared" si="7"/>
        <v>5</v>
      </c>
      <c r="G84" s="456">
        <f t="shared" si="7"/>
        <v>5</v>
      </c>
    </row>
    <row r="85" spans="2:7">
      <c r="B85" s="127" t="s">
        <v>18</v>
      </c>
      <c r="C85" s="456">
        <f>10*C59</f>
        <v>50</v>
      </c>
      <c r="D85" s="456">
        <f>C85</f>
        <v>50</v>
      </c>
      <c r="E85" s="456">
        <f t="shared" ref="E85:G85" si="8">D85</f>
        <v>50</v>
      </c>
      <c r="F85" s="456">
        <f t="shared" si="8"/>
        <v>50</v>
      </c>
      <c r="G85" s="456">
        <f t="shared" si="8"/>
        <v>50</v>
      </c>
    </row>
    <row r="86" spans="2:7">
      <c r="B86" s="127" t="s">
        <v>19</v>
      </c>
      <c r="C86" s="456">
        <v>0</v>
      </c>
      <c r="D86" s="456">
        <f>C86</f>
        <v>0</v>
      </c>
      <c r="E86" s="456">
        <f t="shared" ref="E86:G86" si="9">D86</f>
        <v>0</v>
      </c>
      <c r="F86" s="456">
        <f t="shared" si="9"/>
        <v>0</v>
      </c>
      <c r="G86" s="456">
        <f t="shared" si="9"/>
        <v>0</v>
      </c>
    </row>
    <row r="87" spans="2:7" ht="16.2" thickBot="1">
      <c r="B87" s="128" t="s">
        <v>21</v>
      </c>
      <c r="C87" s="457">
        <f>50*C61</f>
        <v>100</v>
      </c>
      <c r="D87" s="457">
        <f>C87</f>
        <v>100</v>
      </c>
      <c r="E87" s="457">
        <f t="shared" ref="E87:G87" si="10">D87</f>
        <v>100</v>
      </c>
      <c r="F87" s="457">
        <f t="shared" si="10"/>
        <v>100</v>
      </c>
      <c r="G87" s="457">
        <f t="shared" si="10"/>
        <v>100</v>
      </c>
    </row>
    <row r="88" spans="2:7" ht="16.2" thickBot="1">
      <c r="B88" s="155" t="s">
        <v>15</v>
      </c>
      <c r="C88" s="136">
        <f>SUM(C71:C87)</f>
        <v>1625</v>
      </c>
      <c r="D88" s="136">
        <f t="shared" ref="D88:G88" si="11">SUM(D71:D87)</f>
        <v>1625</v>
      </c>
      <c r="E88" s="136">
        <f t="shared" si="11"/>
        <v>1625</v>
      </c>
      <c r="F88" s="136">
        <f t="shared" si="11"/>
        <v>1625</v>
      </c>
      <c r="G88" s="136">
        <f t="shared" si="11"/>
        <v>1625</v>
      </c>
    </row>
    <row r="91" spans="2:7" ht="16.2" thickBot="1"/>
    <row r="92" spans="2:7" ht="16.2" thickBot="1">
      <c r="B92" s="383" t="s">
        <v>223</v>
      </c>
      <c r="C92" s="385"/>
    </row>
    <row r="93" spans="2:7" ht="16.2" thickBot="1"/>
    <row r="94" spans="2:7" ht="31.8" thickBot="1">
      <c r="B94" s="156" t="s">
        <v>0</v>
      </c>
      <c r="C94" s="156" t="s">
        <v>1</v>
      </c>
      <c r="D94" s="458" t="s">
        <v>2</v>
      </c>
      <c r="E94" s="156" t="s">
        <v>410</v>
      </c>
      <c r="F94" s="462" t="s">
        <v>3</v>
      </c>
    </row>
    <row r="95" spans="2:7">
      <c r="B95" s="135" t="s">
        <v>4</v>
      </c>
      <c r="C95" s="159" t="s">
        <v>408</v>
      </c>
      <c r="D95" s="459">
        <v>25</v>
      </c>
      <c r="E95" s="468">
        <f>D95</f>
        <v>25</v>
      </c>
      <c r="F95" s="463">
        <f>12*25</f>
        <v>300</v>
      </c>
    </row>
    <row r="96" spans="2:7">
      <c r="B96" s="157" t="s">
        <v>6</v>
      </c>
      <c r="C96" s="160" t="s">
        <v>408</v>
      </c>
      <c r="D96" s="460">
        <v>10</v>
      </c>
      <c r="E96" s="469">
        <f>D96</f>
        <v>10</v>
      </c>
      <c r="F96" s="464">
        <f>20*12</f>
        <v>240</v>
      </c>
    </row>
    <row r="97" spans="2:6" ht="31.8" thickBot="1">
      <c r="B97" s="158" t="s">
        <v>8</v>
      </c>
      <c r="C97" s="161" t="s">
        <v>409</v>
      </c>
      <c r="D97" s="461">
        <v>20</v>
      </c>
      <c r="E97" s="470">
        <f>D97</f>
        <v>20</v>
      </c>
      <c r="F97" s="465">
        <f>15*20</f>
        <v>300</v>
      </c>
    </row>
    <row r="98" spans="2:6" ht="16.2" thickBot="1">
      <c r="B98" s="156" t="s">
        <v>3</v>
      </c>
      <c r="C98" s="1" t="s">
        <v>11</v>
      </c>
      <c r="D98" s="1" t="s">
        <v>11</v>
      </c>
      <c r="E98" s="471">
        <f>SUM(E95:E97)</f>
        <v>55</v>
      </c>
      <c r="F98" s="466">
        <f>+F95+F96+F97</f>
        <v>840</v>
      </c>
    </row>
    <row r="99" spans="2:6" ht="16.2" thickBot="1"/>
    <row r="100" spans="2:6" ht="16.2" thickBot="1">
      <c r="B100" s="383" t="s">
        <v>100</v>
      </c>
      <c r="C100" s="385"/>
    </row>
    <row r="101" spans="2:6" ht="16.2" thickBot="1"/>
    <row r="102" spans="2:6">
      <c r="B102" s="400" t="s">
        <v>13</v>
      </c>
      <c r="C102" s="400" t="s">
        <v>73</v>
      </c>
      <c r="D102" s="400" t="s">
        <v>74</v>
      </c>
      <c r="E102" s="400" t="s">
        <v>75</v>
      </c>
    </row>
    <row r="103" spans="2:6" ht="16.2" thickBot="1">
      <c r="B103" s="401"/>
      <c r="C103" s="401"/>
      <c r="D103" s="401"/>
      <c r="E103" s="401"/>
    </row>
    <row r="104" spans="2:6">
      <c r="B104" s="60" t="s">
        <v>94</v>
      </c>
      <c r="C104" s="149">
        <v>1</v>
      </c>
      <c r="D104" s="132">
        <v>1200</v>
      </c>
      <c r="E104" s="132">
        <f>+D104*12</f>
        <v>14400</v>
      </c>
    </row>
    <row r="105" spans="2:6">
      <c r="B105" s="61" t="s">
        <v>244</v>
      </c>
      <c r="C105" s="131">
        <v>1</v>
      </c>
      <c r="D105" s="133">
        <v>1000</v>
      </c>
      <c r="E105" s="133">
        <f>+D105*12</f>
        <v>12000</v>
      </c>
    </row>
    <row r="106" spans="2:6">
      <c r="B106" s="61" t="s">
        <v>96</v>
      </c>
      <c r="C106" s="131">
        <v>1</v>
      </c>
      <c r="D106" s="133">
        <v>650</v>
      </c>
      <c r="E106" s="133">
        <f>+D106*12</f>
        <v>7800</v>
      </c>
    </row>
    <row r="107" spans="2:6">
      <c r="B107" s="61" t="s">
        <v>97</v>
      </c>
      <c r="C107" s="131">
        <v>1</v>
      </c>
      <c r="D107" s="133">
        <v>700</v>
      </c>
      <c r="E107" s="133">
        <f>+D107*12</f>
        <v>8400</v>
      </c>
    </row>
    <row r="108" spans="2:6" ht="16.2" thickBot="1">
      <c r="B108" s="61" t="s">
        <v>245</v>
      </c>
      <c r="C108" s="131">
        <v>1</v>
      </c>
      <c r="D108" s="133">
        <v>700</v>
      </c>
      <c r="E108" s="133">
        <f>+D108*12</f>
        <v>8400</v>
      </c>
    </row>
    <row r="109" spans="2:6" ht="16.2" thickBot="1">
      <c r="B109" s="103" t="s">
        <v>15</v>
      </c>
      <c r="C109" s="163"/>
      <c r="D109" s="136">
        <f>SUM(D104:D108)</f>
        <v>4250</v>
      </c>
      <c r="E109" s="136">
        <f>SUM(E104:E108)</f>
        <v>51000</v>
      </c>
    </row>
    <row r="110" spans="2:6" ht="16.2" thickBot="1"/>
    <row r="111" spans="2:6" ht="16.2" thickBot="1">
      <c r="B111" s="383" t="s">
        <v>111</v>
      </c>
      <c r="C111" s="385"/>
    </row>
    <row r="112" spans="2:6" ht="16.2" thickBot="1"/>
    <row r="113" spans="2:6" ht="31.8" thickBot="1">
      <c r="B113" s="156" t="s">
        <v>13</v>
      </c>
      <c r="C113" s="156" t="s">
        <v>53</v>
      </c>
      <c r="D113" s="156" t="s">
        <v>1</v>
      </c>
      <c r="E113" s="156" t="s">
        <v>2</v>
      </c>
      <c r="F113" s="156" t="s">
        <v>54</v>
      </c>
    </row>
    <row r="114" spans="2:6">
      <c r="B114" s="159" t="s">
        <v>101</v>
      </c>
      <c r="C114" s="159" t="s">
        <v>102</v>
      </c>
      <c r="D114" s="129">
        <v>12</v>
      </c>
      <c r="E114" s="132">
        <v>220</v>
      </c>
      <c r="F114" s="132">
        <f>+D114*E114</f>
        <v>2640</v>
      </c>
    </row>
    <row r="115" spans="2:6">
      <c r="B115" s="160" t="s">
        <v>103</v>
      </c>
      <c r="C115" s="160" t="s">
        <v>102</v>
      </c>
      <c r="D115" s="130">
        <v>12</v>
      </c>
      <c r="E115" s="133">
        <v>100</v>
      </c>
      <c r="F115" s="133">
        <f>+D115*E115</f>
        <v>1200</v>
      </c>
    </row>
    <row r="116" spans="2:6">
      <c r="B116" s="160" t="s">
        <v>105</v>
      </c>
      <c r="C116" s="160" t="s">
        <v>102</v>
      </c>
      <c r="D116" s="130">
        <v>12</v>
      </c>
      <c r="E116" s="133">
        <v>35</v>
      </c>
      <c r="F116" s="133">
        <f>+D116*E116</f>
        <v>420</v>
      </c>
    </row>
    <row r="117" spans="2:6">
      <c r="B117" s="160" t="s">
        <v>109</v>
      </c>
      <c r="C117" s="160" t="s">
        <v>102</v>
      </c>
      <c r="D117" s="130">
        <v>12</v>
      </c>
      <c r="E117" s="133">
        <v>75</v>
      </c>
      <c r="F117" s="133">
        <f>+D117*E117</f>
        <v>900</v>
      </c>
    </row>
    <row r="118" spans="2:6" ht="16.2" thickBot="1">
      <c r="B118" s="161" t="s">
        <v>110</v>
      </c>
      <c r="C118" s="161" t="s">
        <v>102</v>
      </c>
      <c r="D118" s="130">
        <v>12</v>
      </c>
      <c r="E118" s="133">
        <v>850</v>
      </c>
      <c r="F118" s="134">
        <f>+D118*E118</f>
        <v>10200</v>
      </c>
    </row>
    <row r="119" spans="2:6" ht="16.2" thickBot="1">
      <c r="B119" s="125" t="s">
        <v>71</v>
      </c>
      <c r="C119" s="161"/>
      <c r="D119" s="164"/>
      <c r="E119" s="162">
        <f>SUM(E114:E118)</f>
        <v>1280</v>
      </c>
      <c r="F119" s="142">
        <f>SUM(F114:F118)</f>
        <v>15360</v>
      </c>
    </row>
    <row r="120" spans="2:6" ht="16.2" thickBot="1"/>
    <row r="121" spans="2:6" ht="16.2" thickBot="1">
      <c r="B121" s="383" t="s">
        <v>246</v>
      </c>
      <c r="C121" s="385"/>
    </row>
    <row r="122" spans="2:6" ht="16.2" thickBot="1"/>
    <row r="123" spans="2:6">
      <c r="B123" s="378" t="s">
        <v>247</v>
      </c>
      <c r="C123" s="374"/>
      <c r="D123" s="472" t="s">
        <v>411</v>
      </c>
    </row>
    <row r="124" spans="2:6" ht="16.2" thickBot="1">
      <c r="B124" s="402"/>
      <c r="C124" s="375"/>
      <c r="D124" s="474"/>
    </row>
    <row r="125" spans="2:6">
      <c r="B125" s="60" t="s">
        <v>126</v>
      </c>
      <c r="C125" s="132">
        <f>F119+E109+(C88)</f>
        <v>67985</v>
      </c>
      <c r="D125" s="473">
        <f>C125/12</f>
        <v>5665.416666666667</v>
      </c>
    </row>
    <row r="126" spans="2:6">
      <c r="B126" s="61" t="s">
        <v>412</v>
      </c>
      <c r="C126" s="133">
        <f>C43</f>
        <v>41980</v>
      </c>
      <c r="D126" s="473">
        <f>C126/12</f>
        <v>3498.3333333333335</v>
      </c>
    </row>
    <row r="127" spans="2:6" ht="16.2" thickBot="1">
      <c r="B127" s="55" t="s">
        <v>127</v>
      </c>
      <c r="C127" s="134">
        <f>F98</f>
        <v>840</v>
      </c>
      <c r="D127" s="473">
        <f>C127/12</f>
        <v>70</v>
      </c>
    </row>
    <row r="128" spans="2:6" ht="16.2" thickBot="1">
      <c r="B128" s="103" t="s">
        <v>15</v>
      </c>
      <c r="C128" s="136">
        <f>SUM(C125:C127)</f>
        <v>110805</v>
      </c>
      <c r="D128" s="475">
        <f>D125+D127+D126</f>
        <v>9233.75</v>
      </c>
    </row>
    <row r="129" spans="2:4" ht="16.2" thickBot="1"/>
    <row r="130" spans="2:4" ht="16.2" thickBot="1">
      <c r="B130" s="383" t="s">
        <v>248</v>
      </c>
      <c r="C130" s="385"/>
    </row>
    <row r="131" spans="2:4" ht="16.2" thickBot="1"/>
    <row r="132" spans="2:4">
      <c r="B132" s="378" t="s">
        <v>249</v>
      </c>
      <c r="C132" s="371"/>
      <c r="D132" s="379"/>
    </row>
    <row r="133" spans="2:4" ht="16.2" thickBot="1">
      <c r="B133" s="380"/>
      <c r="C133" s="381"/>
      <c r="D133" s="382"/>
    </row>
    <row r="134" spans="2:4" ht="16.2" thickBot="1">
      <c r="B134" s="52" t="s">
        <v>130</v>
      </c>
      <c r="C134" s="53"/>
      <c r="D134" s="54">
        <f>SUM(C135:C137)</f>
        <v>41980</v>
      </c>
    </row>
    <row r="135" spans="2:4" ht="16.2" thickBot="1">
      <c r="B135" s="55" t="s">
        <v>121</v>
      </c>
      <c r="C135" s="56">
        <f>F15</f>
        <v>15200</v>
      </c>
      <c r="D135" s="57"/>
    </row>
    <row r="136" spans="2:4" ht="16.2" thickBot="1">
      <c r="B136" s="55" t="s">
        <v>122</v>
      </c>
      <c r="C136" s="56">
        <f>F27</f>
        <v>15500</v>
      </c>
      <c r="D136" s="57"/>
    </row>
    <row r="137" spans="2:4" ht="16.2" thickBot="1">
      <c r="B137" s="55" t="s">
        <v>123</v>
      </c>
      <c r="C137" s="56">
        <f>E34</f>
        <v>11280</v>
      </c>
      <c r="D137" s="57"/>
    </row>
    <row r="138" spans="2:4" ht="16.2" thickBot="1">
      <c r="B138" s="52" t="s">
        <v>131</v>
      </c>
      <c r="C138" s="53"/>
      <c r="D138" s="58">
        <f>C139+C143</f>
        <v>68825</v>
      </c>
    </row>
    <row r="139" spans="2:4" ht="16.2" thickBot="1">
      <c r="B139" s="52" t="s">
        <v>126</v>
      </c>
      <c r="C139" s="59">
        <f>SUM(C140:C142)</f>
        <v>67985</v>
      </c>
      <c r="D139" s="60"/>
    </row>
    <row r="140" spans="2:4" ht="16.2" thickBot="1">
      <c r="B140" s="55" t="s">
        <v>132</v>
      </c>
      <c r="C140" s="168">
        <f>E109</f>
        <v>51000</v>
      </c>
      <c r="D140" s="61"/>
    </row>
    <row r="141" spans="2:4" ht="16.2" thickBot="1">
      <c r="B141" s="55" t="s">
        <v>133</v>
      </c>
      <c r="C141" s="28">
        <f>C88</f>
        <v>1625</v>
      </c>
      <c r="D141" s="61"/>
    </row>
    <row r="142" spans="2:4" ht="16.2" thickBot="1">
      <c r="B142" s="55" t="s">
        <v>250</v>
      </c>
      <c r="C142" s="28">
        <f>F119</f>
        <v>15360</v>
      </c>
      <c r="D142" s="61"/>
    </row>
    <row r="143" spans="2:4" ht="16.2" thickBot="1">
      <c r="B143" s="52" t="s">
        <v>140</v>
      </c>
      <c r="C143" s="30">
        <f>C144</f>
        <v>840</v>
      </c>
      <c r="D143" s="61"/>
    </row>
    <row r="144" spans="2:4" ht="16.2" thickBot="1">
      <c r="B144" s="55" t="s">
        <v>141</v>
      </c>
      <c r="C144" s="28">
        <f>F98</f>
        <v>840</v>
      </c>
      <c r="D144" s="55"/>
    </row>
    <row r="145" spans="2:10" ht="16.2" thickBot="1">
      <c r="B145" s="62" t="s">
        <v>15</v>
      </c>
      <c r="C145" s="53"/>
      <c r="D145" s="54">
        <f>D134+D138</f>
        <v>110805</v>
      </c>
      <c r="E145" s="119"/>
      <c r="F145" s="119"/>
    </row>
    <row r="146" spans="2:10" ht="16.2" thickBot="1"/>
    <row r="147" spans="2:10" ht="16.2" thickBot="1">
      <c r="B147" s="383" t="s">
        <v>251</v>
      </c>
      <c r="C147" s="385"/>
    </row>
    <row r="148" spans="2:10" ht="16.2" thickBot="1"/>
    <row r="149" spans="2:10" ht="28.2" thickBot="1">
      <c r="B149" s="172" t="s">
        <v>252</v>
      </c>
      <c r="C149" s="172" t="s">
        <v>253</v>
      </c>
      <c r="D149" s="172" t="s">
        <v>254</v>
      </c>
      <c r="E149" s="172">
        <v>1</v>
      </c>
      <c r="F149" s="172">
        <v>2</v>
      </c>
      <c r="G149" s="172">
        <v>3</v>
      </c>
      <c r="H149" s="172">
        <v>4</v>
      </c>
      <c r="I149" s="172">
        <v>5</v>
      </c>
      <c r="J149" s="172" t="s">
        <v>255</v>
      </c>
    </row>
    <row r="150" spans="2:10">
      <c r="B150" s="169" t="s">
        <v>256</v>
      </c>
      <c r="C150" s="173">
        <v>1000</v>
      </c>
      <c r="D150" s="176">
        <v>5</v>
      </c>
      <c r="E150" s="173">
        <v>200</v>
      </c>
      <c r="F150" s="173">
        <v>200</v>
      </c>
      <c r="G150" s="173">
        <v>200</v>
      </c>
      <c r="H150" s="173">
        <v>200</v>
      </c>
      <c r="I150" s="173">
        <v>200</v>
      </c>
      <c r="J150" s="173">
        <v>0</v>
      </c>
    </row>
    <row r="151" spans="2:10">
      <c r="B151" s="170" t="s">
        <v>257</v>
      </c>
      <c r="C151" s="174">
        <v>500</v>
      </c>
      <c r="D151" s="177">
        <v>5</v>
      </c>
      <c r="E151" s="174">
        <v>100</v>
      </c>
      <c r="F151" s="174">
        <v>100</v>
      </c>
      <c r="G151" s="174">
        <v>100</v>
      </c>
      <c r="H151" s="174">
        <v>100</v>
      </c>
      <c r="I151" s="174">
        <v>100</v>
      </c>
      <c r="J151" s="174">
        <v>0</v>
      </c>
    </row>
    <row r="152" spans="2:10">
      <c r="B152" s="170" t="s">
        <v>258</v>
      </c>
      <c r="C152" s="174">
        <v>400</v>
      </c>
      <c r="D152" s="177">
        <v>5</v>
      </c>
      <c r="E152" s="174">
        <v>80</v>
      </c>
      <c r="F152" s="174">
        <v>80</v>
      </c>
      <c r="G152" s="174">
        <v>80</v>
      </c>
      <c r="H152" s="174">
        <v>80</v>
      </c>
      <c r="I152" s="174">
        <v>80</v>
      </c>
      <c r="J152" s="174">
        <v>0</v>
      </c>
    </row>
    <row r="153" spans="2:10" ht="16.2" thickBot="1">
      <c r="B153" s="171" t="s">
        <v>259</v>
      </c>
      <c r="C153" s="175">
        <v>200</v>
      </c>
      <c r="D153" s="178">
        <v>5</v>
      </c>
      <c r="E153" s="175">
        <v>40</v>
      </c>
      <c r="F153" s="175">
        <v>40</v>
      </c>
      <c r="G153" s="175">
        <v>40</v>
      </c>
      <c r="H153" s="175">
        <v>40</v>
      </c>
      <c r="I153" s="175">
        <v>40</v>
      </c>
      <c r="J153" s="175">
        <v>0</v>
      </c>
    </row>
    <row r="154" spans="2:10" ht="16.2" thickBot="1">
      <c r="B154" s="179" t="s">
        <v>15</v>
      </c>
      <c r="C154" s="180">
        <f>SUM(C150:C153)</f>
        <v>2100</v>
      </c>
      <c r="D154" s="181"/>
      <c r="E154" s="180">
        <f>SUM(E150:E153)</f>
        <v>420</v>
      </c>
      <c r="F154" s="180">
        <f t="shared" ref="F154:I154" si="12">SUM(F150:F153)</f>
        <v>420</v>
      </c>
      <c r="G154" s="180">
        <f t="shared" si="12"/>
        <v>420</v>
      </c>
      <c r="H154" s="180">
        <f t="shared" si="12"/>
        <v>420</v>
      </c>
      <c r="I154" s="180">
        <f t="shared" si="12"/>
        <v>420</v>
      </c>
      <c r="J154" s="180">
        <v>0</v>
      </c>
    </row>
  </sheetData>
  <mergeCells count="28">
    <mergeCell ref="B123:C124"/>
    <mergeCell ref="B130:C130"/>
    <mergeCell ref="B132:D133"/>
    <mergeCell ref="B102:B103"/>
    <mergeCell ref="C102:C103"/>
    <mergeCell ref="D102:D103"/>
    <mergeCell ref="D123:D124"/>
    <mergeCell ref="B69:B70"/>
    <mergeCell ref="C69:G69"/>
    <mergeCell ref="B92:C92"/>
    <mergeCell ref="B100:C100"/>
    <mergeCell ref="B121:C121"/>
    <mergeCell ref="F4:F5"/>
    <mergeCell ref="C15:E15"/>
    <mergeCell ref="B147:C147"/>
    <mergeCell ref="B2:C2"/>
    <mergeCell ref="B4:B5"/>
    <mergeCell ref="C4:C5"/>
    <mergeCell ref="D4:D5"/>
    <mergeCell ref="E4:E5"/>
    <mergeCell ref="B17:C17"/>
    <mergeCell ref="B29:C29"/>
    <mergeCell ref="B36:C36"/>
    <mergeCell ref="B38:C39"/>
    <mergeCell ref="B45:C45"/>
    <mergeCell ref="E102:E103"/>
    <mergeCell ref="B111:C111"/>
    <mergeCell ref="B67:C6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workbookViewId="0">
      <selection activeCell="D24" sqref="D24"/>
    </sheetView>
  </sheetViews>
  <sheetFormatPr baseColWidth="10" defaultRowHeight="15.6"/>
  <cols>
    <col min="1" max="1" width="37.796875" customWidth="1"/>
    <col min="2" max="2" width="11.69921875" style="484" customWidth="1"/>
  </cols>
  <sheetData>
    <row r="2" spans="1:3">
      <c r="A2" t="s">
        <v>445</v>
      </c>
    </row>
    <row r="4" spans="1:3">
      <c r="A4" s="487" t="s">
        <v>354</v>
      </c>
      <c r="B4" s="487"/>
      <c r="C4" s="487"/>
    </row>
    <row r="5" spans="1:3">
      <c r="A5" s="488" t="s">
        <v>446</v>
      </c>
      <c r="B5" s="489" t="s">
        <v>447</v>
      </c>
      <c r="C5" s="489" t="s">
        <v>15</v>
      </c>
    </row>
    <row r="6" spans="1:3">
      <c r="A6" s="490" t="s">
        <v>342</v>
      </c>
      <c r="B6" s="491"/>
      <c r="C6" s="491">
        <f>SUM(B7:B13)</f>
        <v>78075.600000000006</v>
      </c>
    </row>
    <row r="7" spans="1:3">
      <c r="A7" s="492" t="s">
        <v>448</v>
      </c>
      <c r="B7" s="493">
        <f>'[1]MANO DE OBRA'!C12</f>
        <v>20366.400000000001</v>
      </c>
      <c r="C7" s="491"/>
    </row>
    <row r="8" spans="1:3">
      <c r="A8" s="492" t="s">
        <v>449</v>
      </c>
      <c r="B8" s="493">
        <f>'[1]MANO DE OBRA'!C24</f>
        <v>16972</v>
      </c>
      <c r="C8" s="491"/>
    </row>
    <row r="9" spans="1:3">
      <c r="A9" s="467" t="s">
        <v>450</v>
      </c>
      <c r="B9" s="493">
        <f>'[1]MANO DE OBRA'!C36</f>
        <v>11031.8</v>
      </c>
      <c r="C9" s="494"/>
    </row>
    <row r="10" spans="1:3">
      <c r="A10" s="492" t="s">
        <v>451</v>
      </c>
      <c r="B10" s="493">
        <f>'[1]MANO DE OBRA'!C48</f>
        <v>11880.4</v>
      </c>
      <c r="C10" s="494"/>
    </row>
    <row r="11" spans="1:3">
      <c r="A11" s="467" t="s">
        <v>250</v>
      </c>
      <c r="B11" s="493">
        <f>[1]gsb!B8</f>
        <v>15360</v>
      </c>
      <c r="C11" s="494"/>
    </row>
    <row r="12" spans="1:3">
      <c r="A12" s="467" t="s">
        <v>452</v>
      </c>
      <c r="B12" s="493">
        <v>1625</v>
      </c>
      <c r="C12" s="494"/>
    </row>
    <row r="13" spans="1:3">
      <c r="A13" s="495" t="s">
        <v>453</v>
      </c>
      <c r="B13" s="496">
        <v>840</v>
      </c>
      <c r="C13" s="494"/>
    </row>
    <row r="14" spans="1:3">
      <c r="A14" s="490" t="s">
        <v>343</v>
      </c>
      <c r="B14" s="489"/>
      <c r="C14" s="491">
        <f>SUM(B15:B16)</f>
        <v>52763.6</v>
      </c>
    </row>
    <row r="15" spans="1:3">
      <c r="A15" s="467" t="s">
        <v>454</v>
      </c>
      <c r="B15" s="494">
        <f>'[1]MANO DE OBRA'!C84+'[1]MANO DE OBRA'!C72</f>
        <v>22063.599999999999</v>
      </c>
      <c r="C15" s="494"/>
    </row>
    <row r="16" spans="1:3">
      <c r="A16" s="467" t="s">
        <v>121</v>
      </c>
      <c r="B16" s="494">
        <f>'[1]Inversión Inicial'!C19</f>
        <v>30700</v>
      </c>
      <c r="C16" s="494"/>
    </row>
    <row r="17" spans="1:3">
      <c r="A17" s="497" t="s">
        <v>455</v>
      </c>
      <c r="B17" s="491"/>
      <c r="C17" s="498">
        <v>0.02</v>
      </c>
    </row>
  </sheetData>
  <mergeCells count="1">
    <mergeCell ref="A4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4"/>
  <sheetViews>
    <sheetView tabSelected="1" topLeftCell="A34" workbookViewId="0">
      <selection activeCell="I23" sqref="I23"/>
    </sheetView>
  </sheetViews>
  <sheetFormatPr baseColWidth="10" defaultRowHeight="15.6"/>
  <cols>
    <col min="1" max="1" width="23.5" customWidth="1"/>
    <col min="2" max="7" width="14" customWidth="1"/>
  </cols>
  <sheetData>
    <row r="2" spans="1:7" ht="16.2" thickBot="1">
      <c r="A2" s="499" t="s">
        <v>94</v>
      </c>
      <c r="B2" s="499"/>
      <c r="C2" s="499"/>
      <c r="D2" s="499"/>
      <c r="E2" s="499"/>
      <c r="F2" s="499"/>
      <c r="G2" s="499"/>
    </row>
    <row r="3" spans="1:7">
      <c r="A3" s="21"/>
      <c r="B3" s="21"/>
      <c r="C3" s="18" t="s">
        <v>265</v>
      </c>
      <c r="D3" s="18" t="s">
        <v>266</v>
      </c>
      <c r="E3" s="18" t="s">
        <v>267</v>
      </c>
      <c r="F3" s="18" t="s">
        <v>268</v>
      </c>
      <c r="G3" s="18" t="s">
        <v>269</v>
      </c>
    </row>
    <row r="4" spans="1:7">
      <c r="A4" s="21" t="s">
        <v>456</v>
      </c>
      <c r="B4" s="20"/>
      <c r="C4" s="500">
        <v>1200</v>
      </c>
      <c r="D4" s="500">
        <v>1200</v>
      </c>
      <c r="E4" s="500">
        <v>1200</v>
      </c>
      <c r="F4" s="500">
        <v>1200</v>
      </c>
      <c r="G4" s="500">
        <v>1200</v>
      </c>
    </row>
    <row r="5" spans="1:7">
      <c r="A5" s="21" t="s">
        <v>457</v>
      </c>
      <c r="B5" s="20"/>
      <c r="C5" s="500">
        <f>+C4/12</f>
        <v>100</v>
      </c>
      <c r="D5" s="500">
        <f>+D4/12</f>
        <v>100</v>
      </c>
      <c r="E5" s="500">
        <f t="shared" ref="E5:G5" si="0">+E4/12</f>
        <v>100</v>
      </c>
      <c r="F5" s="500">
        <f t="shared" si="0"/>
        <v>100</v>
      </c>
      <c r="G5" s="500">
        <f t="shared" si="0"/>
        <v>100</v>
      </c>
    </row>
    <row r="6" spans="1:7">
      <c r="A6" s="21" t="s">
        <v>458</v>
      </c>
      <c r="B6" s="20"/>
      <c r="C6" s="500">
        <f>C4/12</f>
        <v>100</v>
      </c>
      <c r="D6" s="500">
        <f t="shared" ref="D6:G6" si="1">D4/12</f>
        <v>100</v>
      </c>
      <c r="E6" s="500">
        <f t="shared" si="1"/>
        <v>100</v>
      </c>
      <c r="F6" s="500">
        <f t="shared" si="1"/>
        <v>100</v>
      </c>
      <c r="G6" s="500">
        <f t="shared" si="1"/>
        <v>100</v>
      </c>
    </row>
    <row r="7" spans="1:7">
      <c r="A7" s="21" t="s">
        <v>459</v>
      </c>
      <c r="B7" s="501">
        <v>0.1115</v>
      </c>
      <c r="C7" s="500">
        <f>C4*B7</f>
        <v>133.80000000000001</v>
      </c>
      <c r="D7" s="500">
        <f>D4*$B$7</f>
        <v>133.80000000000001</v>
      </c>
      <c r="E7" s="500">
        <f t="shared" ref="E7:G7" si="2">E4*$B$7</f>
        <v>133.80000000000001</v>
      </c>
      <c r="F7" s="500">
        <f t="shared" si="2"/>
        <v>133.80000000000001</v>
      </c>
      <c r="G7" s="500">
        <f t="shared" si="2"/>
        <v>133.80000000000001</v>
      </c>
    </row>
    <row r="8" spans="1:7">
      <c r="A8" s="21" t="s">
        <v>460</v>
      </c>
      <c r="B8" s="501">
        <v>9.4500000000000001E-2</v>
      </c>
      <c r="C8" s="500">
        <f>C4*B8</f>
        <v>113.4</v>
      </c>
      <c r="D8" s="500">
        <f>D4*$B$8</f>
        <v>113.4</v>
      </c>
      <c r="E8" s="500">
        <f t="shared" ref="E8:G8" si="3">E4*$B$8</f>
        <v>113.4</v>
      </c>
      <c r="F8" s="500">
        <f t="shared" si="3"/>
        <v>113.4</v>
      </c>
      <c r="G8" s="500">
        <f t="shared" si="3"/>
        <v>113.4</v>
      </c>
    </row>
    <row r="9" spans="1:7">
      <c r="A9" s="21" t="s">
        <v>461</v>
      </c>
      <c r="B9" s="20"/>
      <c r="C9" s="500">
        <f>+C4/24</f>
        <v>50</v>
      </c>
      <c r="D9" s="500">
        <f t="shared" ref="D9:G9" si="4">+D4/24</f>
        <v>50</v>
      </c>
      <c r="E9" s="500">
        <f t="shared" si="4"/>
        <v>50</v>
      </c>
      <c r="F9" s="500">
        <f t="shared" si="4"/>
        <v>50</v>
      </c>
      <c r="G9" s="500">
        <f t="shared" si="4"/>
        <v>50</v>
      </c>
    </row>
    <row r="10" spans="1:7">
      <c r="A10" s="21" t="s">
        <v>462</v>
      </c>
      <c r="B10" s="501">
        <v>8.3299999999999999E-2</v>
      </c>
      <c r="C10" s="500"/>
      <c r="D10" s="500">
        <f>D4*$B$10</f>
        <v>99.96</v>
      </c>
      <c r="E10" s="500">
        <f t="shared" ref="E10:G10" si="5">E4*$B$10</f>
        <v>99.96</v>
      </c>
      <c r="F10" s="500">
        <f t="shared" si="5"/>
        <v>99.96</v>
      </c>
      <c r="G10" s="500">
        <f t="shared" si="5"/>
        <v>99.96</v>
      </c>
    </row>
    <row r="11" spans="1:7">
      <c r="A11" s="21" t="s">
        <v>463</v>
      </c>
      <c r="B11" s="20"/>
      <c r="C11" s="500">
        <f>SUM(C4:C10)</f>
        <v>1697.2</v>
      </c>
      <c r="D11" s="500">
        <f t="shared" ref="D11:G11" si="6">SUM(D4:D10)</f>
        <v>1797.16</v>
      </c>
      <c r="E11" s="500">
        <f t="shared" si="6"/>
        <v>1797.16</v>
      </c>
      <c r="F11" s="500">
        <f t="shared" si="6"/>
        <v>1797.16</v>
      </c>
      <c r="G11" s="500">
        <f t="shared" si="6"/>
        <v>1797.16</v>
      </c>
    </row>
    <row r="12" spans="1:7" ht="16.2" thickBot="1">
      <c r="A12" s="353" t="s">
        <v>464</v>
      </c>
      <c r="B12" s="353"/>
      <c r="C12" s="502">
        <f>C11*12</f>
        <v>20366.400000000001</v>
      </c>
      <c r="D12" s="502">
        <f>D11*12</f>
        <v>21565.920000000002</v>
      </c>
      <c r="E12" s="502">
        <f>E11*12</f>
        <v>21565.920000000002</v>
      </c>
      <c r="F12" s="502">
        <f t="shared" ref="F12:G12" si="7">F11*12</f>
        <v>21565.920000000002</v>
      </c>
      <c r="G12" s="502">
        <f t="shared" si="7"/>
        <v>21565.920000000002</v>
      </c>
    </row>
    <row r="13" spans="1:7" ht="16.2" thickBot="1">
      <c r="A13" s="503"/>
      <c r="B13" s="503"/>
      <c r="C13" s="503"/>
      <c r="D13" s="503"/>
      <c r="E13" s="503"/>
      <c r="F13" s="503"/>
      <c r="G13" s="503"/>
    </row>
    <row r="14" spans="1:7" ht="16.2" thickBot="1">
      <c r="A14" s="499" t="s">
        <v>244</v>
      </c>
      <c r="B14" s="499"/>
      <c r="C14" s="499"/>
      <c r="D14" s="499"/>
      <c r="E14" s="499"/>
      <c r="F14" s="499"/>
      <c r="G14" s="499"/>
    </row>
    <row r="15" spans="1:7">
      <c r="A15" s="21"/>
      <c r="B15" s="21"/>
      <c r="C15" s="18" t="s">
        <v>265</v>
      </c>
      <c r="D15" s="18" t="s">
        <v>266</v>
      </c>
      <c r="E15" s="18" t="s">
        <v>267</v>
      </c>
      <c r="F15" s="18" t="s">
        <v>268</v>
      </c>
      <c r="G15" s="18" t="s">
        <v>269</v>
      </c>
    </row>
    <row r="16" spans="1:7">
      <c r="A16" s="21" t="s">
        <v>456</v>
      </c>
      <c r="B16" s="20"/>
      <c r="C16" s="500">
        <v>1000</v>
      </c>
      <c r="D16" s="500">
        <v>1000</v>
      </c>
      <c r="E16" s="500">
        <v>1000</v>
      </c>
      <c r="F16" s="500">
        <v>1000</v>
      </c>
      <c r="G16" s="500">
        <v>1000</v>
      </c>
    </row>
    <row r="17" spans="1:7">
      <c r="A17" s="21" t="s">
        <v>457</v>
      </c>
      <c r="B17" s="20"/>
      <c r="C17" s="500">
        <f>+C16/12</f>
        <v>83.333333333333329</v>
      </c>
      <c r="D17" s="500">
        <f>+D16/12</f>
        <v>83.333333333333329</v>
      </c>
      <c r="E17" s="500">
        <f t="shared" ref="E17:G17" si="8">+E16/12</f>
        <v>83.333333333333329</v>
      </c>
      <c r="F17" s="500">
        <f t="shared" si="8"/>
        <v>83.333333333333329</v>
      </c>
      <c r="G17" s="500">
        <f t="shared" si="8"/>
        <v>83.333333333333329</v>
      </c>
    </row>
    <row r="18" spans="1:7">
      <c r="A18" s="21" t="s">
        <v>458</v>
      </c>
      <c r="B18" s="20"/>
      <c r="C18" s="500">
        <f>C16/12</f>
        <v>83.333333333333329</v>
      </c>
      <c r="D18" s="500">
        <f t="shared" ref="D18:G18" si="9">D16/12</f>
        <v>83.333333333333329</v>
      </c>
      <c r="E18" s="500">
        <f t="shared" si="9"/>
        <v>83.333333333333329</v>
      </c>
      <c r="F18" s="500">
        <f t="shared" si="9"/>
        <v>83.333333333333329</v>
      </c>
      <c r="G18" s="500">
        <f t="shared" si="9"/>
        <v>83.333333333333329</v>
      </c>
    </row>
    <row r="19" spans="1:7">
      <c r="A19" s="21" t="s">
        <v>459</v>
      </c>
      <c r="B19" s="501">
        <v>0.1115</v>
      </c>
      <c r="C19" s="500">
        <f>C16*B19</f>
        <v>111.5</v>
      </c>
      <c r="D19" s="500">
        <f>D16*$B$7</f>
        <v>111.5</v>
      </c>
      <c r="E19" s="500">
        <f t="shared" ref="E19:G19" si="10">E16*$B$7</f>
        <v>111.5</v>
      </c>
      <c r="F19" s="500">
        <f t="shared" si="10"/>
        <v>111.5</v>
      </c>
      <c r="G19" s="500">
        <f t="shared" si="10"/>
        <v>111.5</v>
      </c>
    </row>
    <row r="20" spans="1:7">
      <c r="A20" s="21" t="s">
        <v>460</v>
      </c>
      <c r="B20" s="501">
        <v>9.4500000000000001E-2</v>
      </c>
      <c r="C20" s="500">
        <f>C16*B20</f>
        <v>94.5</v>
      </c>
      <c r="D20" s="500">
        <f>D16*$B$8</f>
        <v>94.5</v>
      </c>
      <c r="E20" s="500">
        <f t="shared" ref="E20:G20" si="11">E16*$B$8</f>
        <v>94.5</v>
      </c>
      <c r="F20" s="500">
        <f t="shared" si="11"/>
        <v>94.5</v>
      </c>
      <c r="G20" s="500">
        <f t="shared" si="11"/>
        <v>94.5</v>
      </c>
    </row>
    <row r="21" spans="1:7">
      <c r="A21" s="21" t="s">
        <v>461</v>
      </c>
      <c r="B21" s="20"/>
      <c r="C21" s="500">
        <f>+C16/24</f>
        <v>41.666666666666664</v>
      </c>
      <c r="D21" s="500">
        <f t="shared" ref="D21:G21" si="12">+D16/24</f>
        <v>41.666666666666664</v>
      </c>
      <c r="E21" s="500">
        <f t="shared" si="12"/>
        <v>41.666666666666664</v>
      </c>
      <c r="F21" s="500">
        <f t="shared" si="12"/>
        <v>41.666666666666664</v>
      </c>
      <c r="G21" s="500">
        <f t="shared" si="12"/>
        <v>41.666666666666664</v>
      </c>
    </row>
    <row r="22" spans="1:7">
      <c r="A22" s="21" t="s">
        <v>462</v>
      </c>
      <c r="B22" s="501">
        <v>8.3299999999999999E-2</v>
      </c>
      <c r="C22" s="500"/>
      <c r="D22" s="500">
        <f>D16*$B$10</f>
        <v>83.3</v>
      </c>
      <c r="E22" s="500">
        <f t="shared" ref="E22:G22" si="13">E16*$B$10</f>
        <v>83.3</v>
      </c>
      <c r="F22" s="500">
        <f t="shared" si="13"/>
        <v>83.3</v>
      </c>
      <c r="G22" s="500">
        <f t="shared" si="13"/>
        <v>83.3</v>
      </c>
    </row>
    <row r="23" spans="1:7">
      <c r="A23" s="21" t="s">
        <v>463</v>
      </c>
      <c r="B23" s="20"/>
      <c r="C23" s="500">
        <f>SUM(C16:C22)</f>
        <v>1414.3333333333333</v>
      </c>
      <c r="D23" s="500">
        <f t="shared" ref="D23:G23" si="14">SUM(D16:D22)</f>
        <v>1497.6333333333332</v>
      </c>
      <c r="E23" s="500">
        <f t="shared" si="14"/>
        <v>1497.6333333333332</v>
      </c>
      <c r="F23" s="500">
        <f t="shared" si="14"/>
        <v>1497.6333333333332</v>
      </c>
      <c r="G23" s="500">
        <f t="shared" si="14"/>
        <v>1497.6333333333332</v>
      </c>
    </row>
    <row r="24" spans="1:7" ht="16.2" thickBot="1">
      <c r="A24" s="353" t="s">
        <v>464</v>
      </c>
      <c r="B24" s="353"/>
      <c r="C24" s="502">
        <f>C23*12</f>
        <v>16972</v>
      </c>
      <c r="D24" s="502">
        <f>D23*12</f>
        <v>17971.599999999999</v>
      </c>
      <c r="E24" s="502">
        <f>E23*12</f>
        <v>17971.599999999999</v>
      </c>
      <c r="F24" s="502">
        <f t="shared" ref="F24:G24" si="15">F23*12</f>
        <v>17971.599999999999</v>
      </c>
      <c r="G24" s="502">
        <f t="shared" si="15"/>
        <v>17971.599999999999</v>
      </c>
    </row>
    <row r="26" spans="1:7" ht="16.2" thickBot="1">
      <c r="A26" s="499" t="s">
        <v>96</v>
      </c>
      <c r="B26" s="499"/>
      <c r="C26" s="499"/>
      <c r="D26" s="499"/>
      <c r="E26" s="499"/>
      <c r="F26" s="499"/>
      <c r="G26" s="499"/>
    </row>
    <row r="27" spans="1:7">
      <c r="A27" s="21"/>
      <c r="B27" s="21"/>
      <c r="C27" s="18" t="s">
        <v>265</v>
      </c>
      <c r="D27" s="18" t="s">
        <v>266</v>
      </c>
      <c r="E27" s="18" t="s">
        <v>267</v>
      </c>
      <c r="F27" s="18" t="s">
        <v>268</v>
      </c>
      <c r="G27" s="18" t="s">
        <v>269</v>
      </c>
    </row>
    <row r="28" spans="1:7">
      <c r="A28" s="21" t="s">
        <v>456</v>
      </c>
      <c r="B28" s="20"/>
      <c r="C28" s="500">
        <v>650</v>
      </c>
      <c r="D28" s="500">
        <v>650</v>
      </c>
      <c r="E28" s="500">
        <v>650</v>
      </c>
      <c r="F28" s="500">
        <v>650</v>
      </c>
      <c r="G28" s="500">
        <v>650</v>
      </c>
    </row>
    <row r="29" spans="1:7">
      <c r="A29" s="21" t="s">
        <v>457</v>
      </c>
      <c r="B29" s="20"/>
      <c r="C29" s="500">
        <f>+C28/12</f>
        <v>54.166666666666664</v>
      </c>
      <c r="D29" s="500">
        <f>+D28/12</f>
        <v>54.166666666666664</v>
      </c>
      <c r="E29" s="500">
        <f t="shared" ref="E29:G29" si="16">+E28/12</f>
        <v>54.166666666666664</v>
      </c>
      <c r="F29" s="500">
        <f t="shared" si="16"/>
        <v>54.166666666666664</v>
      </c>
      <c r="G29" s="500">
        <f t="shared" si="16"/>
        <v>54.166666666666664</v>
      </c>
    </row>
    <row r="30" spans="1:7">
      <c r="A30" s="21" t="s">
        <v>458</v>
      </c>
      <c r="B30" s="20"/>
      <c r="C30" s="500">
        <f>C28/12</f>
        <v>54.166666666666664</v>
      </c>
      <c r="D30" s="500">
        <f t="shared" ref="D30:G30" si="17">D28/12</f>
        <v>54.166666666666664</v>
      </c>
      <c r="E30" s="500">
        <f t="shared" si="17"/>
        <v>54.166666666666664</v>
      </c>
      <c r="F30" s="500">
        <f t="shared" si="17"/>
        <v>54.166666666666664</v>
      </c>
      <c r="G30" s="500">
        <f t="shared" si="17"/>
        <v>54.166666666666664</v>
      </c>
    </row>
    <row r="31" spans="1:7">
      <c r="A31" s="21" t="s">
        <v>459</v>
      </c>
      <c r="B31" s="501">
        <v>0.1115</v>
      </c>
      <c r="C31" s="500">
        <f>C28*B31</f>
        <v>72.474999999999994</v>
      </c>
      <c r="D31" s="500">
        <f>D28*$B$7</f>
        <v>72.474999999999994</v>
      </c>
      <c r="E31" s="500">
        <f t="shared" ref="E31:G31" si="18">E28*$B$7</f>
        <v>72.474999999999994</v>
      </c>
      <c r="F31" s="500">
        <f t="shared" si="18"/>
        <v>72.474999999999994</v>
      </c>
      <c r="G31" s="500">
        <f t="shared" si="18"/>
        <v>72.474999999999994</v>
      </c>
    </row>
    <row r="32" spans="1:7">
      <c r="A32" s="21" t="s">
        <v>460</v>
      </c>
      <c r="B32" s="501">
        <v>9.4500000000000001E-2</v>
      </c>
      <c r="C32" s="500">
        <f>C28*B32</f>
        <v>61.424999999999997</v>
      </c>
      <c r="D32" s="500">
        <f>D28*$B$8</f>
        <v>61.424999999999997</v>
      </c>
      <c r="E32" s="500">
        <f t="shared" ref="E32:G32" si="19">E28*$B$8</f>
        <v>61.424999999999997</v>
      </c>
      <c r="F32" s="500">
        <f t="shared" si="19"/>
        <v>61.424999999999997</v>
      </c>
      <c r="G32" s="500">
        <f t="shared" si="19"/>
        <v>61.424999999999997</v>
      </c>
    </row>
    <row r="33" spans="1:7">
      <c r="A33" s="21" t="s">
        <v>461</v>
      </c>
      <c r="B33" s="20"/>
      <c r="C33" s="500">
        <f>+C28/24</f>
        <v>27.083333333333332</v>
      </c>
      <c r="D33" s="500">
        <f t="shared" ref="D33:G33" si="20">+D28/24</f>
        <v>27.083333333333332</v>
      </c>
      <c r="E33" s="500">
        <f t="shared" si="20"/>
        <v>27.083333333333332</v>
      </c>
      <c r="F33" s="500">
        <f t="shared" si="20"/>
        <v>27.083333333333332</v>
      </c>
      <c r="G33" s="500">
        <f t="shared" si="20"/>
        <v>27.083333333333332</v>
      </c>
    </row>
    <row r="34" spans="1:7">
      <c r="A34" s="21" t="s">
        <v>462</v>
      </c>
      <c r="B34" s="501">
        <v>8.3299999999999999E-2</v>
      </c>
      <c r="C34" s="500"/>
      <c r="D34" s="500">
        <f>D28*$B$10</f>
        <v>54.144999999999996</v>
      </c>
      <c r="E34" s="500">
        <f t="shared" ref="E34:G34" si="21">E28*$B$10</f>
        <v>54.144999999999996</v>
      </c>
      <c r="F34" s="500">
        <f t="shared" si="21"/>
        <v>54.144999999999996</v>
      </c>
      <c r="G34" s="500">
        <f t="shared" si="21"/>
        <v>54.144999999999996</v>
      </c>
    </row>
    <row r="35" spans="1:7">
      <c r="A35" s="21" t="s">
        <v>463</v>
      </c>
      <c r="B35" s="20"/>
      <c r="C35" s="500">
        <f>SUM(C28:C34)</f>
        <v>919.31666666666661</v>
      </c>
      <c r="D35" s="500">
        <f t="shared" ref="D35:G35" si="22">SUM(D28:D34)</f>
        <v>973.46166666666659</v>
      </c>
      <c r="E35" s="500">
        <f t="shared" si="22"/>
        <v>973.46166666666659</v>
      </c>
      <c r="F35" s="500">
        <f t="shared" si="22"/>
        <v>973.46166666666659</v>
      </c>
      <c r="G35" s="500">
        <f t="shared" si="22"/>
        <v>973.46166666666659</v>
      </c>
    </row>
    <row r="36" spans="1:7" ht="16.2" thickBot="1">
      <c r="A36" s="353" t="s">
        <v>464</v>
      </c>
      <c r="B36" s="353"/>
      <c r="C36" s="502">
        <f>C35*12</f>
        <v>11031.8</v>
      </c>
      <c r="D36" s="502">
        <f>D35*12</f>
        <v>11681.539999999999</v>
      </c>
      <c r="E36" s="502">
        <f>E35*12</f>
        <v>11681.539999999999</v>
      </c>
      <c r="F36" s="502">
        <f t="shared" ref="F36:G36" si="23">F35*12</f>
        <v>11681.539999999999</v>
      </c>
      <c r="G36" s="502">
        <f t="shared" si="23"/>
        <v>11681.539999999999</v>
      </c>
    </row>
    <row r="38" spans="1:7" ht="16.2" thickBot="1">
      <c r="A38" s="499" t="s">
        <v>465</v>
      </c>
      <c r="B38" s="499"/>
      <c r="C38" s="499"/>
      <c r="D38" s="499"/>
      <c r="E38" s="499"/>
      <c r="F38" s="499"/>
      <c r="G38" s="499"/>
    </row>
    <row r="39" spans="1:7">
      <c r="A39" s="21"/>
      <c r="B39" s="21"/>
      <c r="C39" s="18" t="s">
        <v>265</v>
      </c>
      <c r="D39" s="18" t="s">
        <v>266</v>
      </c>
      <c r="E39" s="18" t="s">
        <v>267</v>
      </c>
      <c r="F39" s="18" t="s">
        <v>268</v>
      </c>
      <c r="G39" s="18" t="s">
        <v>269</v>
      </c>
    </row>
    <row r="40" spans="1:7">
      <c r="A40" s="21" t="s">
        <v>456</v>
      </c>
      <c r="B40" s="20"/>
      <c r="C40" s="500">
        <v>700</v>
      </c>
      <c r="D40" s="500">
        <v>700</v>
      </c>
      <c r="E40" s="500">
        <v>700</v>
      </c>
      <c r="F40" s="500">
        <v>700</v>
      </c>
      <c r="G40" s="500">
        <v>700</v>
      </c>
    </row>
    <row r="41" spans="1:7">
      <c r="A41" s="21" t="s">
        <v>457</v>
      </c>
      <c r="B41" s="20"/>
      <c r="C41" s="500">
        <f>+C40/12</f>
        <v>58.333333333333336</v>
      </c>
      <c r="D41" s="500">
        <f>+D40/12</f>
        <v>58.333333333333336</v>
      </c>
      <c r="E41" s="500">
        <f t="shared" ref="E41:G41" si="24">+E40/12</f>
        <v>58.333333333333336</v>
      </c>
      <c r="F41" s="500">
        <f t="shared" si="24"/>
        <v>58.333333333333336</v>
      </c>
      <c r="G41" s="500">
        <f t="shared" si="24"/>
        <v>58.333333333333336</v>
      </c>
    </row>
    <row r="42" spans="1:7">
      <c r="A42" s="21" t="s">
        <v>458</v>
      </c>
      <c r="B42" s="20"/>
      <c r="C42" s="500">
        <f>C40/12</f>
        <v>58.333333333333336</v>
      </c>
      <c r="D42" s="500">
        <f t="shared" ref="D42:G42" si="25">D40/12</f>
        <v>58.333333333333336</v>
      </c>
      <c r="E42" s="500">
        <f t="shared" si="25"/>
        <v>58.333333333333336</v>
      </c>
      <c r="F42" s="500">
        <f t="shared" si="25"/>
        <v>58.333333333333336</v>
      </c>
      <c r="G42" s="500">
        <f t="shared" si="25"/>
        <v>58.333333333333336</v>
      </c>
    </row>
    <row r="43" spans="1:7">
      <c r="A43" s="21" t="s">
        <v>459</v>
      </c>
      <c r="B43" s="501">
        <v>0.1115</v>
      </c>
      <c r="C43" s="500">
        <f>C40*B43</f>
        <v>78.05</v>
      </c>
      <c r="D43" s="500">
        <f>D40*$B$7</f>
        <v>78.05</v>
      </c>
      <c r="E43" s="500">
        <f t="shared" ref="E43:G43" si="26">E40*$B$7</f>
        <v>78.05</v>
      </c>
      <c r="F43" s="500">
        <f t="shared" si="26"/>
        <v>78.05</v>
      </c>
      <c r="G43" s="500">
        <f t="shared" si="26"/>
        <v>78.05</v>
      </c>
    </row>
    <row r="44" spans="1:7">
      <c r="A44" s="21" t="s">
        <v>460</v>
      </c>
      <c r="B44" s="501">
        <v>9.4500000000000001E-2</v>
      </c>
      <c r="C44" s="500">
        <f>C40*B44</f>
        <v>66.150000000000006</v>
      </c>
      <c r="D44" s="500">
        <f>D40*$B$8</f>
        <v>66.150000000000006</v>
      </c>
      <c r="E44" s="500">
        <f t="shared" ref="E44:G44" si="27">E40*$B$8</f>
        <v>66.150000000000006</v>
      </c>
      <c r="F44" s="500">
        <f t="shared" si="27"/>
        <v>66.150000000000006</v>
      </c>
      <c r="G44" s="500">
        <f t="shared" si="27"/>
        <v>66.150000000000006</v>
      </c>
    </row>
    <row r="45" spans="1:7">
      <c r="A45" s="21" t="s">
        <v>461</v>
      </c>
      <c r="B45" s="20"/>
      <c r="C45" s="500">
        <f>+C40/24</f>
        <v>29.166666666666668</v>
      </c>
      <c r="D45" s="500">
        <f t="shared" ref="D45:G45" si="28">+D40/24</f>
        <v>29.166666666666668</v>
      </c>
      <c r="E45" s="500">
        <f t="shared" si="28"/>
        <v>29.166666666666668</v>
      </c>
      <c r="F45" s="500">
        <f t="shared" si="28"/>
        <v>29.166666666666668</v>
      </c>
      <c r="G45" s="500">
        <f t="shared" si="28"/>
        <v>29.166666666666668</v>
      </c>
    </row>
    <row r="46" spans="1:7">
      <c r="A46" s="21" t="s">
        <v>462</v>
      </c>
      <c r="B46" s="501">
        <v>8.3299999999999999E-2</v>
      </c>
      <c r="C46" s="500"/>
      <c r="D46" s="500">
        <f>D40*$B$10</f>
        <v>58.31</v>
      </c>
      <c r="E46" s="500">
        <f t="shared" ref="E46:G46" si="29">E40*$B$10</f>
        <v>58.31</v>
      </c>
      <c r="F46" s="500">
        <f t="shared" si="29"/>
        <v>58.31</v>
      </c>
      <c r="G46" s="500">
        <f t="shared" si="29"/>
        <v>58.31</v>
      </c>
    </row>
    <row r="47" spans="1:7">
      <c r="A47" s="21" t="s">
        <v>463</v>
      </c>
      <c r="B47" s="20"/>
      <c r="C47" s="500">
        <f>SUM(C40:C46)</f>
        <v>990.0333333333333</v>
      </c>
      <c r="D47" s="500">
        <f t="shared" ref="D47:G47" si="30">SUM(D40:D46)</f>
        <v>1048.3433333333332</v>
      </c>
      <c r="E47" s="500">
        <f t="shared" si="30"/>
        <v>1048.3433333333332</v>
      </c>
      <c r="F47" s="500">
        <f t="shared" si="30"/>
        <v>1048.3433333333332</v>
      </c>
      <c r="G47" s="500">
        <f t="shared" si="30"/>
        <v>1048.3433333333332</v>
      </c>
    </row>
    <row r="48" spans="1:7" ht="16.2" thickBot="1">
      <c r="A48" s="353" t="s">
        <v>464</v>
      </c>
      <c r="B48" s="353"/>
      <c r="C48" s="502">
        <f>C47*12</f>
        <v>11880.4</v>
      </c>
      <c r="D48" s="502">
        <f>D47*12</f>
        <v>12580.119999999999</v>
      </c>
      <c r="E48" s="502">
        <f>E47*12</f>
        <v>12580.119999999999</v>
      </c>
      <c r="F48" s="502">
        <f t="shared" ref="F48:G48" si="31">F47*12</f>
        <v>12580.119999999999</v>
      </c>
      <c r="G48" s="502">
        <f t="shared" si="31"/>
        <v>12580.119999999999</v>
      </c>
    </row>
    <row r="50" spans="1:7" ht="16.2" thickBot="1">
      <c r="A50" s="499" t="s">
        <v>245</v>
      </c>
      <c r="B50" s="499"/>
      <c r="C50" s="499"/>
      <c r="D50" s="499"/>
      <c r="E50" s="499"/>
      <c r="F50" s="499"/>
      <c r="G50" s="499"/>
    </row>
    <row r="51" spans="1:7">
      <c r="A51" s="21"/>
      <c r="B51" s="21"/>
      <c r="C51" s="18" t="s">
        <v>265</v>
      </c>
      <c r="D51" s="18" t="s">
        <v>266</v>
      </c>
      <c r="E51" s="18" t="s">
        <v>267</v>
      </c>
      <c r="F51" s="18" t="s">
        <v>268</v>
      </c>
      <c r="G51" s="18" t="s">
        <v>269</v>
      </c>
    </row>
    <row r="52" spans="1:7">
      <c r="A52" s="21" t="s">
        <v>456</v>
      </c>
      <c r="B52" s="20"/>
      <c r="C52" s="500">
        <v>700</v>
      </c>
      <c r="D52" s="500">
        <v>700</v>
      </c>
      <c r="E52" s="500">
        <v>700</v>
      </c>
      <c r="F52" s="500">
        <v>700</v>
      </c>
      <c r="G52" s="500">
        <v>700</v>
      </c>
    </row>
    <row r="53" spans="1:7">
      <c r="A53" s="21" t="s">
        <v>457</v>
      </c>
      <c r="B53" s="20"/>
      <c r="C53" s="500">
        <f>+C52/12</f>
        <v>58.333333333333336</v>
      </c>
      <c r="D53" s="500">
        <f>+D52/12</f>
        <v>58.333333333333336</v>
      </c>
      <c r="E53" s="500">
        <f t="shared" ref="E53:G53" si="32">+E52/12</f>
        <v>58.333333333333336</v>
      </c>
      <c r="F53" s="500">
        <f t="shared" si="32"/>
        <v>58.333333333333336</v>
      </c>
      <c r="G53" s="500">
        <f t="shared" si="32"/>
        <v>58.333333333333336</v>
      </c>
    </row>
    <row r="54" spans="1:7">
      <c r="A54" s="21" t="s">
        <v>458</v>
      </c>
      <c r="B54" s="20"/>
      <c r="C54" s="500">
        <f>C52/12</f>
        <v>58.333333333333336</v>
      </c>
      <c r="D54" s="500">
        <f t="shared" ref="D54:G54" si="33">D52/12</f>
        <v>58.333333333333336</v>
      </c>
      <c r="E54" s="500">
        <f t="shared" si="33"/>
        <v>58.333333333333336</v>
      </c>
      <c r="F54" s="500">
        <f t="shared" si="33"/>
        <v>58.333333333333336</v>
      </c>
      <c r="G54" s="500">
        <f t="shared" si="33"/>
        <v>58.333333333333336</v>
      </c>
    </row>
    <row r="55" spans="1:7">
      <c r="A55" s="21" t="s">
        <v>459</v>
      </c>
      <c r="B55" s="501">
        <v>0.1115</v>
      </c>
      <c r="C55" s="500">
        <f>C52*B55</f>
        <v>78.05</v>
      </c>
      <c r="D55" s="500">
        <f>D52*$B$7</f>
        <v>78.05</v>
      </c>
      <c r="E55" s="500">
        <f t="shared" ref="E55:G55" si="34">E52*$B$7</f>
        <v>78.05</v>
      </c>
      <c r="F55" s="500">
        <f t="shared" si="34"/>
        <v>78.05</v>
      </c>
      <c r="G55" s="500">
        <f t="shared" si="34"/>
        <v>78.05</v>
      </c>
    </row>
    <row r="56" spans="1:7">
      <c r="A56" s="21" t="s">
        <v>460</v>
      </c>
      <c r="B56" s="501">
        <v>9.4500000000000001E-2</v>
      </c>
      <c r="C56" s="500">
        <f>C52*B56</f>
        <v>66.150000000000006</v>
      </c>
      <c r="D56" s="500">
        <f>D52*$B$8</f>
        <v>66.150000000000006</v>
      </c>
      <c r="E56" s="500">
        <f t="shared" ref="E56:G56" si="35">E52*$B$8</f>
        <v>66.150000000000006</v>
      </c>
      <c r="F56" s="500">
        <f t="shared" si="35"/>
        <v>66.150000000000006</v>
      </c>
      <c r="G56" s="500">
        <f t="shared" si="35"/>
        <v>66.150000000000006</v>
      </c>
    </row>
    <row r="57" spans="1:7">
      <c r="A57" s="21" t="s">
        <v>461</v>
      </c>
      <c r="B57" s="20"/>
      <c r="C57" s="500">
        <f>+C52/24</f>
        <v>29.166666666666668</v>
      </c>
      <c r="D57" s="500">
        <f t="shared" ref="D57:G57" si="36">+D52/24</f>
        <v>29.166666666666668</v>
      </c>
      <c r="E57" s="500">
        <f t="shared" si="36"/>
        <v>29.166666666666668</v>
      </c>
      <c r="F57" s="500">
        <f t="shared" si="36"/>
        <v>29.166666666666668</v>
      </c>
      <c r="G57" s="500">
        <f t="shared" si="36"/>
        <v>29.166666666666668</v>
      </c>
    </row>
    <row r="58" spans="1:7">
      <c r="A58" s="21" t="s">
        <v>462</v>
      </c>
      <c r="B58" s="501">
        <v>8.3299999999999999E-2</v>
      </c>
      <c r="C58" s="500"/>
      <c r="D58" s="500">
        <f>D52*$B$10</f>
        <v>58.31</v>
      </c>
      <c r="E58" s="500">
        <f t="shared" ref="E58:G58" si="37">E52*$B$10</f>
        <v>58.31</v>
      </c>
      <c r="F58" s="500">
        <f t="shared" si="37"/>
        <v>58.31</v>
      </c>
      <c r="G58" s="500">
        <f t="shared" si="37"/>
        <v>58.31</v>
      </c>
    </row>
    <row r="59" spans="1:7">
      <c r="A59" s="21" t="s">
        <v>463</v>
      </c>
      <c r="B59" s="20"/>
      <c r="C59" s="500">
        <f>SUM(C52:C58)</f>
        <v>990.0333333333333</v>
      </c>
      <c r="D59" s="500">
        <f t="shared" ref="D59:G59" si="38">SUM(D52:D58)</f>
        <v>1048.3433333333332</v>
      </c>
      <c r="E59" s="500">
        <f t="shared" si="38"/>
        <v>1048.3433333333332</v>
      </c>
      <c r="F59" s="500">
        <f t="shared" si="38"/>
        <v>1048.3433333333332</v>
      </c>
      <c r="G59" s="500">
        <f t="shared" si="38"/>
        <v>1048.3433333333332</v>
      </c>
    </row>
    <row r="60" spans="1:7" ht="16.2" thickBot="1">
      <c r="A60" s="353" t="s">
        <v>464</v>
      </c>
      <c r="B60" s="353"/>
      <c r="C60" s="502">
        <f>C59*12</f>
        <v>11880.4</v>
      </c>
      <c r="D60" s="502">
        <f>D59*12</f>
        <v>12580.119999999999</v>
      </c>
      <c r="E60" s="502">
        <f>E59*12</f>
        <v>12580.119999999999</v>
      </c>
      <c r="F60" s="502">
        <f t="shared" ref="F60:G60" si="39">F59*12</f>
        <v>12580.119999999999</v>
      </c>
      <c r="G60" s="502">
        <f t="shared" si="39"/>
        <v>12580.119999999999</v>
      </c>
    </row>
    <row r="62" spans="1:7" ht="16.2" thickBot="1">
      <c r="A62" s="499" t="s">
        <v>466</v>
      </c>
      <c r="B62" s="499"/>
      <c r="C62" s="499"/>
      <c r="D62" s="499"/>
      <c r="E62" s="499"/>
      <c r="F62" s="499"/>
      <c r="G62" s="499"/>
    </row>
    <row r="63" spans="1:7">
      <c r="A63" s="21"/>
      <c r="B63" s="21"/>
      <c r="C63" s="18" t="s">
        <v>265</v>
      </c>
      <c r="D63" s="18" t="s">
        <v>266</v>
      </c>
      <c r="E63" s="18" t="s">
        <v>267</v>
      </c>
      <c r="F63" s="18" t="s">
        <v>268</v>
      </c>
      <c r="G63" s="18" t="s">
        <v>269</v>
      </c>
    </row>
    <row r="64" spans="1:7">
      <c r="A64" s="21" t="s">
        <v>456</v>
      </c>
      <c r="B64" s="20"/>
      <c r="C64" s="500">
        <v>650</v>
      </c>
      <c r="D64" s="500">
        <v>650</v>
      </c>
      <c r="E64" s="500">
        <v>650</v>
      </c>
      <c r="F64" s="500">
        <v>650</v>
      </c>
      <c r="G64" s="500">
        <v>650</v>
      </c>
    </row>
    <row r="65" spans="1:7">
      <c r="A65" s="21" t="s">
        <v>457</v>
      </c>
      <c r="B65" s="20"/>
      <c r="C65" s="500">
        <f>+C64/12</f>
        <v>54.166666666666664</v>
      </c>
      <c r="D65" s="500">
        <f>+D64/12</f>
        <v>54.166666666666664</v>
      </c>
      <c r="E65" s="500">
        <f t="shared" ref="E65:G65" si="40">+E64/12</f>
        <v>54.166666666666664</v>
      </c>
      <c r="F65" s="500">
        <f t="shared" si="40"/>
        <v>54.166666666666664</v>
      </c>
      <c r="G65" s="500">
        <f t="shared" si="40"/>
        <v>54.166666666666664</v>
      </c>
    </row>
    <row r="66" spans="1:7">
      <c r="A66" s="21" t="s">
        <v>458</v>
      </c>
      <c r="B66" s="20"/>
      <c r="C66" s="500">
        <f>C64/12</f>
        <v>54.166666666666664</v>
      </c>
      <c r="D66" s="500">
        <f t="shared" ref="D66:G66" si="41">D64/12</f>
        <v>54.166666666666664</v>
      </c>
      <c r="E66" s="500">
        <f t="shared" si="41"/>
        <v>54.166666666666664</v>
      </c>
      <c r="F66" s="500">
        <f t="shared" si="41"/>
        <v>54.166666666666664</v>
      </c>
      <c r="G66" s="500">
        <f t="shared" si="41"/>
        <v>54.166666666666664</v>
      </c>
    </row>
    <row r="67" spans="1:7">
      <c r="A67" s="21" t="s">
        <v>459</v>
      </c>
      <c r="B67" s="501">
        <v>0.1115</v>
      </c>
      <c r="C67" s="500">
        <f>C64*B67</f>
        <v>72.474999999999994</v>
      </c>
      <c r="D67" s="500">
        <f>D64*$B$7</f>
        <v>72.474999999999994</v>
      </c>
      <c r="E67" s="500">
        <f t="shared" ref="E67:G67" si="42">E64*$B$7</f>
        <v>72.474999999999994</v>
      </c>
      <c r="F67" s="500">
        <f t="shared" si="42"/>
        <v>72.474999999999994</v>
      </c>
      <c r="G67" s="500">
        <f t="shared" si="42"/>
        <v>72.474999999999994</v>
      </c>
    </row>
    <row r="68" spans="1:7">
      <c r="A68" s="21" t="s">
        <v>460</v>
      </c>
      <c r="B68" s="501">
        <v>9.4500000000000001E-2</v>
      </c>
      <c r="C68" s="500">
        <f>C64*B68</f>
        <v>61.424999999999997</v>
      </c>
      <c r="D68" s="500">
        <f>D64*$B$8</f>
        <v>61.424999999999997</v>
      </c>
      <c r="E68" s="500">
        <f t="shared" ref="E68:G68" si="43">E64*$B$8</f>
        <v>61.424999999999997</v>
      </c>
      <c r="F68" s="500">
        <f t="shared" si="43"/>
        <v>61.424999999999997</v>
      </c>
      <c r="G68" s="500">
        <f t="shared" si="43"/>
        <v>61.424999999999997</v>
      </c>
    </row>
    <row r="69" spans="1:7">
      <c r="A69" s="21" t="s">
        <v>461</v>
      </c>
      <c r="B69" s="20"/>
      <c r="C69" s="500">
        <f>+C64/24</f>
        <v>27.083333333333332</v>
      </c>
      <c r="D69" s="500">
        <f t="shared" ref="D69:G69" si="44">+D64/24</f>
        <v>27.083333333333332</v>
      </c>
      <c r="E69" s="500">
        <f t="shared" si="44"/>
        <v>27.083333333333332</v>
      </c>
      <c r="F69" s="500">
        <f t="shared" si="44"/>
        <v>27.083333333333332</v>
      </c>
      <c r="G69" s="500">
        <f t="shared" si="44"/>
        <v>27.083333333333332</v>
      </c>
    </row>
    <row r="70" spans="1:7">
      <c r="A70" s="21" t="s">
        <v>462</v>
      </c>
      <c r="B70" s="501">
        <v>8.3299999999999999E-2</v>
      </c>
      <c r="C70" s="500"/>
      <c r="D70" s="500">
        <f>D64*$B$10</f>
        <v>54.144999999999996</v>
      </c>
      <c r="E70" s="500">
        <f t="shared" ref="E70:G70" si="45">E64*$B$10</f>
        <v>54.144999999999996</v>
      </c>
      <c r="F70" s="500">
        <f t="shared" si="45"/>
        <v>54.144999999999996</v>
      </c>
      <c r="G70" s="500">
        <f t="shared" si="45"/>
        <v>54.144999999999996</v>
      </c>
    </row>
    <row r="71" spans="1:7">
      <c r="A71" s="21" t="s">
        <v>463</v>
      </c>
      <c r="B71" s="20"/>
      <c r="C71" s="500">
        <f>SUM(C64:C70)</f>
        <v>919.31666666666661</v>
      </c>
      <c r="D71" s="500">
        <f t="shared" ref="D71:G71" si="46">SUM(D64:D70)</f>
        <v>973.46166666666659</v>
      </c>
      <c r="E71" s="500">
        <f t="shared" si="46"/>
        <v>973.46166666666659</v>
      </c>
      <c r="F71" s="500">
        <f t="shared" si="46"/>
        <v>973.46166666666659</v>
      </c>
      <c r="G71" s="500">
        <f t="shared" si="46"/>
        <v>973.46166666666659</v>
      </c>
    </row>
    <row r="72" spans="1:7" ht="16.2" thickBot="1">
      <c r="A72" s="353" t="s">
        <v>464</v>
      </c>
      <c r="B72" s="353"/>
      <c r="C72" s="502">
        <f>C71*12</f>
        <v>11031.8</v>
      </c>
      <c r="D72" s="502">
        <f>D71*12</f>
        <v>11681.539999999999</v>
      </c>
      <c r="E72" s="502">
        <f>E71*12</f>
        <v>11681.539999999999</v>
      </c>
      <c r="F72" s="502">
        <f t="shared" ref="F72:G72" si="47">F71*12</f>
        <v>11681.539999999999</v>
      </c>
      <c r="G72" s="502">
        <f t="shared" si="47"/>
        <v>11681.539999999999</v>
      </c>
    </row>
    <row r="74" spans="1:7" ht="16.2" thickBot="1">
      <c r="A74" s="499" t="s">
        <v>466</v>
      </c>
      <c r="B74" s="499"/>
      <c r="C74" s="499"/>
      <c r="D74" s="499"/>
      <c r="E74" s="499"/>
      <c r="F74" s="499"/>
      <c r="G74" s="499"/>
    </row>
    <row r="75" spans="1:7">
      <c r="A75" s="21"/>
      <c r="B75" s="21"/>
      <c r="C75" s="18" t="s">
        <v>265</v>
      </c>
      <c r="D75" s="18" t="s">
        <v>266</v>
      </c>
      <c r="E75" s="18" t="s">
        <v>267</v>
      </c>
      <c r="F75" s="18" t="s">
        <v>268</v>
      </c>
      <c r="G75" s="18" t="s">
        <v>269</v>
      </c>
    </row>
    <row r="76" spans="1:7">
      <c r="A76" s="21" t="s">
        <v>456</v>
      </c>
      <c r="B76" s="20"/>
      <c r="C76" s="500">
        <v>650</v>
      </c>
      <c r="D76" s="500">
        <v>650</v>
      </c>
      <c r="E76" s="500">
        <v>650</v>
      </c>
      <c r="F76" s="500">
        <v>650</v>
      </c>
      <c r="G76" s="500">
        <v>650</v>
      </c>
    </row>
    <row r="77" spans="1:7">
      <c r="A77" s="21" t="s">
        <v>457</v>
      </c>
      <c r="B77" s="20"/>
      <c r="C77" s="500">
        <f>+C76/12</f>
        <v>54.166666666666664</v>
      </c>
      <c r="D77" s="500">
        <f>+D76/12</f>
        <v>54.166666666666664</v>
      </c>
      <c r="E77" s="500">
        <f t="shared" ref="E77:G77" si="48">+E76/12</f>
        <v>54.166666666666664</v>
      </c>
      <c r="F77" s="500">
        <f t="shared" si="48"/>
        <v>54.166666666666664</v>
      </c>
      <c r="G77" s="500">
        <f t="shared" si="48"/>
        <v>54.166666666666664</v>
      </c>
    </row>
    <row r="78" spans="1:7">
      <c r="A78" s="21" t="s">
        <v>458</v>
      </c>
      <c r="B78" s="20"/>
      <c r="C78" s="500">
        <f>C76/12</f>
        <v>54.166666666666664</v>
      </c>
      <c r="D78" s="500">
        <f t="shared" ref="D78:G78" si="49">D76/12</f>
        <v>54.166666666666664</v>
      </c>
      <c r="E78" s="500">
        <f t="shared" si="49"/>
        <v>54.166666666666664</v>
      </c>
      <c r="F78" s="500">
        <f t="shared" si="49"/>
        <v>54.166666666666664</v>
      </c>
      <c r="G78" s="500">
        <f t="shared" si="49"/>
        <v>54.166666666666664</v>
      </c>
    </row>
    <row r="79" spans="1:7">
      <c r="A79" s="21" t="s">
        <v>459</v>
      </c>
      <c r="B79" s="501">
        <v>0.1115</v>
      </c>
      <c r="C79" s="500">
        <f>C76*B79</f>
        <v>72.474999999999994</v>
      </c>
      <c r="D79" s="500">
        <f>D76*$B$7</f>
        <v>72.474999999999994</v>
      </c>
      <c r="E79" s="500">
        <f t="shared" ref="E79:G79" si="50">E76*$B$7</f>
        <v>72.474999999999994</v>
      </c>
      <c r="F79" s="500">
        <f t="shared" si="50"/>
        <v>72.474999999999994</v>
      </c>
      <c r="G79" s="500">
        <f t="shared" si="50"/>
        <v>72.474999999999994</v>
      </c>
    </row>
    <row r="80" spans="1:7">
      <c r="A80" s="21" t="s">
        <v>460</v>
      </c>
      <c r="B80" s="501">
        <v>9.4500000000000001E-2</v>
      </c>
      <c r="C80" s="500">
        <f>C76*B80</f>
        <v>61.424999999999997</v>
      </c>
      <c r="D80" s="500">
        <f>D76*$B$8</f>
        <v>61.424999999999997</v>
      </c>
      <c r="E80" s="500">
        <f t="shared" ref="E80:G80" si="51">E76*$B$8</f>
        <v>61.424999999999997</v>
      </c>
      <c r="F80" s="500">
        <f t="shared" si="51"/>
        <v>61.424999999999997</v>
      </c>
      <c r="G80" s="500">
        <f t="shared" si="51"/>
        <v>61.424999999999997</v>
      </c>
    </row>
    <row r="81" spans="1:7">
      <c r="A81" s="21" t="s">
        <v>461</v>
      </c>
      <c r="B81" s="20"/>
      <c r="C81" s="500">
        <f>+C76/24</f>
        <v>27.083333333333332</v>
      </c>
      <c r="D81" s="500">
        <f t="shared" ref="D81:G81" si="52">+D76/24</f>
        <v>27.083333333333332</v>
      </c>
      <c r="E81" s="500">
        <f t="shared" si="52"/>
        <v>27.083333333333332</v>
      </c>
      <c r="F81" s="500">
        <f t="shared" si="52"/>
        <v>27.083333333333332</v>
      </c>
      <c r="G81" s="500">
        <f t="shared" si="52"/>
        <v>27.083333333333332</v>
      </c>
    </row>
    <row r="82" spans="1:7">
      <c r="A82" s="21" t="s">
        <v>462</v>
      </c>
      <c r="B82" s="501">
        <v>8.3299999999999999E-2</v>
      </c>
      <c r="C82" s="500"/>
      <c r="D82" s="500">
        <f>D76*$B$10</f>
        <v>54.144999999999996</v>
      </c>
      <c r="E82" s="500">
        <f t="shared" ref="E82:G82" si="53">E76*$B$10</f>
        <v>54.144999999999996</v>
      </c>
      <c r="F82" s="500">
        <f t="shared" si="53"/>
        <v>54.144999999999996</v>
      </c>
      <c r="G82" s="500">
        <f t="shared" si="53"/>
        <v>54.144999999999996</v>
      </c>
    </row>
    <row r="83" spans="1:7">
      <c r="A83" s="21" t="s">
        <v>463</v>
      </c>
      <c r="B83" s="20"/>
      <c r="C83" s="500">
        <f>SUM(C76:C82)</f>
        <v>919.31666666666661</v>
      </c>
      <c r="D83" s="500">
        <f t="shared" ref="D83:G83" si="54">SUM(D76:D82)</f>
        <v>973.46166666666659</v>
      </c>
      <c r="E83" s="500">
        <f t="shared" si="54"/>
        <v>973.46166666666659</v>
      </c>
      <c r="F83" s="500">
        <f t="shared" si="54"/>
        <v>973.46166666666659</v>
      </c>
      <c r="G83" s="500">
        <f t="shared" si="54"/>
        <v>973.46166666666659</v>
      </c>
    </row>
    <row r="84" spans="1:7" ht="16.2" thickBot="1">
      <c r="A84" s="353" t="s">
        <v>464</v>
      </c>
      <c r="B84" s="353"/>
      <c r="C84" s="502">
        <f>C83*12</f>
        <v>11031.8</v>
      </c>
      <c r="D84" s="502">
        <f>D83*12</f>
        <v>11681.539999999999</v>
      </c>
      <c r="E84" s="502">
        <f>E83*12</f>
        <v>11681.539999999999</v>
      </c>
      <c r="F84" s="502">
        <f t="shared" ref="F84:G84" si="55">F83*12</f>
        <v>11681.539999999999</v>
      </c>
      <c r="G84" s="502">
        <f t="shared" si="55"/>
        <v>11681.539999999999</v>
      </c>
    </row>
  </sheetData>
  <mergeCells count="7">
    <mergeCell ref="A74:G74"/>
    <mergeCell ref="A2:G2"/>
    <mergeCell ref="A14:G14"/>
    <mergeCell ref="A26:G26"/>
    <mergeCell ref="A38:G38"/>
    <mergeCell ref="A50:G50"/>
    <mergeCell ref="A62:G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showGridLines="0" zoomScale="90" zoomScaleNormal="90" workbookViewId="0">
      <selection activeCell="K21" sqref="K21"/>
    </sheetView>
  </sheetViews>
  <sheetFormatPr baseColWidth="10" defaultRowHeight="15.6"/>
  <cols>
    <col min="1" max="1" width="3.59765625" customWidth="1"/>
    <col min="2" max="2" width="28.5" customWidth="1"/>
    <col min="3" max="3" width="14" customWidth="1"/>
    <col min="11" max="11" width="19.3984375" customWidth="1"/>
  </cols>
  <sheetData>
    <row r="1" spans="2:12" ht="16.2" thickBot="1"/>
    <row r="2" spans="2:12" ht="16.2" thickBot="1">
      <c r="B2" s="383" t="s">
        <v>271</v>
      </c>
      <c r="C2" s="385"/>
    </row>
    <row r="3" spans="2:12" ht="16.2" thickBot="1"/>
    <row r="4" spans="2:12" ht="31.8" thickBot="1">
      <c r="B4" s="187" t="s">
        <v>13</v>
      </c>
      <c r="C4" s="188" t="s">
        <v>10</v>
      </c>
      <c r="D4" s="188" t="s">
        <v>264</v>
      </c>
      <c r="E4" s="477" t="s">
        <v>265</v>
      </c>
      <c r="F4" s="188" t="s">
        <v>266</v>
      </c>
      <c r="G4" s="188" t="s">
        <v>267</v>
      </c>
      <c r="H4" s="188" t="s">
        <v>268</v>
      </c>
      <c r="I4" s="188" t="s">
        <v>269</v>
      </c>
      <c r="J4" s="188" t="s">
        <v>270</v>
      </c>
    </row>
    <row r="5" spans="2:12">
      <c r="B5" s="147" t="s">
        <v>236</v>
      </c>
      <c r="C5" s="132">
        <v>1800</v>
      </c>
      <c r="D5" s="448">
        <v>10</v>
      </c>
      <c r="E5" s="132">
        <f>C5/D5</f>
        <v>180</v>
      </c>
      <c r="F5" s="132">
        <f>$E$5</f>
        <v>180</v>
      </c>
      <c r="G5" s="132">
        <f t="shared" ref="G5:I20" si="0">$E$5</f>
        <v>180</v>
      </c>
      <c r="H5" s="132">
        <f t="shared" si="0"/>
        <v>180</v>
      </c>
      <c r="I5" s="132">
        <f t="shared" si="0"/>
        <v>180</v>
      </c>
      <c r="J5" s="132">
        <v>900</v>
      </c>
      <c r="L5" s="119"/>
    </row>
    <row r="6" spans="2:12">
      <c r="B6" s="148" t="s">
        <v>237</v>
      </c>
      <c r="C6" s="133">
        <v>2200</v>
      </c>
      <c r="D6" s="313">
        <v>10</v>
      </c>
      <c r="E6" s="133">
        <f>C6/D6</f>
        <v>220</v>
      </c>
      <c r="F6" s="450">
        <f>E6</f>
        <v>220</v>
      </c>
      <c r="G6" s="450">
        <f t="shared" ref="G6:I6" si="1">F6</f>
        <v>220</v>
      </c>
      <c r="H6" s="450">
        <f t="shared" si="1"/>
        <v>220</v>
      </c>
      <c r="I6" s="450">
        <f t="shared" si="1"/>
        <v>220</v>
      </c>
      <c r="J6" s="133">
        <v>1100</v>
      </c>
      <c r="L6" s="119"/>
    </row>
    <row r="7" spans="2:12">
      <c r="B7" s="148" t="s">
        <v>238</v>
      </c>
      <c r="C7" s="133">
        <v>1300</v>
      </c>
      <c r="D7" s="313">
        <v>8</v>
      </c>
      <c r="E7" s="133">
        <f t="shared" ref="E7:E21" si="2">C7/D7</f>
        <v>162.5</v>
      </c>
      <c r="F7" s="450">
        <f t="shared" ref="F7:I7" si="3">E7</f>
        <v>162.5</v>
      </c>
      <c r="G7" s="450">
        <f t="shared" si="3"/>
        <v>162.5</v>
      </c>
      <c r="H7" s="450">
        <f t="shared" si="3"/>
        <v>162.5</v>
      </c>
      <c r="I7" s="450">
        <f t="shared" si="3"/>
        <v>162.5</v>
      </c>
      <c r="J7" s="133">
        <v>812.5</v>
      </c>
      <c r="L7" s="119"/>
    </row>
    <row r="8" spans="2:12">
      <c r="B8" s="148" t="s">
        <v>239</v>
      </c>
      <c r="C8" s="133">
        <v>500</v>
      </c>
      <c r="D8" s="313">
        <v>8</v>
      </c>
      <c r="E8" s="133">
        <f t="shared" si="2"/>
        <v>62.5</v>
      </c>
      <c r="F8" s="450">
        <f t="shared" ref="F8:I8" si="4">E8</f>
        <v>62.5</v>
      </c>
      <c r="G8" s="450">
        <f t="shared" si="4"/>
        <v>62.5</v>
      </c>
      <c r="H8" s="450">
        <f t="shared" si="4"/>
        <v>62.5</v>
      </c>
      <c r="I8" s="450">
        <f t="shared" si="4"/>
        <v>62.5</v>
      </c>
      <c r="J8" s="133">
        <v>312.5</v>
      </c>
      <c r="K8" s="119"/>
      <c r="L8" s="119"/>
    </row>
    <row r="9" spans="2:12">
      <c r="B9" s="148" t="s">
        <v>240</v>
      </c>
      <c r="C9" s="133">
        <v>1000</v>
      </c>
      <c r="D9" s="313">
        <v>10</v>
      </c>
      <c r="E9" s="133">
        <f t="shared" si="2"/>
        <v>100</v>
      </c>
      <c r="F9" s="450">
        <f t="shared" ref="F9:I9" si="5">E9</f>
        <v>100</v>
      </c>
      <c r="G9" s="450">
        <f t="shared" si="5"/>
        <v>100</v>
      </c>
      <c r="H9" s="450">
        <f t="shared" si="5"/>
        <v>100</v>
      </c>
      <c r="I9" s="450">
        <f t="shared" si="5"/>
        <v>100</v>
      </c>
      <c r="J9" s="133">
        <v>500</v>
      </c>
      <c r="L9" s="119"/>
    </row>
    <row r="10" spans="2:12">
      <c r="B10" s="148" t="s">
        <v>230</v>
      </c>
      <c r="C10" s="133">
        <v>140</v>
      </c>
      <c r="D10" s="313">
        <v>5</v>
      </c>
      <c r="E10" s="133">
        <f t="shared" si="2"/>
        <v>28</v>
      </c>
      <c r="F10" s="450">
        <f t="shared" ref="F10:I10" si="6">E10</f>
        <v>28</v>
      </c>
      <c r="G10" s="450">
        <f t="shared" si="6"/>
        <v>28</v>
      </c>
      <c r="H10" s="450">
        <f t="shared" si="6"/>
        <v>28</v>
      </c>
      <c r="I10" s="450">
        <f t="shared" si="6"/>
        <v>28</v>
      </c>
      <c r="J10" s="133">
        <v>340</v>
      </c>
      <c r="L10" s="119"/>
    </row>
    <row r="11" spans="2:12">
      <c r="B11" s="148" t="s">
        <v>241</v>
      </c>
      <c r="C11" s="133">
        <v>350</v>
      </c>
      <c r="D11" s="313">
        <v>10</v>
      </c>
      <c r="E11" s="133">
        <f t="shared" si="2"/>
        <v>35</v>
      </c>
      <c r="F11" s="450">
        <f t="shared" ref="F11:I11" si="7">E11</f>
        <v>35</v>
      </c>
      <c r="G11" s="450">
        <f t="shared" si="7"/>
        <v>35</v>
      </c>
      <c r="H11" s="450">
        <f t="shared" si="7"/>
        <v>35</v>
      </c>
      <c r="I11" s="450">
        <f t="shared" si="7"/>
        <v>35</v>
      </c>
      <c r="J11" s="133">
        <v>350</v>
      </c>
      <c r="L11" s="119"/>
    </row>
    <row r="12" spans="2:12">
      <c r="B12" s="148" t="s">
        <v>231</v>
      </c>
      <c r="C12" s="133">
        <v>360</v>
      </c>
      <c r="D12" s="313">
        <v>8</v>
      </c>
      <c r="E12" s="133">
        <f t="shared" si="2"/>
        <v>45</v>
      </c>
      <c r="F12" s="450">
        <f t="shared" ref="F12:I12" si="8">E12</f>
        <v>45</v>
      </c>
      <c r="G12" s="450">
        <f t="shared" si="8"/>
        <v>45</v>
      </c>
      <c r="H12" s="450">
        <f t="shared" si="8"/>
        <v>45</v>
      </c>
      <c r="I12" s="450">
        <f t="shared" si="8"/>
        <v>45</v>
      </c>
      <c r="J12" s="133">
        <v>225</v>
      </c>
      <c r="L12" s="119"/>
    </row>
    <row r="13" spans="2:12">
      <c r="B13" s="148" t="s">
        <v>232</v>
      </c>
      <c r="C13" s="133">
        <v>450</v>
      </c>
      <c r="D13" s="313">
        <v>10</v>
      </c>
      <c r="E13" s="133">
        <f t="shared" si="2"/>
        <v>45</v>
      </c>
      <c r="F13" s="450">
        <f t="shared" ref="F13:I13" si="9">E13</f>
        <v>45</v>
      </c>
      <c r="G13" s="450">
        <f t="shared" si="9"/>
        <v>45</v>
      </c>
      <c r="H13" s="450">
        <f t="shared" si="9"/>
        <v>45</v>
      </c>
      <c r="I13" s="450">
        <f t="shared" si="9"/>
        <v>45</v>
      </c>
      <c r="J13" s="133">
        <v>225</v>
      </c>
      <c r="L13" s="119"/>
    </row>
    <row r="14" spans="2:12" ht="31.2">
      <c r="B14" s="148" t="s">
        <v>242</v>
      </c>
      <c r="C14" s="133">
        <v>700</v>
      </c>
      <c r="D14" s="313">
        <v>8</v>
      </c>
      <c r="E14" s="133">
        <f t="shared" si="2"/>
        <v>87.5</v>
      </c>
      <c r="F14" s="450">
        <f t="shared" ref="F14:I14" si="10">E14</f>
        <v>87.5</v>
      </c>
      <c r="G14" s="450">
        <f t="shared" si="10"/>
        <v>87.5</v>
      </c>
      <c r="H14" s="450">
        <f t="shared" si="10"/>
        <v>87.5</v>
      </c>
      <c r="I14" s="450">
        <f t="shared" si="10"/>
        <v>87.5</v>
      </c>
      <c r="J14" s="133">
        <v>700</v>
      </c>
      <c r="L14" s="119"/>
    </row>
    <row r="15" spans="2:12">
      <c r="B15" s="148" t="s">
        <v>233</v>
      </c>
      <c r="C15" s="133">
        <v>450</v>
      </c>
      <c r="D15" s="313">
        <v>10</v>
      </c>
      <c r="E15" s="133">
        <f t="shared" si="2"/>
        <v>45</v>
      </c>
      <c r="F15" s="450">
        <f t="shared" ref="F15:I15" si="11">E15</f>
        <v>45</v>
      </c>
      <c r="G15" s="450">
        <f t="shared" si="11"/>
        <v>45</v>
      </c>
      <c r="H15" s="450">
        <f t="shared" si="11"/>
        <v>45</v>
      </c>
      <c r="I15" s="450">
        <f t="shared" si="11"/>
        <v>45</v>
      </c>
      <c r="J15" s="133">
        <v>225</v>
      </c>
      <c r="L15" s="119"/>
    </row>
    <row r="16" spans="2:12">
      <c r="B16" s="127" t="s">
        <v>18</v>
      </c>
      <c r="C16" s="150">
        <v>750</v>
      </c>
      <c r="D16" s="314">
        <v>10</v>
      </c>
      <c r="E16" s="133">
        <f t="shared" si="2"/>
        <v>75</v>
      </c>
      <c r="F16" s="450">
        <f t="shared" ref="F16:I16" si="12">E16</f>
        <v>75</v>
      </c>
      <c r="G16" s="450">
        <f t="shared" si="12"/>
        <v>75</v>
      </c>
      <c r="H16" s="450">
        <f t="shared" si="12"/>
        <v>75</v>
      </c>
      <c r="I16" s="450">
        <f t="shared" si="12"/>
        <v>75</v>
      </c>
      <c r="J16" s="150">
        <v>150</v>
      </c>
      <c r="L16" s="119"/>
    </row>
    <row r="17" spans="2:12">
      <c r="B17" s="127" t="s">
        <v>19</v>
      </c>
      <c r="C17" s="150">
        <v>500</v>
      </c>
      <c r="D17" s="314">
        <v>10</v>
      </c>
      <c r="E17" s="133">
        <f t="shared" si="2"/>
        <v>50</v>
      </c>
      <c r="F17" s="450">
        <f t="shared" ref="F17:I17" si="13">E17</f>
        <v>50</v>
      </c>
      <c r="G17" s="450">
        <f t="shared" si="13"/>
        <v>50</v>
      </c>
      <c r="H17" s="450">
        <f t="shared" si="13"/>
        <v>50</v>
      </c>
      <c r="I17" s="450">
        <f t="shared" si="13"/>
        <v>50</v>
      </c>
      <c r="J17" s="150">
        <v>250</v>
      </c>
      <c r="L17" s="119"/>
    </row>
    <row r="18" spans="2:12">
      <c r="B18" s="127" t="s">
        <v>21</v>
      </c>
      <c r="C18" s="150">
        <v>500</v>
      </c>
      <c r="D18" s="314">
        <v>10</v>
      </c>
      <c r="E18" s="133">
        <f t="shared" si="2"/>
        <v>50</v>
      </c>
      <c r="F18" s="450">
        <f t="shared" ref="F18:I18" si="14">E18</f>
        <v>50</v>
      </c>
      <c r="G18" s="450">
        <f t="shared" si="14"/>
        <v>50</v>
      </c>
      <c r="H18" s="450">
        <f t="shared" si="14"/>
        <v>50</v>
      </c>
      <c r="I18" s="450">
        <f t="shared" si="14"/>
        <v>50</v>
      </c>
      <c r="J18" s="150">
        <v>250</v>
      </c>
      <c r="L18" s="119"/>
    </row>
    <row r="19" spans="2:12">
      <c r="B19" s="127" t="s">
        <v>115</v>
      </c>
      <c r="C19" s="150">
        <v>4500</v>
      </c>
      <c r="D19" s="314">
        <v>3</v>
      </c>
      <c r="E19" s="133">
        <f t="shared" si="2"/>
        <v>1500</v>
      </c>
      <c r="F19" s="450">
        <f t="shared" ref="F19:I19" si="15">E19</f>
        <v>1500</v>
      </c>
      <c r="G19" s="450">
        <f t="shared" si="15"/>
        <v>1500</v>
      </c>
      <c r="H19" s="450">
        <f t="shared" si="15"/>
        <v>1500</v>
      </c>
      <c r="I19" s="450">
        <f t="shared" si="15"/>
        <v>1500</v>
      </c>
      <c r="J19" s="150">
        <v>4500</v>
      </c>
      <c r="L19" s="119"/>
    </row>
    <row r="20" spans="2:12">
      <c r="B20" s="127" t="s">
        <v>136</v>
      </c>
      <c r="C20" s="150">
        <v>600</v>
      </c>
      <c r="D20" s="314">
        <v>5</v>
      </c>
      <c r="E20" s="133">
        <f t="shared" si="2"/>
        <v>120</v>
      </c>
      <c r="F20" s="450">
        <f t="shared" ref="F20:I20" si="16">E20</f>
        <v>120</v>
      </c>
      <c r="G20" s="450">
        <f t="shared" si="16"/>
        <v>120</v>
      </c>
      <c r="H20" s="450">
        <f t="shared" si="16"/>
        <v>120</v>
      </c>
      <c r="I20" s="450">
        <f t="shared" si="16"/>
        <v>120</v>
      </c>
      <c r="J20" s="150">
        <v>600</v>
      </c>
      <c r="L20" s="119"/>
    </row>
    <row r="21" spans="2:12" ht="16.2" thickBot="1">
      <c r="B21" s="144" t="s">
        <v>243</v>
      </c>
      <c r="C21" s="189">
        <v>1000</v>
      </c>
      <c r="D21" s="476">
        <v>5</v>
      </c>
      <c r="E21" s="134">
        <f t="shared" si="2"/>
        <v>200</v>
      </c>
      <c r="F21" s="450">
        <f t="shared" ref="F21:I21" si="17">E21</f>
        <v>200</v>
      </c>
      <c r="G21" s="450">
        <f t="shared" si="17"/>
        <v>200</v>
      </c>
      <c r="H21" s="450">
        <f t="shared" si="17"/>
        <v>200</v>
      </c>
      <c r="I21" s="450">
        <f t="shared" si="17"/>
        <v>200</v>
      </c>
      <c r="J21" s="189">
        <v>625</v>
      </c>
      <c r="L21" s="119"/>
    </row>
    <row r="22" spans="2:12" ht="16.2" thickBot="1">
      <c r="B22" s="154" t="s">
        <v>15</v>
      </c>
      <c r="C22" s="140">
        <f>SUM(C5:C21)</f>
        <v>17100</v>
      </c>
      <c r="D22" s="151"/>
      <c r="E22" s="478">
        <f>SUM(E5:E21)</f>
        <v>3005.5</v>
      </c>
      <c r="F22" s="151">
        <f t="shared" ref="F22:J22" si="18">SUM(F5:F21)</f>
        <v>3005.5</v>
      </c>
      <c r="G22" s="151">
        <f t="shared" si="18"/>
        <v>3005.5</v>
      </c>
      <c r="H22" s="151">
        <f t="shared" si="18"/>
        <v>3005.5</v>
      </c>
      <c r="I22" s="151">
        <f t="shared" si="18"/>
        <v>3005.5</v>
      </c>
      <c r="J22" s="151">
        <f t="shared" si="18"/>
        <v>12065</v>
      </c>
      <c r="L22" s="119"/>
    </row>
  </sheetData>
  <mergeCells count="1">
    <mergeCell ref="B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showGridLines="0" workbookViewId="0">
      <selection activeCell="I25" sqref="I25"/>
    </sheetView>
  </sheetViews>
  <sheetFormatPr baseColWidth="10" defaultColWidth="11" defaultRowHeight="13.8"/>
  <cols>
    <col min="1" max="1" width="3.59765625" style="183" customWidth="1"/>
    <col min="2" max="2" width="29.3984375" style="183" customWidth="1"/>
    <col min="3" max="16384" width="11" style="183"/>
  </cols>
  <sheetData>
    <row r="1" spans="2:9" ht="14.4" thickBot="1"/>
    <row r="2" spans="2:9" ht="14.4" thickBot="1">
      <c r="B2" s="406" t="s">
        <v>12</v>
      </c>
      <c r="C2" s="407"/>
      <c r="D2" s="408"/>
    </row>
    <row r="3" spans="2:9" ht="14.4" thickBot="1"/>
    <row r="4" spans="2:9" ht="14.4" thickBot="1">
      <c r="B4" s="364" t="s">
        <v>13</v>
      </c>
      <c r="C4" s="366" t="s">
        <v>14</v>
      </c>
      <c r="D4" s="367"/>
      <c r="E4" s="367"/>
      <c r="F4" s="367"/>
      <c r="G4" s="367"/>
      <c r="H4" s="368"/>
      <c r="I4" s="7" t="s">
        <v>15</v>
      </c>
    </row>
    <row r="5" spans="2:9" ht="14.4" thickBot="1">
      <c r="B5" s="365"/>
      <c r="C5" s="8">
        <v>0</v>
      </c>
      <c r="D5" s="8">
        <v>1</v>
      </c>
      <c r="E5" s="8">
        <v>2</v>
      </c>
      <c r="F5" s="8">
        <v>3</v>
      </c>
      <c r="G5" s="8">
        <v>4</v>
      </c>
      <c r="H5" s="8">
        <v>5</v>
      </c>
      <c r="I5" s="10"/>
    </row>
    <row r="6" spans="2:9" ht="14.4" thickBot="1">
      <c r="B6" s="11" t="s">
        <v>16</v>
      </c>
      <c r="C6" s="10"/>
      <c r="D6" s="10"/>
      <c r="E6" s="10"/>
      <c r="F6" s="10"/>
      <c r="G6" s="10"/>
      <c r="H6" s="10"/>
      <c r="I6" s="10"/>
    </row>
    <row r="7" spans="2:9" ht="14.4" thickBot="1">
      <c r="B7" s="11" t="s">
        <v>17</v>
      </c>
      <c r="C7" s="12">
        <f>SUM(C8:C10)</f>
        <v>1750</v>
      </c>
      <c r="D7" s="8"/>
      <c r="E7" s="10"/>
      <c r="F7" s="10"/>
      <c r="G7" s="10"/>
      <c r="H7" s="10"/>
      <c r="I7" s="12">
        <f>C7</f>
        <v>1750</v>
      </c>
    </row>
    <row r="8" spans="2:9" ht="14.4" thickBot="1">
      <c r="B8" s="13" t="s">
        <v>18</v>
      </c>
      <c r="C8" s="14">
        <f>'COSTOS Y GASTOS'!E59</f>
        <v>750</v>
      </c>
      <c r="D8" s="10"/>
      <c r="E8" s="10"/>
      <c r="F8" s="10"/>
      <c r="G8" s="10"/>
      <c r="H8" s="10"/>
      <c r="I8" s="10"/>
    </row>
    <row r="9" spans="2:9" ht="14.4" thickBot="1">
      <c r="B9" s="13" t="s">
        <v>19</v>
      </c>
      <c r="C9" s="14">
        <f>'COSTOS Y GASTOS'!E60</f>
        <v>500</v>
      </c>
      <c r="D9" s="10"/>
      <c r="E9" s="10"/>
      <c r="F9" s="10"/>
      <c r="G9" s="10"/>
      <c r="H9" s="10"/>
      <c r="I9" s="10"/>
    </row>
    <row r="10" spans="2:9" ht="14.4" thickBot="1">
      <c r="B10" s="13" t="s">
        <v>21</v>
      </c>
      <c r="C10" s="14">
        <f>'COSTOS Y GASTOS'!E61</f>
        <v>500</v>
      </c>
      <c r="D10" s="10"/>
      <c r="E10" s="10"/>
      <c r="F10" s="10"/>
      <c r="G10" s="10"/>
      <c r="H10" s="10"/>
      <c r="I10" s="10"/>
    </row>
    <row r="11" spans="2:9" ht="14.4" thickBot="1">
      <c r="B11" s="11" t="s">
        <v>22</v>
      </c>
      <c r="C11" s="12">
        <f>SUM(C12)</f>
        <v>600</v>
      </c>
      <c r="D11" s="8"/>
      <c r="E11" s="10"/>
      <c r="F11" s="10"/>
      <c r="G11" s="10"/>
      <c r="H11" s="10"/>
      <c r="I11" s="12">
        <f>C11</f>
        <v>600</v>
      </c>
    </row>
    <row r="12" spans="2:9" ht="14.4" thickBot="1">
      <c r="B12" s="13" t="s">
        <v>23</v>
      </c>
      <c r="C12" s="14">
        <f>'COSTOS Y GASTOS'!E63</f>
        <v>600</v>
      </c>
      <c r="D12" s="10"/>
      <c r="E12" s="10"/>
      <c r="F12" s="10"/>
      <c r="G12" s="10"/>
      <c r="H12" s="10"/>
      <c r="I12" s="10"/>
    </row>
    <row r="13" spans="2:9" ht="14.4" thickBot="1">
      <c r="B13" s="11" t="s">
        <v>25</v>
      </c>
      <c r="C13" s="12">
        <f>C14</f>
        <v>4500</v>
      </c>
      <c r="D13" s="8"/>
      <c r="E13" s="10"/>
      <c r="F13" s="12">
        <f>C13</f>
        <v>4500</v>
      </c>
      <c r="G13" s="10"/>
      <c r="H13" s="10"/>
      <c r="I13" s="12">
        <f>+C13+F13</f>
        <v>9000</v>
      </c>
    </row>
    <row r="14" spans="2:9" ht="14.4" thickBot="1">
      <c r="B14" s="13" t="s">
        <v>27</v>
      </c>
      <c r="C14" s="14">
        <f>'COSTOS Y GASTOS'!E62</f>
        <v>4500</v>
      </c>
      <c r="D14" s="10"/>
      <c r="E14" s="10"/>
      <c r="F14" s="14">
        <f>C14</f>
        <v>4500</v>
      </c>
      <c r="G14" s="10"/>
      <c r="H14" s="10"/>
      <c r="I14" s="10"/>
    </row>
    <row r="15" spans="2:9" ht="14.4" thickBot="1">
      <c r="B15" s="11" t="s">
        <v>28</v>
      </c>
      <c r="C15" s="12">
        <f>SUM(C16:C27)</f>
        <v>10250</v>
      </c>
      <c r="D15" s="8"/>
      <c r="E15" s="10"/>
      <c r="F15" s="10"/>
      <c r="G15" s="10"/>
      <c r="H15" s="10"/>
      <c r="I15" s="12">
        <v>10635</v>
      </c>
    </row>
    <row r="16" spans="2:9" ht="14.4" thickBot="1">
      <c r="B16" s="184" t="s">
        <v>236</v>
      </c>
      <c r="C16" s="14">
        <f>'COSTOS Y GASTOS'!E48</f>
        <v>1800</v>
      </c>
      <c r="D16" s="10"/>
      <c r="E16" s="10"/>
      <c r="F16" s="10"/>
      <c r="G16" s="10"/>
      <c r="H16" s="10"/>
      <c r="I16" s="10"/>
    </row>
    <row r="17" spans="2:9" ht="14.4" thickBot="1">
      <c r="B17" s="184" t="s">
        <v>237</v>
      </c>
      <c r="C17" s="14">
        <f>'COSTOS Y GASTOS'!E49</f>
        <v>2200</v>
      </c>
      <c r="D17" s="10"/>
      <c r="E17" s="10"/>
      <c r="F17" s="10"/>
      <c r="G17" s="10"/>
      <c r="H17" s="10"/>
      <c r="I17" s="10"/>
    </row>
    <row r="18" spans="2:9" ht="14.4" thickBot="1">
      <c r="B18" s="184" t="s">
        <v>238</v>
      </c>
      <c r="C18" s="14">
        <f>'COSTOS Y GASTOS'!E50</f>
        <v>1300</v>
      </c>
      <c r="D18" s="10"/>
      <c r="E18" s="10"/>
      <c r="F18" s="10"/>
      <c r="G18" s="10"/>
      <c r="H18" s="10"/>
      <c r="I18" s="10"/>
    </row>
    <row r="19" spans="2:9" ht="14.4" thickBot="1">
      <c r="B19" s="184" t="s">
        <v>239</v>
      </c>
      <c r="C19" s="14">
        <f>'COSTOS Y GASTOS'!E51</f>
        <v>500</v>
      </c>
      <c r="D19" s="10"/>
      <c r="E19" s="10"/>
      <c r="F19" s="10"/>
      <c r="G19" s="10"/>
      <c r="H19" s="10"/>
      <c r="I19" s="10"/>
    </row>
    <row r="20" spans="2:9" ht="14.4" thickBot="1">
      <c r="B20" s="184" t="s">
        <v>240</v>
      </c>
      <c r="C20" s="14">
        <f>'COSTOS Y GASTOS'!D52</f>
        <v>1000</v>
      </c>
      <c r="D20" s="10"/>
      <c r="E20" s="10"/>
      <c r="F20" s="10"/>
      <c r="G20" s="10"/>
      <c r="H20" s="10"/>
      <c r="I20" s="10"/>
    </row>
    <row r="21" spans="2:9" ht="14.4" thickBot="1">
      <c r="B21" s="184" t="s">
        <v>230</v>
      </c>
      <c r="C21" s="14">
        <f>'COSTOS Y GASTOS'!E53</f>
        <v>140</v>
      </c>
      <c r="D21" s="10"/>
      <c r="E21" s="10"/>
      <c r="F21" s="10"/>
      <c r="G21" s="10"/>
      <c r="H21" s="10"/>
      <c r="I21" s="10"/>
    </row>
    <row r="22" spans="2:9" ht="14.4" thickBot="1">
      <c r="B22" s="184" t="s">
        <v>241</v>
      </c>
      <c r="C22" s="14">
        <f>'COSTOS Y GASTOS'!E54</f>
        <v>350</v>
      </c>
      <c r="D22" s="10"/>
      <c r="E22" s="10"/>
      <c r="F22" s="10"/>
      <c r="G22" s="10"/>
      <c r="H22" s="10"/>
      <c r="I22" s="10"/>
    </row>
    <row r="23" spans="2:9" ht="14.4" thickBot="1">
      <c r="B23" s="184" t="s">
        <v>231</v>
      </c>
      <c r="C23" s="14">
        <f>'COSTOS Y GASTOS'!E55</f>
        <v>360</v>
      </c>
      <c r="D23" s="10"/>
      <c r="E23" s="10"/>
      <c r="F23" s="10"/>
      <c r="G23" s="10"/>
      <c r="H23" s="10"/>
      <c r="I23" s="10"/>
    </row>
    <row r="24" spans="2:9" ht="14.4" thickBot="1">
      <c r="B24" s="184" t="s">
        <v>232</v>
      </c>
      <c r="C24" s="14">
        <f>'COSTOS Y GASTOS'!E56</f>
        <v>450</v>
      </c>
      <c r="D24" s="10"/>
      <c r="E24" s="10"/>
      <c r="F24" s="10"/>
      <c r="G24" s="10"/>
      <c r="H24" s="10"/>
      <c r="I24" s="10"/>
    </row>
    <row r="25" spans="2:9" ht="14.4" thickBot="1">
      <c r="B25" s="184" t="s">
        <v>242</v>
      </c>
      <c r="C25" s="14">
        <f>'COSTOS Y GASTOS'!E57</f>
        <v>700</v>
      </c>
      <c r="D25" s="8"/>
      <c r="E25" s="10"/>
      <c r="F25" s="10"/>
      <c r="G25" s="10"/>
      <c r="H25" s="10"/>
      <c r="I25" s="485">
        <v>25000</v>
      </c>
    </row>
    <row r="26" spans="2:9" ht="14.4" thickBot="1">
      <c r="B26" s="184" t="s">
        <v>233</v>
      </c>
      <c r="C26" s="14">
        <f>'COSTOS Y GASTOS'!E58</f>
        <v>450</v>
      </c>
      <c r="D26" s="10"/>
      <c r="E26" s="10"/>
      <c r="F26" s="10"/>
      <c r="G26" s="10"/>
      <c r="H26" s="10"/>
      <c r="I26" s="10"/>
    </row>
    <row r="27" spans="2:9" ht="14.4" thickBot="1">
      <c r="B27" s="249" t="s">
        <v>243</v>
      </c>
      <c r="C27" s="250">
        <f>'COSTOS Y GASTOS'!E64</f>
        <v>1000</v>
      </c>
      <c r="D27" s="251"/>
      <c r="E27" s="251"/>
      <c r="F27" s="251"/>
      <c r="G27" s="251"/>
      <c r="H27" s="251"/>
      <c r="I27" s="251"/>
    </row>
    <row r="28" spans="2:9" ht="14.4" thickBot="1">
      <c r="B28" s="11" t="s">
        <v>15</v>
      </c>
      <c r="C28" s="12">
        <f>C7+C11+C13+C15</f>
        <v>17100</v>
      </c>
      <c r="D28" s="8"/>
      <c r="E28" s="10"/>
      <c r="F28" s="12">
        <f>F13</f>
        <v>4500</v>
      </c>
      <c r="G28" s="10"/>
      <c r="H28" s="10"/>
      <c r="I28" s="12">
        <f>C28+F28</f>
        <v>21600</v>
      </c>
    </row>
    <row r="29" spans="2:9" ht="14.4" thickBot="1">
      <c r="B29" s="11" t="s">
        <v>40</v>
      </c>
      <c r="C29" s="8"/>
      <c r="D29" s="10"/>
      <c r="E29" s="10"/>
      <c r="F29" s="10"/>
      <c r="G29" s="10"/>
      <c r="H29" s="10"/>
      <c r="I29" s="10"/>
    </row>
    <row r="30" spans="2:9" ht="14.4" thickBot="1">
      <c r="B30" s="13" t="s">
        <v>41</v>
      </c>
      <c r="C30" s="14">
        <v>1000</v>
      </c>
      <c r="D30" s="10"/>
      <c r="E30" s="10"/>
      <c r="F30" s="10"/>
      <c r="G30" s="10"/>
      <c r="H30" s="10"/>
      <c r="I30" s="10"/>
    </row>
    <row r="31" spans="2:9" ht="14.4" thickBot="1">
      <c r="B31" s="13" t="s">
        <v>42</v>
      </c>
      <c r="C31" s="14">
        <v>500</v>
      </c>
      <c r="D31" s="10"/>
      <c r="E31" s="10"/>
      <c r="F31" s="10"/>
      <c r="G31" s="10"/>
      <c r="H31" s="10"/>
      <c r="I31" s="10"/>
    </row>
    <row r="32" spans="2:9" ht="14.4" thickBot="1">
      <c r="B32" s="13" t="s">
        <v>43</v>
      </c>
      <c r="C32" s="14">
        <v>400</v>
      </c>
      <c r="D32" s="10"/>
      <c r="E32" s="10"/>
      <c r="F32" s="10"/>
      <c r="G32" s="10"/>
      <c r="H32" s="10"/>
      <c r="I32" s="10"/>
    </row>
    <row r="33" spans="2:9" ht="14.4" thickBot="1">
      <c r="B33" s="13" t="s">
        <v>44</v>
      </c>
      <c r="C33" s="14">
        <v>200</v>
      </c>
      <c r="D33" s="10"/>
      <c r="E33" s="10"/>
      <c r="F33" s="10"/>
      <c r="G33" s="10"/>
      <c r="H33" s="10"/>
      <c r="I33" s="10"/>
    </row>
    <row r="34" spans="2:9" ht="14.4" thickBot="1">
      <c r="B34" s="11" t="s">
        <v>15</v>
      </c>
      <c r="C34" s="12">
        <f>SUM(C30:C33)</f>
        <v>2100</v>
      </c>
      <c r="D34" s="8"/>
      <c r="E34" s="10"/>
      <c r="F34" s="10"/>
      <c r="G34" s="10"/>
      <c r="H34" s="10"/>
      <c r="I34" s="12">
        <f>C34</f>
        <v>2100</v>
      </c>
    </row>
    <row r="35" spans="2:9" ht="14.4" thickBot="1">
      <c r="B35" s="13" t="s">
        <v>45</v>
      </c>
      <c r="C35" s="14">
        <v>7550.5</v>
      </c>
      <c r="D35" s="10"/>
      <c r="E35" s="10"/>
      <c r="F35" s="10"/>
      <c r="G35" s="10"/>
      <c r="H35" s="10"/>
      <c r="I35" s="10"/>
    </row>
    <row r="36" spans="2:9" ht="14.4" thickBot="1">
      <c r="B36" s="11" t="s">
        <v>15</v>
      </c>
      <c r="C36" s="12">
        <f>C35</f>
        <v>7550.5</v>
      </c>
      <c r="D36" s="8"/>
      <c r="E36" s="10"/>
      <c r="F36" s="10"/>
      <c r="G36" s="10"/>
      <c r="H36" s="10"/>
      <c r="I36" s="12">
        <f>C36</f>
        <v>7550.5</v>
      </c>
    </row>
    <row r="37" spans="2:9" ht="14.4" thickBot="1">
      <c r="B37" s="11" t="s">
        <v>46</v>
      </c>
      <c r="C37" s="12">
        <f>C28+C34+C36</f>
        <v>26750.5</v>
      </c>
      <c r="D37" s="10"/>
      <c r="E37" s="10"/>
      <c r="F37" s="12">
        <f>F28</f>
        <v>4500</v>
      </c>
      <c r="G37" s="10"/>
      <c r="H37" s="10"/>
      <c r="I37" s="12">
        <f>C37+F37</f>
        <v>31250.5</v>
      </c>
    </row>
  </sheetData>
  <mergeCells count="3">
    <mergeCell ref="B4:B5"/>
    <mergeCell ref="C4:H4"/>
    <mergeCell ref="B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3"/>
  <sheetViews>
    <sheetView showGridLines="0" zoomScale="85" zoomScaleNormal="85" workbookViewId="0">
      <selection activeCell="P19" sqref="P19"/>
    </sheetView>
  </sheetViews>
  <sheetFormatPr baseColWidth="10" defaultRowHeight="15.6"/>
  <cols>
    <col min="1" max="1" width="3.59765625" customWidth="1"/>
    <col min="2" max="2" width="17.19921875" customWidth="1"/>
    <col min="3" max="3" width="13.8984375" customWidth="1"/>
    <col min="4" max="4" width="13.3984375" customWidth="1"/>
    <col min="7" max="7" width="12.296875" customWidth="1"/>
  </cols>
  <sheetData>
    <row r="1" spans="2:14" ht="16.2" thickBot="1"/>
    <row r="2" spans="2:14" ht="16.2" thickBot="1">
      <c r="B2" s="406" t="s">
        <v>142</v>
      </c>
      <c r="C2" s="407"/>
      <c r="D2" s="408"/>
    </row>
    <row r="3" spans="2:14" ht="16.2" thickBot="1"/>
    <row r="4" spans="2:14" ht="16.2" thickBot="1">
      <c r="B4" s="155" t="s">
        <v>13</v>
      </c>
      <c r="C4" s="155" t="s">
        <v>143</v>
      </c>
      <c r="D4" s="155" t="s">
        <v>144</v>
      </c>
      <c r="I4" s="59"/>
    </row>
    <row r="5" spans="2:14">
      <c r="B5" s="60" t="s">
        <v>145</v>
      </c>
      <c r="C5" s="132">
        <f>+'PRESUPUESTO DE INVERSIÓN'!C37*0.6</f>
        <v>16050.3</v>
      </c>
      <c r="D5" s="196">
        <v>0.6</v>
      </c>
    </row>
    <row r="6" spans="2:14" ht="16.2" thickBot="1">
      <c r="B6" s="55" t="s">
        <v>146</v>
      </c>
      <c r="C6" s="134">
        <f>26750.5*0.4</f>
        <v>10700.2</v>
      </c>
      <c r="D6" s="197">
        <v>0.4</v>
      </c>
      <c r="F6" s="298"/>
      <c r="G6" s="299"/>
      <c r="I6" s="119"/>
    </row>
    <row r="7" spans="2:14" ht="16.2" thickBot="1">
      <c r="B7" s="198" t="s">
        <v>15</v>
      </c>
      <c r="C7" s="30">
        <f>SUM(C5:C6)</f>
        <v>26750.5</v>
      </c>
      <c r="D7" s="199">
        <f>D5+D6</f>
        <v>1</v>
      </c>
    </row>
    <row r="8" spans="2:14" ht="16.2" thickBot="1"/>
    <row r="9" spans="2:14" ht="16.2" thickBot="1">
      <c r="B9" s="406" t="s">
        <v>294</v>
      </c>
      <c r="C9" s="407"/>
      <c r="D9" s="408"/>
    </row>
    <row r="10" spans="2:14" ht="16.2" thickBot="1">
      <c r="C10" s="119"/>
      <c r="H10" s="299"/>
    </row>
    <row r="11" spans="2:14" ht="16.2" thickBot="1">
      <c r="B11" s="205" t="s">
        <v>295</v>
      </c>
      <c r="C11" s="132">
        <f>C6</f>
        <v>10700.2</v>
      </c>
      <c r="D11" s="182"/>
      <c r="E11" s="182"/>
      <c r="F11" s="182"/>
      <c r="G11" s="182"/>
      <c r="H11" s="182"/>
      <c r="I11" s="205" t="s">
        <v>295</v>
      </c>
      <c r="J11" s="132">
        <v>10700.2</v>
      </c>
      <c r="K11" s="182"/>
    </row>
    <row r="12" spans="2:14" ht="16.2" thickBot="1">
      <c r="B12" s="205" t="s">
        <v>296</v>
      </c>
      <c r="C12" s="300">
        <v>0.156</v>
      </c>
      <c r="D12" s="286">
        <f>0.156/12</f>
        <v>1.2999999999999999E-2</v>
      </c>
      <c r="E12" s="182"/>
      <c r="F12" s="200"/>
      <c r="G12" s="182"/>
      <c r="H12" s="182"/>
      <c r="I12" s="205" t="s">
        <v>296</v>
      </c>
      <c r="J12" s="300">
        <v>0.156</v>
      </c>
      <c r="K12" s="286">
        <f>0.156/12</f>
        <v>1.2999999999999999E-2</v>
      </c>
    </row>
    <row r="13" spans="2:14" ht="16.2" thickBot="1">
      <c r="B13" s="205" t="s">
        <v>297</v>
      </c>
      <c r="C13" s="479">
        <v>60</v>
      </c>
      <c r="E13" s="182"/>
      <c r="F13" s="200"/>
      <c r="G13" s="182"/>
      <c r="H13" s="182"/>
      <c r="I13" s="205" t="s">
        <v>297</v>
      </c>
      <c r="J13" s="479">
        <v>36</v>
      </c>
    </row>
    <row r="14" spans="2:14" ht="16.2" thickBot="1">
      <c r="B14" s="205" t="s">
        <v>298</v>
      </c>
      <c r="C14" s="204">
        <f>PMT(D12,C13,-C11,,0)</f>
        <v>257.93940756875043</v>
      </c>
      <c r="E14" s="182"/>
      <c r="F14" s="200"/>
      <c r="G14" s="182"/>
      <c r="H14" s="182"/>
      <c r="I14" s="205" t="s">
        <v>298</v>
      </c>
      <c r="J14" s="204">
        <f>PMT(K12,J13,-J11,,0)</f>
        <v>374.07761732741045</v>
      </c>
    </row>
    <row r="15" spans="2:14" ht="16.2" thickBot="1">
      <c r="B15" s="200"/>
      <c r="E15" s="182"/>
      <c r="F15" s="200"/>
      <c r="G15" s="182"/>
      <c r="H15" s="182"/>
      <c r="I15" s="182"/>
      <c r="J15" s="182"/>
    </row>
    <row r="16" spans="2:14" ht="16.2" thickBot="1">
      <c r="B16" s="155" t="s">
        <v>291</v>
      </c>
      <c r="C16" s="155" t="s">
        <v>290</v>
      </c>
      <c r="D16" s="155" t="s">
        <v>150</v>
      </c>
      <c r="E16" s="206" t="s">
        <v>149</v>
      </c>
      <c r="F16" s="155" t="s">
        <v>148</v>
      </c>
      <c r="G16" s="155" t="s">
        <v>289</v>
      </c>
      <c r="I16" s="155" t="s">
        <v>291</v>
      </c>
      <c r="J16" s="155" t="s">
        <v>290</v>
      </c>
      <c r="K16" s="155" t="s">
        <v>150</v>
      </c>
      <c r="L16" s="206" t="s">
        <v>149</v>
      </c>
      <c r="M16" s="155" t="s">
        <v>148</v>
      </c>
      <c r="N16" s="155" t="s">
        <v>289</v>
      </c>
    </row>
    <row r="17" spans="2:14">
      <c r="B17" s="129">
        <v>1</v>
      </c>
      <c r="C17" s="207">
        <f>+C11</f>
        <v>10700.2</v>
      </c>
      <c r="D17" s="207">
        <f t="shared" ref="D17:D48" si="0">+$C$14</f>
        <v>257.93940756875043</v>
      </c>
      <c r="E17" s="207">
        <f>+C17*$D$12</f>
        <v>139.1026</v>
      </c>
      <c r="F17" s="207">
        <f t="shared" ref="F17:F48" si="1">+D17-E17</f>
        <v>118.83680756875043</v>
      </c>
      <c r="G17" s="207">
        <f t="shared" ref="G17:G48" si="2">+C17-F17</f>
        <v>10581.36319243125</v>
      </c>
      <c r="I17" s="182">
        <v>1</v>
      </c>
      <c r="J17" s="483">
        <f>J11</f>
        <v>10700.2</v>
      </c>
      <c r="K17" s="119">
        <f>$J$14</f>
        <v>374.07761732741045</v>
      </c>
      <c r="L17" s="484">
        <f>J17*$K$12</f>
        <v>139.1026</v>
      </c>
      <c r="M17" s="119">
        <f>K17-L17</f>
        <v>234.97501732741046</v>
      </c>
      <c r="N17" s="119">
        <f>J17-M17</f>
        <v>10465.224982672591</v>
      </c>
    </row>
    <row r="18" spans="2:14">
      <c r="B18" s="130">
        <v>2</v>
      </c>
      <c r="C18" s="208">
        <f t="shared" ref="C18:C49" si="3">+G17</f>
        <v>10581.36319243125</v>
      </c>
      <c r="D18" s="208">
        <f t="shared" si="0"/>
        <v>257.93940756875043</v>
      </c>
      <c r="E18" s="208">
        <f t="shared" ref="E17:E48" si="4">+C18*$D$12</f>
        <v>137.55772150160624</v>
      </c>
      <c r="F18" s="208">
        <f t="shared" si="1"/>
        <v>120.38168606714419</v>
      </c>
      <c r="G18" s="208">
        <f t="shared" si="2"/>
        <v>10460.981506364105</v>
      </c>
      <c r="I18" s="182">
        <v>2</v>
      </c>
      <c r="J18" s="483">
        <f>N17</f>
        <v>10465.224982672591</v>
      </c>
      <c r="K18" s="119">
        <f t="shared" ref="K18:K52" si="5">$J$14</f>
        <v>374.07761732741045</v>
      </c>
      <c r="L18" s="484">
        <f t="shared" ref="L18:L52" si="6">J18*$K$12</f>
        <v>136.04792477474368</v>
      </c>
      <c r="M18" s="119">
        <f t="shared" ref="M18:M52" si="7">K18-L18</f>
        <v>238.02969255266677</v>
      </c>
      <c r="N18" s="119">
        <f t="shared" ref="N18:N52" si="8">J18-M18</f>
        <v>10227.195290119924</v>
      </c>
    </row>
    <row r="19" spans="2:14">
      <c r="B19" s="130">
        <v>3</v>
      </c>
      <c r="C19" s="208">
        <f t="shared" si="3"/>
        <v>10460.981506364105</v>
      </c>
      <c r="D19" s="208">
        <f t="shared" si="0"/>
        <v>257.93940756875043</v>
      </c>
      <c r="E19" s="208">
        <f t="shared" si="4"/>
        <v>135.99275958273336</v>
      </c>
      <c r="F19" s="208">
        <f t="shared" si="1"/>
        <v>121.94664798601707</v>
      </c>
      <c r="G19" s="208">
        <f t="shared" si="2"/>
        <v>10339.034858378089</v>
      </c>
      <c r="I19" s="182">
        <v>3</v>
      </c>
      <c r="J19" s="483">
        <f t="shared" ref="J19:J52" si="9">N18</f>
        <v>10227.195290119924</v>
      </c>
      <c r="K19" s="119">
        <f t="shared" si="5"/>
        <v>374.07761732741045</v>
      </c>
      <c r="L19" s="484">
        <f t="shared" si="6"/>
        <v>132.95353877155901</v>
      </c>
      <c r="M19" s="119">
        <f t="shared" si="7"/>
        <v>241.12407855585144</v>
      </c>
      <c r="N19" s="119">
        <f t="shared" si="8"/>
        <v>9986.0712115640727</v>
      </c>
    </row>
    <row r="20" spans="2:14">
      <c r="B20" s="130">
        <v>4</v>
      </c>
      <c r="C20" s="208">
        <f t="shared" si="3"/>
        <v>10339.034858378089</v>
      </c>
      <c r="D20" s="208">
        <f t="shared" si="0"/>
        <v>257.93940756875043</v>
      </c>
      <c r="E20" s="208">
        <f t="shared" si="4"/>
        <v>134.40745315891516</v>
      </c>
      <c r="F20" s="208">
        <f t="shared" si="1"/>
        <v>123.53195440983527</v>
      </c>
      <c r="G20" s="208">
        <f t="shared" si="2"/>
        <v>10215.502903968254</v>
      </c>
      <c r="I20" s="182">
        <v>4</v>
      </c>
      <c r="J20" s="483">
        <f t="shared" si="9"/>
        <v>9986.0712115640727</v>
      </c>
      <c r="K20" s="119">
        <f t="shared" si="5"/>
        <v>374.07761732741045</v>
      </c>
      <c r="L20" s="484">
        <f t="shared" si="6"/>
        <v>129.81892575033294</v>
      </c>
      <c r="M20" s="119">
        <f t="shared" si="7"/>
        <v>244.25869157707751</v>
      </c>
      <c r="N20" s="119">
        <f t="shared" si="8"/>
        <v>9741.8125199869955</v>
      </c>
    </row>
    <row r="21" spans="2:14">
      <c r="B21" s="130">
        <v>5</v>
      </c>
      <c r="C21" s="208">
        <f t="shared" si="3"/>
        <v>10215.502903968254</v>
      </c>
      <c r="D21" s="208">
        <f t="shared" si="0"/>
        <v>257.93940756875043</v>
      </c>
      <c r="E21" s="208">
        <f t="shared" si="4"/>
        <v>132.80153775158729</v>
      </c>
      <c r="F21" s="208">
        <f t="shared" si="1"/>
        <v>125.13786981716314</v>
      </c>
      <c r="G21" s="208">
        <f t="shared" si="2"/>
        <v>10090.365034151091</v>
      </c>
      <c r="I21" s="182">
        <v>5</v>
      </c>
      <c r="J21" s="483">
        <f t="shared" si="9"/>
        <v>9741.8125199869955</v>
      </c>
      <c r="K21" s="119">
        <f t="shared" si="5"/>
        <v>374.07761732741045</v>
      </c>
      <c r="L21" s="484">
        <f t="shared" si="6"/>
        <v>126.64356275983094</v>
      </c>
      <c r="M21" s="119">
        <f t="shared" si="7"/>
        <v>247.43405456757949</v>
      </c>
      <c r="N21" s="119">
        <f t="shared" si="8"/>
        <v>9494.3784654194169</v>
      </c>
    </row>
    <row r="22" spans="2:14">
      <c r="B22" s="130">
        <v>6</v>
      </c>
      <c r="C22" s="208">
        <f t="shared" si="3"/>
        <v>10090.365034151091</v>
      </c>
      <c r="D22" s="208">
        <f t="shared" si="0"/>
        <v>257.93940756875043</v>
      </c>
      <c r="E22" s="208">
        <f t="shared" si="4"/>
        <v>131.17474544396418</v>
      </c>
      <c r="F22" s="208">
        <f t="shared" si="1"/>
        <v>126.76466212478624</v>
      </c>
      <c r="G22" s="208">
        <f t="shared" si="2"/>
        <v>9963.6003720263052</v>
      </c>
      <c r="I22" s="182">
        <v>6</v>
      </c>
      <c r="J22" s="483">
        <f t="shared" si="9"/>
        <v>9494.3784654194169</v>
      </c>
      <c r="K22" s="119">
        <f t="shared" si="5"/>
        <v>374.07761732741045</v>
      </c>
      <c r="L22" s="484">
        <f t="shared" si="6"/>
        <v>123.42692005045241</v>
      </c>
      <c r="M22" s="119">
        <f t="shared" si="7"/>
        <v>250.65069727695806</v>
      </c>
      <c r="N22" s="119">
        <f t="shared" si="8"/>
        <v>9243.7277681424584</v>
      </c>
    </row>
    <row r="23" spans="2:14">
      <c r="B23" s="130">
        <v>7</v>
      </c>
      <c r="C23" s="208">
        <f t="shared" si="3"/>
        <v>9963.6003720263052</v>
      </c>
      <c r="D23" s="208">
        <f t="shared" si="0"/>
        <v>257.93940756875043</v>
      </c>
      <c r="E23" s="208">
        <f t="shared" si="4"/>
        <v>129.52680483634197</v>
      </c>
      <c r="F23" s="208">
        <f t="shared" si="1"/>
        <v>128.41260273240846</v>
      </c>
      <c r="G23" s="208">
        <f t="shared" si="2"/>
        <v>9835.1877692938961</v>
      </c>
      <c r="I23" s="182">
        <v>7</v>
      </c>
      <c r="J23" s="483">
        <f t="shared" si="9"/>
        <v>9243.7277681424584</v>
      </c>
      <c r="K23" s="119">
        <f t="shared" si="5"/>
        <v>374.07761732741045</v>
      </c>
      <c r="L23" s="484">
        <f t="shared" si="6"/>
        <v>120.16846098585195</v>
      </c>
      <c r="M23" s="119">
        <f t="shared" si="7"/>
        <v>253.90915634155851</v>
      </c>
      <c r="N23" s="119">
        <f t="shared" si="8"/>
        <v>8989.8186118008998</v>
      </c>
    </row>
    <row r="24" spans="2:14">
      <c r="B24" s="130">
        <v>8</v>
      </c>
      <c r="C24" s="208">
        <f t="shared" si="3"/>
        <v>9835.1877692938961</v>
      </c>
      <c r="D24" s="208">
        <f t="shared" si="0"/>
        <v>257.93940756875043</v>
      </c>
      <c r="E24" s="208">
        <f t="shared" si="4"/>
        <v>127.85744100082064</v>
      </c>
      <c r="F24" s="208">
        <f t="shared" si="1"/>
        <v>130.08196656792978</v>
      </c>
      <c r="G24" s="208">
        <f t="shared" si="2"/>
        <v>9705.105802725966</v>
      </c>
      <c r="I24" s="182">
        <v>8</v>
      </c>
      <c r="J24" s="483">
        <f t="shared" si="9"/>
        <v>8989.8186118008998</v>
      </c>
      <c r="K24" s="119">
        <f t="shared" si="5"/>
        <v>374.07761732741045</v>
      </c>
      <c r="L24" s="484">
        <f t="shared" si="6"/>
        <v>116.86764195341169</v>
      </c>
      <c r="M24" s="119">
        <f t="shared" si="7"/>
        <v>257.20997537399876</v>
      </c>
      <c r="N24" s="119">
        <f t="shared" si="8"/>
        <v>8732.6086364269013</v>
      </c>
    </row>
    <row r="25" spans="2:14">
      <c r="B25" s="130">
        <v>9</v>
      </c>
      <c r="C25" s="208">
        <f t="shared" si="3"/>
        <v>9705.105802725966</v>
      </c>
      <c r="D25" s="208">
        <f t="shared" si="0"/>
        <v>257.93940756875043</v>
      </c>
      <c r="E25" s="208">
        <f t="shared" si="4"/>
        <v>126.16637543543756</v>
      </c>
      <c r="F25" s="208">
        <f t="shared" si="1"/>
        <v>131.77303213331288</v>
      </c>
      <c r="G25" s="208">
        <f t="shared" si="2"/>
        <v>9573.3327705926531</v>
      </c>
      <c r="I25" s="182">
        <v>9</v>
      </c>
      <c r="J25" s="483">
        <f t="shared" si="9"/>
        <v>8732.6086364269013</v>
      </c>
      <c r="K25" s="119">
        <f t="shared" si="5"/>
        <v>374.07761732741045</v>
      </c>
      <c r="L25" s="484">
        <f t="shared" si="6"/>
        <v>113.52391227354971</v>
      </c>
      <c r="M25" s="119">
        <f t="shared" si="7"/>
        <v>260.55370505386077</v>
      </c>
      <c r="N25" s="119">
        <f t="shared" si="8"/>
        <v>8472.0549313730407</v>
      </c>
    </row>
    <row r="26" spans="2:14">
      <c r="B26" s="130">
        <v>10</v>
      </c>
      <c r="C26" s="208">
        <f t="shared" si="3"/>
        <v>9573.3327705926531</v>
      </c>
      <c r="D26" s="208">
        <f t="shared" si="0"/>
        <v>257.93940756875043</v>
      </c>
      <c r="E26" s="208">
        <f t="shared" si="4"/>
        <v>124.45332601770448</v>
      </c>
      <c r="F26" s="208">
        <f t="shared" si="1"/>
        <v>133.48608155104594</v>
      </c>
      <c r="G26" s="208">
        <f t="shared" si="2"/>
        <v>9439.8466890416075</v>
      </c>
      <c r="I26" s="182">
        <v>10</v>
      </c>
      <c r="J26" s="483">
        <f t="shared" si="9"/>
        <v>8472.0549313730407</v>
      </c>
      <c r="K26" s="119">
        <f t="shared" si="5"/>
        <v>374.07761732741045</v>
      </c>
      <c r="L26" s="484">
        <f t="shared" si="6"/>
        <v>110.13671410784953</v>
      </c>
      <c r="M26" s="119">
        <f t="shared" si="7"/>
        <v>263.94090321956094</v>
      </c>
      <c r="N26" s="119">
        <f t="shared" si="8"/>
        <v>8208.114028153479</v>
      </c>
    </row>
    <row r="27" spans="2:14">
      <c r="B27" s="130">
        <v>11</v>
      </c>
      <c r="C27" s="208">
        <f t="shared" si="3"/>
        <v>9439.8466890416075</v>
      </c>
      <c r="D27" s="208">
        <f t="shared" si="0"/>
        <v>257.93940756875043</v>
      </c>
      <c r="E27" s="208">
        <f t="shared" si="4"/>
        <v>122.71800695754089</v>
      </c>
      <c r="F27" s="208">
        <f t="shared" si="1"/>
        <v>135.22140061120953</v>
      </c>
      <c r="G27" s="208">
        <f t="shared" si="2"/>
        <v>9304.6252884303976</v>
      </c>
      <c r="I27" s="182">
        <v>11</v>
      </c>
      <c r="J27" s="483">
        <f t="shared" si="9"/>
        <v>8208.114028153479</v>
      </c>
      <c r="K27" s="119">
        <f t="shared" si="5"/>
        <v>374.07761732741045</v>
      </c>
      <c r="L27" s="484">
        <f t="shared" si="6"/>
        <v>106.70548236599522</v>
      </c>
      <c r="M27" s="119">
        <f t="shared" si="7"/>
        <v>267.37213496141521</v>
      </c>
      <c r="N27" s="119">
        <f t="shared" si="8"/>
        <v>7940.7418931920638</v>
      </c>
    </row>
    <row r="28" spans="2:14">
      <c r="B28" s="130">
        <v>12</v>
      </c>
      <c r="C28" s="208">
        <f t="shared" si="3"/>
        <v>9304.6252884303976</v>
      </c>
      <c r="D28" s="208">
        <f t="shared" si="0"/>
        <v>257.93940756875043</v>
      </c>
      <c r="E28" s="208">
        <f t="shared" si="4"/>
        <v>120.96012874959516</v>
      </c>
      <c r="F28" s="208">
        <f t="shared" si="1"/>
        <v>136.97927881915527</v>
      </c>
      <c r="G28" s="208">
        <f t="shared" si="2"/>
        <v>9167.6460096112423</v>
      </c>
      <c r="I28" s="182">
        <v>12</v>
      </c>
      <c r="J28" s="483">
        <f t="shared" si="9"/>
        <v>7940.7418931920638</v>
      </c>
      <c r="K28" s="119">
        <f t="shared" si="5"/>
        <v>374.07761732741045</v>
      </c>
      <c r="L28" s="484">
        <f t="shared" si="6"/>
        <v>103.22964461149682</v>
      </c>
      <c r="M28" s="119">
        <f t="shared" si="7"/>
        <v>270.84797271591361</v>
      </c>
      <c r="N28" s="119">
        <f t="shared" si="8"/>
        <v>7669.89392047615</v>
      </c>
    </row>
    <row r="29" spans="2:14">
      <c r="B29" s="130">
        <v>13</v>
      </c>
      <c r="C29" s="208">
        <f t="shared" si="3"/>
        <v>9167.6460096112423</v>
      </c>
      <c r="D29" s="208">
        <f t="shared" si="0"/>
        <v>257.93940756875043</v>
      </c>
      <c r="E29" s="208">
        <f t="shared" si="4"/>
        <v>119.17939812494615</v>
      </c>
      <c r="F29" s="208">
        <f t="shared" si="1"/>
        <v>138.76000944380428</v>
      </c>
      <c r="G29" s="208">
        <f t="shared" si="2"/>
        <v>9028.8860001674384</v>
      </c>
      <c r="I29" s="182">
        <v>13</v>
      </c>
      <c r="J29" s="483">
        <f t="shared" si="9"/>
        <v>7669.89392047615</v>
      </c>
      <c r="K29" s="119">
        <f t="shared" si="5"/>
        <v>374.07761732741045</v>
      </c>
      <c r="L29" s="484">
        <f t="shared" si="6"/>
        <v>99.70862096618994</v>
      </c>
      <c r="M29" s="119">
        <f t="shared" si="7"/>
        <v>274.36899636122052</v>
      </c>
      <c r="N29" s="119">
        <f t="shared" si="8"/>
        <v>7395.5249241149295</v>
      </c>
    </row>
    <row r="30" spans="2:14">
      <c r="B30" s="130">
        <v>14</v>
      </c>
      <c r="C30" s="208">
        <f t="shared" si="3"/>
        <v>9028.8860001674384</v>
      </c>
      <c r="D30" s="208">
        <f t="shared" si="0"/>
        <v>257.93940756875043</v>
      </c>
      <c r="E30" s="208">
        <f t="shared" si="4"/>
        <v>117.37551800217669</v>
      </c>
      <c r="F30" s="208">
        <f t="shared" si="1"/>
        <v>140.56388956657372</v>
      </c>
      <c r="G30" s="208">
        <f t="shared" si="2"/>
        <v>8888.3221106008641</v>
      </c>
      <c r="I30" s="182">
        <v>14</v>
      </c>
      <c r="J30" s="483">
        <f t="shared" si="9"/>
        <v>7395.5249241149295</v>
      </c>
      <c r="K30" s="119">
        <f t="shared" si="5"/>
        <v>374.07761732741045</v>
      </c>
      <c r="L30" s="484">
        <f t="shared" si="6"/>
        <v>96.141824013494073</v>
      </c>
      <c r="M30" s="119">
        <f t="shared" si="7"/>
        <v>277.93579331391641</v>
      </c>
      <c r="N30" s="119">
        <f t="shared" si="8"/>
        <v>7117.5891308010132</v>
      </c>
    </row>
    <row r="31" spans="2:14">
      <c r="B31" s="130">
        <v>15</v>
      </c>
      <c r="C31" s="208">
        <f t="shared" si="3"/>
        <v>8888.3221106008641</v>
      </c>
      <c r="D31" s="208">
        <f t="shared" si="0"/>
        <v>257.93940756875043</v>
      </c>
      <c r="E31" s="208">
        <f t="shared" si="4"/>
        <v>115.54818743781122</v>
      </c>
      <c r="F31" s="208">
        <f t="shared" si="1"/>
        <v>142.39122013093919</v>
      </c>
      <c r="G31" s="208">
        <f t="shared" si="2"/>
        <v>8745.9308904699246</v>
      </c>
      <c r="I31" s="182">
        <v>15</v>
      </c>
      <c r="J31" s="483">
        <f t="shared" si="9"/>
        <v>7117.5891308010132</v>
      </c>
      <c r="K31" s="119">
        <f t="shared" si="5"/>
        <v>374.07761732741045</v>
      </c>
      <c r="L31" s="484">
        <f t="shared" si="6"/>
        <v>92.52865870041316</v>
      </c>
      <c r="M31" s="119">
        <f t="shared" si="7"/>
        <v>281.54895862699732</v>
      </c>
      <c r="N31" s="119">
        <f t="shared" si="8"/>
        <v>6836.0401721740163</v>
      </c>
    </row>
    <row r="32" spans="2:14">
      <c r="B32" s="130">
        <v>16</v>
      </c>
      <c r="C32" s="208">
        <f t="shared" si="3"/>
        <v>8745.9308904699246</v>
      </c>
      <c r="D32" s="208">
        <f t="shared" si="0"/>
        <v>257.93940756875043</v>
      </c>
      <c r="E32" s="208">
        <f t="shared" si="4"/>
        <v>113.69710157610902</v>
      </c>
      <c r="F32" s="208">
        <f t="shared" si="1"/>
        <v>144.24230599264141</v>
      </c>
      <c r="G32" s="208">
        <f t="shared" si="2"/>
        <v>8601.6885844772823</v>
      </c>
      <c r="I32" s="182">
        <v>16</v>
      </c>
      <c r="J32" s="483">
        <f t="shared" si="9"/>
        <v>6836.0401721740163</v>
      </c>
      <c r="K32" s="119">
        <f t="shared" si="5"/>
        <v>374.07761732741045</v>
      </c>
      <c r="L32" s="484">
        <f t="shared" si="6"/>
        <v>88.868522238262202</v>
      </c>
      <c r="M32" s="119">
        <f t="shared" si="7"/>
        <v>285.20909508914826</v>
      </c>
      <c r="N32" s="119">
        <f t="shared" si="8"/>
        <v>6550.8310770848684</v>
      </c>
    </row>
    <row r="33" spans="2:14">
      <c r="B33" s="130">
        <v>17</v>
      </c>
      <c r="C33" s="208">
        <f t="shared" si="3"/>
        <v>8601.6885844772823</v>
      </c>
      <c r="D33" s="208">
        <f t="shared" si="0"/>
        <v>257.93940756875043</v>
      </c>
      <c r="E33" s="208">
        <f t="shared" si="4"/>
        <v>111.82195159820466</v>
      </c>
      <c r="F33" s="208">
        <f t="shared" si="1"/>
        <v>146.11745597054576</v>
      </c>
      <c r="G33" s="208">
        <f t="shared" si="2"/>
        <v>8455.5711285067373</v>
      </c>
      <c r="I33" s="182">
        <v>17</v>
      </c>
      <c r="J33" s="483">
        <f t="shared" si="9"/>
        <v>6550.8310770848684</v>
      </c>
      <c r="K33" s="119">
        <f t="shared" si="5"/>
        <v>374.07761732741045</v>
      </c>
      <c r="L33" s="484">
        <f t="shared" si="6"/>
        <v>85.160804002103291</v>
      </c>
      <c r="M33" s="119">
        <f t="shared" si="7"/>
        <v>288.91681332530715</v>
      </c>
      <c r="N33" s="119">
        <f t="shared" si="8"/>
        <v>6261.9142637595614</v>
      </c>
    </row>
    <row r="34" spans="2:14">
      <c r="B34" s="130">
        <v>18</v>
      </c>
      <c r="C34" s="208">
        <f t="shared" si="3"/>
        <v>8455.5711285067373</v>
      </c>
      <c r="D34" s="208">
        <f t="shared" si="0"/>
        <v>257.93940756875043</v>
      </c>
      <c r="E34" s="208">
        <f t="shared" si="4"/>
        <v>109.92242467058757</v>
      </c>
      <c r="F34" s="208">
        <f t="shared" si="1"/>
        <v>148.01698289816284</v>
      </c>
      <c r="G34" s="208">
        <f t="shared" si="2"/>
        <v>8307.5541456085739</v>
      </c>
      <c r="I34" s="182">
        <v>18</v>
      </c>
      <c r="J34" s="483">
        <f t="shared" si="9"/>
        <v>6261.9142637595614</v>
      </c>
      <c r="K34" s="119">
        <f t="shared" si="5"/>
        <v>374.07761732741045</v>
      </c>
      <c r="L34" s="484">
        <f t="shared" si="6"/>
        <v>81.404885428874294</v>
      </c>
      <c r="M34" s="119">
        <f t="shared" si="7"/>
        <v>292.67273189853614</v>
      </c>
      <c r="N34" s="119">
        <f t="shared" si="8"/>
        <v>5969.2415318610256</v>
      </c>
    </row>
    <row r="35" spans="2:14">
      <c r="B35" s="130">
        <v>19</v>
      </c>
      <c r="C35" s="208">
        <f t="shared" si="3"/>
        <v>8307.5541456085739</v>
      </c>
      <c r="D35" s="208">
        <f t="shared" si="0"/>
        <v>257.93940756875043</v>
      </c>
      <c r="E35" s="208">
        <f t="shared" si="4"/>
        <v>107.99820389291146</v>
      </c>
      <c r="F35" s="208">
        <f t="shared" si="1"/>
        <v>149.94120367583895</v>
      </c>
      <c r="G35" s="208">
        <f t="shared" si="2"/>
        <v>8157.6129419327353</v>
      </c>
      <c r="I35" s="182">
        <v>19</v>
      </c>
      <c r="J35" s="483">
        <f t="shared" si="9"/>
        <v>5969.2415318610256</v>
      </c>
      <c r="K35" s="119">
        <f t="shared" si="5"/>
        <v>374.07761732741045</v>
      </c>
      <c r="L35" s="484">
        <f t="shared" si="6"/>
        <v>77.600139914193335</v>
      </c>
      <c r="M35" s="119">
        <f t="shared" si="7"/>
        <v>296.47747741321712</v>
      </c>
      <c r="N35" s="119">
        <f t="shared" si="8"/>
        <v>5672.7640544478081</v>
      </c>
    </row>
    <row r="36" spans="2:14">
      <c r="B36" s="130">
        <v>20</v>
      </c>
      <c r="C36" s="208">
        <f t="shared" si="3"/>
        <v>8157.6129419327353</v>
      </c>
      <c r="D36" s="208">
        <f t="shared" si="0"/>
        <v>257.93940756875043</v>
      </c>
      <c r="E36" s="208">
        <f t="shared" si="4"/>
        <v>106.04896824512555</v>
      </c>
      <c r="F36" s="208">
        <f t="shared" si="1"/>
        <v>151.89043932362489</v>
      </c>
      <c r="G36" s="208">
        <f t="shared" si="2"/>
        <v>8005.7225026091101</v>
      </c>
      <c r="I36" s="182">
        <v>20</v>
      </c>
      <c r="J36" s="483">
        <f t="shared" si="9"/>
        <v>5672.7640544478081</v>
      </c>
      <c r="K36" s="119">
        <f t="shared" si="5"/>
        <v>374.07761732741045</v>
      </c>
      <c r="L36" s="484">
        <f t="shared" si="6"/>
        <v>73.745932707821495</v>
      </c>
      <c r="M36" s="119">
        <f t="shared" si="7"/>
        <v>300.33168461958894</v>
      </c>
      <c r="N36" s="119">
        <f t="shared" si="8"/>
        <v>5372.4323698282187</v>
      </c>
    </row>
    <row r="37" spans="2:14">
      <c r="B37" s="130">
        <v>21</v>
      </c>
      <c r="C37" s="208">
        <f t="shared" si="3"/>
        <v>8005.7225026091101</v>
      </c>
      <c r="D37" s="208">
        <f t="shared" si="0"/>
        <v>257.93940756875043</v>
      </c>
      <c r="E37" s="208">
        <f t="shared" si="4"/>
        <v>104.07439253391843</v>
      </c>
      <c r="F37" s="208">
        <f t="shared" si="1"/>
        <v>153.865015034832</v>
      </c>
      <c r="G37" s="208">
        <f t="shared" si="2"/>
        <v>7851.8574875742779</v>
      </c>
      <c r="I37" s="182">
        <v>21</v>
      </c>
      <c r="J37" s="483">
        <f t="shared" si="9"/>
        <v>5372.4323698282187</v>
      </c>
      <c r="K37" s="119">
        <f t="shared" si="5"/>
        <v>374.07761732741045</v>
      </c>
      <c r="L37" s="484">
        <f t="shared" si="6"/>
        <v>69.841620807766844</v>
      </c>
      <c r="M37" s="119">
        <f t="shared" si="7"/>
        <v>304.23599651964361</v>
      </c>
      <c r="N37" s="119">
        <f t="shared" si="8"/>
        <v>5068.1963733085749</v>
      </c>
    </row>
    <row r="38" spans="2:14">
      <c r="B38" s="130">
        <v>22</v>
      </c>
      <c r="C38" s="208">
        <f t="shared" si="3"/>
        <v>7851.8574875742779</v>
      </c>
      <c r="D38" s="208">
        <f t="shared" si="0"/>
        <v>257.93940756875043</v>
      </c>
      <c r="E38" s="208">
        <f t="shared" si="4"/>
        <v>102.07414733846561</v>
      </c>
      <c r="F38" s="208">
        <f t="shared" si="1"/>
        <v>155.86526023028483</v>
      </c>
      <c r="G38" s="208">
        <f t="shared" si="2"/>
        <v>7695.9922273439934</v>
      </c>
      <c r="I38" s="182">
        <v>22</v>
      </c>
      <c r="J38" s="483">
        <f t="shared" si="9"/>
        <v>5068.1963733085749</v>
      </c>
      <c r="K38" s="119">
        <f t="shared" si="5"/>
        <v>374.07761732741045</v>
      </c>
      <c r="L38" s="484">
        <f t="shared" si="6"/>
        <v>65.886552853011466</v>
      </c>
      <c r="M38" s="119">
        <f t="shared" si="7"/>
        <v>308.19106447439901</v>
      </c>
      <c r="N38" s="119">
        <f t="shared" si="8"/>
        <v>4760.0053088341756</v>
      </c>
    </row>
    <row r="39" spans="2:14">
      <c r="B39" s="130">
        <v>23</v>
      </c>
      <c r="C39" s="208">
        <f t="shared" si="3"/>
        <v>7695.9922273439934</v>
      </c>
      <c r="D39" s="208">
        <f t="shared" si="0"/>
        <v>257.93940756875043</v>
      </c>
      <c r="E39" s="208">
        <f t="shared" si="4"/>
        <v>100.04789895547191</v>
      </c>
      <c r="F39" s="208">
        <f t="shared" si="1"/>
        <v>157.89150861327852</v>
      </c>
      <c r="G39" s="208">
        <f t="shared" si="2"/>
        <v>7538.100718730715</v>
      </c>
      <c r="I39" s="182">
        <v>23</v>
      </c>
      <c r="J39" s="483">
        <f t="shared" si="9"/>
        <v>4760.0053088341756</v>
      </c>
      <c r="K39" s="119">
        <f t="shared" si="5"/>
        <v>374.07761732741045</v>
      </c>
      <c r="L39" s="484">
        <f t="shared" si="6"/>
        <v>61.880069014844281</v>
      </c>
      <c r="M39" s="119">
        <f t="shared" si="7"/>
        <v>312.19754831256614</v>
      </c>
      <c r="N39" s="119">
        <f t="shared" si="8"/>
        <v>4447.8077605216095</v>
      </c>
    </row>
    <row r="40" spans="2:14">
      <c r="B40" s="130">
        <v>24</v>
      </c>
      <c r="C40" s="208">
        <f t="shared" si="3"/>
        <v>7538.100718730715</v>
      </c>
      <c r="D40" s="208">
        <f t="shared" si="0"/>
        <v>257.93940756875043</v>
      </c>
      <c r="E40" s="208">
        <f t="shared" si="4"/>
        <v>97.995309343499287</v>
      </c>
      <c r="F40" s="208">
        <f t="shared" si="1"/>
        <v>159.94409822525114</v>
      </c>
      <c r="G40" s="208">
        <f t="shared" si="2"/>
        <v>7378.1566205054642</v>
      </c>
      <c r="I40" s="182">
        <v>24</v>
      </c>
      <c r="J40" s="483">
        <f t="shared" si="9"/>
        <v>4447.8077605216095</v>
      </c>
      <c r="K40" s="119">
        <f t="shared" si="5"/>
        <v>374.07761732741045</v>
      </c>
      <c r="L40" s="484">
        <f t="shared" si="6"/>
        <v>57.821500886780917</v>
      </c>
      <c r="M40" s="119">
        <f t="shared" si="7"/>
        <v>316.25611644062951</v>
      </c>
      <c r="N40" s="119">
        <f t="shared" si="8"/>
        <v>4131.5516440809797</v>
      </c>
    </row>
    <row r="41" spans="2:14">
      <c r="B41" s="130">
        <v>25</v>
      </c>
      <c r="C41" s="208">
        <f t="shared" si="3"/>
        <v>7378.1566205054642</v>
      </c>
      <c r="D41" s="208">
        <f t="shared" si="0"/>
        <v>257.93940756875043</v>
      </c>
      <c r="E41" s="208">
        <f t="shared" si="4"/>
        <v>95.916036066571024</v>
      </c>
      <c r="F41" s="208">
        <f t="shared" si="1"/>
        <v>162.0233715021794</v>
      </c>
      <c r="G41" s="208">
        <f t="shared" si="2"/>
        <v>7216.1332490032846</v>
      </c>
      <c r="I41" s="182">
        <v>25</v>
      </c>
      <c r="J41" s="483">
        <f t="shared" si="9"/>
        <v>4131.5516440809797</v>
      </c>
      <c r="K41" s="119">
        <f t="shared" si="5"/>
        <v>374.07761732741045</v>
      </c>
      <c r="L41" s="484">
        <f t="shared" si="6"/>
        <v>53.710171373052731</v>
      </c>
      <c r="M41" s="119">
        <f t="shared" si="7"/>
        <v>320.36744595435772</v>
      </c>
      <c r="N41" s="119">
        <f t="shared" si="8"/>
        <v>3811.1841981266221</v>
      </c>
    </row>
    <row r="42" spans="2:14">
      <c r="B42" s="130">
        <v>26</v>
      </c>
      <c r="C42" s="208">
        <f t="shared" si="3"/>
        <v>7216.1332490032846</v>
      </c>
      <c r="D42" s="208">
        <f t="shared" si="0"/>
        <v>257.93940756875043</v>
      </c>
      <c r="E42" s="208">
        <f t="shared" si="4"/>
        <v>93.809732237042695</v>
      </c>
      <c r="F42" s="208">
        <f t="shared" si="1"/>
        <v>164.12967533170774</v>
      </c>
      <c r="G42" s="208">
        <f t="shared" si="2"/>
        <v>7052.0035736715772</v>
      </c>
      <c r="I42" s="182">
        <v>26</v>
      </c>
      <c r="J42" s="483">
        <f t="shared" si="9"/>
        <v>3811.1841981266221</v>
      </c>
      <c r="K42" s="119">
        <f t="shared" si="5"/>
        <v>374.07761732741045</v>
      </c>
      <c r="L42" s="484">
        <f t="shared" si="6"/>
        <v>49.545394575646085</v>
      </c>
      <c r="M42" s="119">
        <f t="shared" si="7"/>
        <v>324.53222275176438</v>
      </c>
      <c r="N42" s="119">
        <f t="shared" si="8"/>
        <v>3486.6519753748576</v>
      </c>
    </row>
    <row r="43" spans="2:14">
      <c r="B43" s="130">
        <v>27</v>
      </c>
      <c r="C43" s="208">
        <f t="shared" si="3"/>
        <v>7052.0035736715772</v>
      </c>
      <c r="D43" s="208">
        <f t="shared" si="0"/>
        <v>257.93940756875043</v>
      </c>
      <c r="E43" s="208">
        <f t="shared" si="4"/>
        <v>91.676046457730493</v>
      </c>
      <c r="F43" s="208">
        <f t="shared" si="1"/>
        <v>166.26336111101995</v>
      </c>
      <c r="G43" s="208">
        <f t="shared" si="2"/>
        <v>6885.7402125605577</v>
      </c>
      <c r="I43" s="182">
        <v>27</v>
      </c>
      <c r="J43" s="483">
        <f t="shared" si="9"/>
        <v>3486.6519753748576</v>
      </c>
      <c r="K43" s="119">
        <f t="shared" si="5"/>
        <v>374.07761732741045</v>
      </c>
      <c r="L43" s="484">
        <f t="shared" si="6"/>
        <v>45.326475679873148</v>
      </c>
      <c r="M43" s="119">
        <f t="shared" si="7"/>
        <v>328.75114164753728</v>
      </c>
      <c r="N43" s="119">
        <f t="shared" si="8"/>
        <v>3157.9008337273203</v>
      </c>
    </row>
    <row r="44" spans="2:14">
      <c r="B44" s="130">
        <v>28</v>
      </c>
      <c r="C44" s="208">
        <f t="shared" si="3"/>
        <v>6885.7402125605577</v>
      </c>
      <c r="D44" s="208">
        <f t="shared" si="0"/>
        <v>257.93940756875043</v>
      </c>
      <c r="E44" s="208">
        <f t="shared" si="4"/>
        <v>89.51462276328725</v>
      </c>
      <c r="F44" s="208">
        <f t="shared" si="1"/>
        <v>168.42478480546316</v>
      </c>
      <c r="G44" s="208">
        <f t="shared" si="2"/>
        <v>6717.3154277550948</v>
      </c>
      <c r="I44" s="182">
        <v>28</v>
      </c>
      <c r="J44" s="483">
        <f t="shared" si="9"/>
        <v>3157.9008337273203</v>
      </c>
      <c r="K44" s="119">
        <f t="shared" si="5"/>
        <v>374.07761732741045</v>
      </c>
      <c r="L44" s="484">
        <f t="shared" si="6"/>
        <v>41.052710838455162</v>
      </c>
      <c r="M44" s="119">
        <f t="shared" si="7"/>
        <v>333.02490648895531</v>
      </c>
      <c r="N44" s="119">
        <f t="shared" si="8"/>
        <v>2824.875927238365</v>
      </c>
    </row>
    <row r="45" spans="2:14">
      <c r="B45" s="130">
        <v>29</v>
      </c>
      <c r="C45" s="208">
        <f t="shared" si="3"/>
        <v>6717.3154277550948</v>
      </c>
      <c r="D45" s="208">
        <f t="shared" si="0"/>
        <v>257.93940756875043</v>
      </c>
      <c r="E45" s="208">
        <f t="shared" si="4"/>
        <v>87.325100560816225</v>
      </c>
      <c r="F45" s="208">
        <f t="shared" si="1"/>
        <v>170.6143070079342</v>
      </c>
      <c r="G45" s="208">
        <f t="shared" si="2"/>
        <v>6546.7011207471605</v>
      </c>
      <c r="I45" s="182">
        <v>29</v>
      </c>
      <c r="J45" s="483">
        <f t="shared" si="9"/>
        <v>2824.875927238365</v>
      </c>
      <c r="K45" s="119">
        <f t="shared" si="5"/>
        <v>374.07761732741045</v>
      </c>
      <c r="L45" s="484">
        <f t="shared" si="6"/>
        <v>36.723387054098744</v>
      </c>
      <c r="M45" s="119">
        <f t="shared" si="7"/>
        <v>337.35423027331171</v>
      </c>
      <c r="N45" s="119">
        <f t="shared" si="8"/>
        <v>2487.5216969650533</v>
      </c>
    </row>
    <row r="46" spans="2:14">
      <c r="B46" s="130">
        <v>30</v>
      </c>
      <c r="C46" s="208">
        <f t="shared" si="3"/>
        <v>6546.7011207471605</v>
      </c>
      <c r="D46" s="208">
        <f t="shared" si="0"/>
        <v>257.93940756875043</v>
      </c>
      <c r="E46" s="208">
        <f t="shared" si="4"/>
        <v>85.107114569713076</v>
      </c>
      <c r="F46" s="208">
        <f t="shared" si="1"/>
        <v>172.83229299903735</v>
      </c>
      <c r="G46" s="208">
        <f t="shared" si="2"/>
        <v>6373.8688277481233</v>
      </c>
      <c r="I46" s="182">
        <v>30</v>
      </c>
      <c r="J46" s="483">
        <f t="shared" si="9"/>
        <v>2487.5216969650533</v>
      </c>
      <c r="K46" s="119">
        <f t="shared" si="5"/>
        <v>374.07761732741045</v>
      </c>
      <c r="L46" s="484">
        <f t="shared" si="6"/>
        <v>32.337782060545692</v>
      </c>
      <c r="M46" s="119">
        <f t="shared" si="7"/>
        <v>341.73983526686476</v>
      </c>
      <c r="N46" s="119">
        <f t="shared" si="8"/>
        <v>2145.7818616981885</v>
      </c>
    </row>
    <row r="47" spans="2:14">
      <c r="B47" s="130">
        <v>31</v>
      </c>
      <c r="C47" s="208">
        <f t="shared" si="3"/>
        <v>6373.8688277481233</v>
      </c>
      <c r="D47" s="208">
        <f t="shared" si="0"/>
        <v>257.93940756875043</v>
      </c>
      <c r="E47" s="208">
        <f t="shared" si="4"/>
        <v>82.860294760725594</v>
      </c>
      <c r="F47" s="208">
        <f t="shared" si="1"/>
        <v>175.07911280802483</v>
      </c>
      <c r="G47" s="208">
        <f t="shared" si="2"/>
        <v>6198.7897149400987</v>
      </c>
      <c r="I47" s="182">
        <v>31</v>
      </c>
      <c r="J47" s="483">
        <f t="shared" si="9"/>
        <v>2145.7818616981885</v>
      </c>
      <c r="K47" s="119">
        <f t="shared" si="5"/>
        <v>374.07761732741045</v>
      </c>
      <c r="L47" s="484">
        <f t="shared" si="6"/>
        <v>27.895164202076451</v>
      </c>
      <c r="M47" s="119">
        <f t="shared" si="7"/>
        <v>346.18245312533401</v>
      </c>
      <c r="N47" s="119">
        <f t="shared" si="8"/>
        <v>1799.5994085728546</v>
      </c>
    </row>
    <row r="48" spans="2:14">
      <c r="B48" s="130">
        <v>32</v>
      </c>
      <c r="C48" s="208">
        <f t="shared" si="3"/>
        <v>6198.7897149400987</v>
      </c>
      <c r="D48" s="208">
        <f t="shared" si="0"/>
        <v>257.93940756875043</v>
      </c>
      <c r="E48" s="208">
        <f t="shared" si="4"/>
        <v>80.58426629422128</v>
      </c>
      <c r="F48" s="208">
        <f t="shared" si="1"/>
        <v>177.35514127452916</v>
      </c>
      <c r="G48" s="208">
        <f t="shared" si="2"/>
        <v>6021.4345736655696</v>
      </c>
      <c r="I48" s="182">
        <v>32</v>
      </c>
      <c r="J48" s="483">
        <f t="shared" si="9"/>
        <v>1799.5994085728546</v>
      </c>
      <c r="K48" s="119">
        <f t="shared" si="5"/>
        <v>374.07761732741045</v>
      </c>
      <c r="L48" s="484">
        <f t="shared" si="6"/>
        <v>23.394792311447109</v>
      </c>
      <c r="M48" s="119">
        <f t="shared" si="7"/>
        <v>350.68282501596332</v>
      </c>
      <c r="N48" s="119">
        <f t="shared" si="8"/>
        <v>1448.9165835568913</v>
      </c>
    </row>
    <row r="49" spans="2:14">
      <c r="B49" s="130">
        <v>33</v>
      </c>
      <c r="C49" s="208">
        <f t="shared" si="3"/>
        <v>6021.4345736655696</v>
      </c>
      <c r="D49" s="208">
        <f t="shared" ref="D49:D76" si="10">+$C$14</f>
        <v>257.93940756875043</v>
      </c>
      <c r="E49" s="208">
        <f t="shared" ref="E49:E76" si="11">+C49*$D$12</f>
        <v>78.278649457652406</v>
      </c>
      <c r="F49" s="208">
        <f t="shared" ref="F49:F76" si="12">+D49-E49</f>
        <v>179.660758111098</v>
      </c>
      <c r="G49" s="208">
        <f t="shared" ref="G49:G76" si="13">+C49-F49</f>
        <v>5841.7738155544712</v>
      </c>
      <c r="I49" s="182">
        <v>33</v>
      </c>
      <c r="J49" s="483">
        <f t="shared" si="9"/>
        <v>1448.9165835568913</v>
      </c>
      <c r="K49" s="119">
        <f t="shared" si="5"/>
        <v>374.07761732741045</v>
      </c>
      <c r="L49" s="484">
        <f t="shared" si="6"/>
        <v>18.835915586239587</v>
      </c>
      <c r="M49" s="119">
        <f t="shared" si="7"/>
        <v>355.24170174117086</v>
      </c>
      <c r="N49" s="119">
        <f t="shared" si="8"/>
        <v>1093.6748818157205</v>
      </c>
    </row>
    <row r="50" spans="2:14">
      <c r="B50" s="130">
        <v>34</v>
      </c>
      <c r="C50" s="208">
        <f t="shared" ref="C50:C76" si="14">+G49</f>
        <v>5841.7738155544712</v>
      </c>
      <c r="D50" s="208">
        <f t="shared" si="10"/>
        <v>257.93940756875043</v>
      </c>
      <c r="E50" s="208">
        <f t="shared" si="11"/>
        <v>75.943059602208123</v>
      </c>
      <c r="F50" s="208">
        <f t="shared" si="12"/>
        <v>181.99634796654232</v>
      </c>
      <c r="G50" s="208">
        <f t="shared" si="13"/>
        <v>5659.7774675879291</v>
      </c>
      <c r="I50" s="182">
        <v>34</v>
      </c>
      <c r="J50" s="483">
        <f t="shared" si="9"/>
        <v>1093.6748818157205</v>
      </c>
      <c r="K50" s="119">
        <f t="shared" si="5"/>
        <v>374.07761732741045</v>
      </c>
      <c r="L50" s="484">
        <f t="shared" si="6"/>
        <v>14.217773463604365</v>
      </c>
      <c r="M50" s="119">
        <f t="shared" si="7"/>
        <v>359.85984386380608</v>
      </c>
      <c r="N50" s="119">
        <f t="shared" si="8"/>
        <v>733.81503795191441</v>
      </c>
    </row>
    <row r="51" spans="2:14">
      <c r="B51" s="130">
        <v>35</v>
      </c>
      <c r="C51" s="208">
        <f t="shared" si="14"/>
        <v>5659.7774675879291</v>
      </c>
      <c r="D51" s="208">
        <f t="shared" si="10"/>
        <v>257.93940756875043</v>
      </c>
      <c r="E51" s="208">
        <f t="shared" si="11"/>
        <v>73.577107078643081</v>
      </c>
      <c r="F51" s="208">
        <f t="shared" si="12"/>
        <v>184.36230049010734</v>
      </c>
      <c r="G51" s="208">
        <f t="shared" si="13"/>
        <v>5475.4151670978217</v>
      </c>
      <c r="I51" s="182">
        <v>35</v>
      </c>
      <c r="J51" s="483">
        <f t="shared" si="9"/>
        <v>733.81503795191441</v>
      </c>
      <c r="K51" s="119">
        <f t="shared" si="5"/>
        <v>374.07761732741045</v>
      </c>
      <c r="L51" s="484">
        <f t="shared" si="6"/>
        <v>9.5395954933748861</v>
      </c>
      <c r="M51" s="119">
        <f t="shared" si="7"/>
        <v>364.53802183403559</v>
      </c>
      <c r="N51" s="119">
        <f t="shared" si="8"/>
        <v>369.27701611787882</v>
      </c>
    </row>
    <row r="52" spans="2:14">
      <c r="B52" s="130">
        <v>36</v>
      </c>
      <c r="C52" s="208">
        <f t="shared" si="14"/>
        <v>5475.4151670978217</v>
      </c>
      <c r="D52" s="208">
        <f t="shared" si="10"/>
        <v>257.93940756875043</v>
      </c>
      <c r="E52" s="208">
        <f t="shared" si="11"/>
        <v>71.180397172271682</v>
      </c>
      <c r="F52" s="208">
        <f t="shared" si="12"/>
        <v>186.75901039647874</v>
      </c>
      <c r="G52" s="208">
        <f t="shared" si="13"/>
        <v>5288.6561567013432</v>
      </c>
      <c r="I52" s="182">
        <v>36</v>
      </c>
      <c r="J52" s="483">
        <f t="shared" si="9"/>
        <v>369.27701611787882</v>
      </c>
      <c r="K52" s="119">
        <f t="shared" si="5"/>
        <v>374.07761732741045</v>
      </c>
      <c r="L52" s="484">
        <f t="shared" si="6"/>
        <v>4.8006012095324246</v>
      </c>
      <c r="M52" s="119">
        <f t="shared" si="7"/>
        <v>369.27701611787802</v>
      </c>
      <c r="N52" s="119">
        <f t="shared" si="8"/>
        <v>7.9580786405131221E-13</v>
      </c>
    </row>
    <row r="53" spans="2:14">
      <c r="B53" s="130">
        <v>37</v>
      </c>
      <c r="C53" s="208">
        <f t="shared" si="14"/>
        <v>5288.6561567013432</v>
      </c>
      <c r="D53" s="208">
        <f t="shared" si="10"/>
        <v>257.93940756875043</v>
      </c>
      <c r="E53" s="208">
        <f t="shared" si="11"/>
        <v>68.752530037117452</v>
      </c>
      <c r="F53" s="208">
        <f t="shared" si="12"/>
        <v>189.18687753163297</v>
      </c>
      <c r="G53" s="208">
        <f t="shared" si="13"/>
        <v>5099.4692791697098</v>
      </c>
      <c r="I53" s="182"/>
      <c r="J53" s="182"/>
    </row>
    <row r="54" spans="2:14">
      <c r="B54" s="130">
        <v>38</v>
      </c>
      <c r="C54" s="208">
        <f t="shared" si="14"/>
        <v>5099.4692791697098</v>
      </c>
      <c r="D54" s="208">
        <f t="shared" si="10"/>
        <v>257.93940756875043</v>
      </c>
      <c r="E54" s="208">
        <f t="shared" si="11"/>
        <v>66.293100629206222</v>
      </c>
      <c r="F54" s="208">
        <f t="shared" si="12"/>
        <v>191.64630693954422</v>
      </c>
      <c r="G54" s="208">
        <f t="shared" si="13"/>
        <v>4907.8229722301658</v>
      </c>
      <c r="I54" s="182"/>
      <c r="J54" s="182"/>
    </row>
    <row r="55" spans="2:14">
      <c r="B55" s="130">
        <v>39</v>
      </c>
      <c r="C55" s="208">
        <f t="shared" si="14"/>
        <v>4907.8229722301658</v>
      </c>
      <c r="D55" s="208">
        <f t="shared" si="10"/>
        <v>257.93940756875043</v>
      </c>
      <c r="E55" s="208">
        <f t="shared" si="11"/>
        <v>63.80169863899215</v>
      </c>
      <c r="F55" s="208">
        <f t="shared" si="12"/>
        <v>194.13770892975828</v>
      </c>
      <c r="G55" s="208">
        <f t="shared" si="13"/>
        <v>4713.6852633004073</v>
      </c>
      <c r="I55" s="182"/>
      <c r="J55" s="182"/>
    </row>
    <row r="56" spans="2:14">
      <c r="B56" s="130">
        <v>40</v>
      </c>
      <c r="C56" s="208">
        <f t="shared" si="14"/>
        <v>4713.6852633004073</v>
      </c>
      <c r="D56" s="208">
        <f t="shared" si="10"/>
        <v>257.93940756875043</v>
      </c>
      <c r="E56" s="208">
        <f t="shared" si="11"/>
        <v>61.277908422905291</v>
      </c>
      <c r="F56" s="208">
        <f t="shared" si="12"/>
        <v>196.66149914584514</v>
      </c>
      <c r="G56" s="208">
        <f t="shared" si="13"/>
        <v>4517.0237641545618</v>
      </c>
      <c r="I56" s="182"/>
      <c r="J56" s="182"/>
    </row>
    <row r="57" spans="2:14">
      <c r="B57" s="130">
        <v>41</v>
      </c>
      <c r="C57" s="208">
        <f t="shared" si="14"/>
        <v>4517.0237641545618</v>
      </c>
      <c r="D57" s="208">
        <f t="shared" si="10"/>
        <v>257.93940756875043</v>
      </c>
      <c r="E57" s="208">
        <f t="shared" si="11"/>
        <v>58.721308934009301</v>
      </c>
      <c r="F57" s="208">
        <f t="shared" si="12"/>
        <v>199.21809863474112</v>
      </c>
      <c r="G57" s="208">
        <f t="shared" si="13"/>
        <v>4317.8056655198206</v>
      </c>
      <c r="I57" s="182"/>
      <c r="J57" s="182"/>
    </row>
    <row r="58" spans="2:14">
      <c r="B58" s="130">
        <v>42</v>
      </c>
      <c r="C58" s="208">
        <f t="shared" si="14"/>
        <v>4317.8056655198206</v>
      </c>
      <c r="D58" s="208">
        <f t="shared" si="10"/>
        <v>257.93940756875043</v>
      </c>
      <c r="E58" s="208">
        <f t="shared" si="11"/>
        <v>56.131473651757666</v>
      </c>
      <c r="F58" s="208">
        <f t="shared" si="12"/>
        <v>201.80793391699277</v>
      </c>
      <c r="G58" s="208">
        <f t="shared" si="13"/>
        <v>4115.997731602828</v>
      </c>
      <c r="I58" s="182"/>
      <c r="J58" s="182"/>
    </row>
    <row r="59" spans="2:14">
      <c r="B59" s="130">
        <v>43</v>
      </c>
      <c r="C59" s="208">
        <f t="shared" si="14"/>
        <v>4115.997731602828</v>
      </c>
      <c r="D59" s="208">
        <f t="shared" si="10"/>
        <v>257.93940756875043</v>
      </c>
      <c r="E59" s="208">
        <f t="shared" si="11"/>
        <v>53.507970510836763</v>
      </c>
      <c r="F59" s="208">
        <f t="shared" si="12"/>
        <v>204.43143705791366</v>
      </c>
      <c r="G59" s="208">
        <f t="shared" si="13"/>
        <v>3911.5662945449144</v>
      </c>
      <c r="I59" s="182"/>
      <c r="J59" s="182"/>
    </row>
    <row r="60" spans="2:14">
      <c r="B60" s="130">
        <v>44</v>
      </c>
      <c r="C60" s="208">
        <f t="shared" si="14"/>
        <v>3911.5662945449144</v>
      </c>
      <c r="D60" s="208">
        <f t="shared" si="10"/>
        <v>257.93940756875043</v>
      </c>
      <c r="E60" s="208">
        <f t="shared" si="11"/>
        <v>50.850361829083887</v>
      </c>
      <c r="F60" s="208">
        <f t="shared" si="12"/>
        <v>207.08904573966655</v>
      </c>
      <c r="G60" s="208">
        <f t="shared" si="13"/>
        <v>3704.4772488052477</v>
      </c>
      <c r="I60" s="182"/>
      <c r="J60" s="182"/>
    </row>
    <row r="61" spans="2:14">
      <c r="B61" s="130">
        <v>45</v>
      </c>
      <c r="C61" s="208">
        <f t="shared" si="14"/>
        <v>3704.4772488052477</v>
      </c>
      <c r="D61" s="208">
        <f t="shared" si="10"/>
        <v>257.93940756875043</v>
      </c>
      <c r="E61" s="208">
        <f t="shared" si="11"/>
        <v>48.158204234468215</v>
      </c>
      <c r="F61" s="208">
        <f t="shared" si="12"/>
        <v>209.78120333428222</v>
      </c>
      <c r="G61" s="208">
        <f t="shared" si="13"/>
        <v>3494.6960454709656</v>
      </c>
      <c r="I61" s="182"/>
      <c r="J61" s="182"/>
    </row>
    <row r="62" spans="2:14">
      <c r="B62" s="130">
        <v>46</v>
      </c>
      <c r="C62" s="208">
        <f t="shared" si="14"/>
        <v>3494.6960454709656</v>
      </c>
      <c r="D62" s="208">
        <f t="shared" si="10"/>
        <v>257.93940756875043</v>
      </c>
      <c r="E62" s="208">
        <f t="shared" si="11"/>
        <v>45.431048591122554</v>
      </c>
      <c r="F62" s="208">
        <f t="shared" si="12"/>
        <v>212.50835897762786</v>
      </c>
      <c r="G62" s="208">
        <f t="shared" si="13"/>
        <v>3282.1876864933379</v>
      </c>
      <c r="I62" s="182"/>
      <c r="J62" s="182"/>
    </row>
    <row r="63" spans="2:14">
      <c r="B63" s="130">
        <v>47</v>
      </c>
      <c r="C63" s="208">
        <f t="shared" si="14"/>
        <v>3282.1876864933379</v>
      </c>
      <c r="D63" s="208">
        <f t="shared" si="10"/>
        <v>257.93940756875043</v>
      </c>
      <c r="E63" s="208">
        <f t="shared" si="11"/>
        <v>42.668439924413391</v>
      </c>
      <c r="F63" s="208">
        <f t="shared" si="12"/>
        <v>215.27096764433702</v>
      </c>
      <c r="G63" s="208">
        <f t="shared" si="13"/>
        <v>3066.916718849001</v>
      </c>
      <c r="I63" s="182"/>
      <c r="J63" s="182"/>
    </row>
    <row r="64" spans="2:14">
      <c r="B64" s="130">
        <v>48</v>
      </c>
      <c r="C64" s="208">
        <f t="shared" si="14"/>
        <v>3066.916718849001</v>
      </c>
      <c r="D64" s="208">
        <f t="shared" si="10"/>
        <v>257.93940756875043</v>
      </c>
      <c r="E64" s="208">
        <f t="shared" si="11"/>
        <v>39.86991734503701</v>
      </c>
      <c r="F64" s="208">
        <f t="shared" si="12"/>
        <v>218.06949022371342</v>
      </c>
      <c r="G64" s="208">
        <f t="shared" si="13"/>
        <v>2848.8472286252877</v>
      </c>
      <c r="I64" s="182"/>
      <c r="J64" s="182"/>
    </row>
    <row r="65" spans="2:10">
      <c r="B65" s="130">
        <v>49</v>
      </c>
      <c r="C65" s="208">
        <f t="shared" si="14"/>
        <v>2848.8472286252877</v>
      </c>
      <c r="D65" s="208">
        <f t="shared" si="10"/>
        <v>257.93940756875043</v>
      </c>
      <c r="E65" s="208">
        <f t="shared" si="11"/>
        <v>37.035013972128738</v>
      </c>
      <c r="F65" s="208">
        <f t="shared" si="12"/>
        <v>220.90439359662167</v>
      </c>
      <c r="G65" s="208">
        <f t="shared" si="13"/>
        <v>2627.9428350286662</v>
      </c>
      <c r="I65" s="182"/>
      <c r="J65" s="182"/>
    </row>
    <row r="66" spans="2:10">
      <c r="B66" s="130">
        <v>50</v>
      </c>
      <c r="C66" s="208">
        <f t="shared" si="14"/>
        <v>2627.9428350286662</v>
      </c>
      <c r="D66" s="208">
        <f t="shared" si="10"/>
        <v>257.93940756875043</v>
      </c>
      <c r="E66" s="208">
        <f t="shared" si="11"/>
        <v>34.163256855372659</v>
      </c>
      <c r="F66" s="208">
        <f t="shared" si="12"/>
        <v>223.77615071337777</v>
      </c>
      <c r="G66" s="208">
        <f t="shared" si="13"/>
        <v>2404.1666843152884</v>
      </c>
      <c r="I66" s="182"/>
      <c r="J66" s="182"/>
    </row>
    <row r="67" spans="2:10">
      <c r="B67" s="130">
        <v>51</v>
      </c>
      <c r="C67" s="208">
        <f t="shared" si="14"/>
        <v>2404.1666843152884</v>
      </c>
      <c r="D67" s="208">
        <f t="shared" si="10"/>
        <v>257.93940756875043</v>
      </c>
      <c r="E67" s="208">
        <f t="shared" si="11"/>
        <v>31.254166896098749</v>
      </c>
      <c r="F67" s="208">
        <f t="shared" si="12"/>
        <v>226.68524067265167</v>
      </c>
      <c r="G67" s="208">
        <f t="shared" si="13"/>
        <v>2177.4814436426368</v>
      </c>
      <c r="I67" s="182"/>
      <c r="J67" s="182"/>
    </row>
    <row r="68" spans="2:10">
      <c r="B68" s="130">
        <v>52</v>
      </c>
      <c r="C68" s="208">
        <f t="shared" si="14"/>
        <v>2177.4814436426368</v>
      </c>
      <c r="D68" s="208">
        <f t="shared" si="10"/>
        <v>257.93940756875043</v>
      </c>
      <c r="E68" s="208">
        <f t="shared" si="11"/>
        <v>28.307258767354277</v>
      </c>
      <c r="F68" s="208">
        <f t="shared" si="12"/>
        <v>229.63214880139614</v>
      </c>
      <c r="G68" s="208">
        <f t="shared" si="13"/>
        <v>1947.8492948412406</v>
      </c>
      <c r="I68" s="182"/>
      <c r="J68" s="182"/>
    </row>
    <row r="69" spans="2:10">
      <c r="B69" s="130">
        <v>53</v>
      </c>
      <c r="C69" s="208">
        <f t="shared" si="14"/>
        <v>1947.8492948412406</v>
      </c>
      <c r="D69" s="208">
        <f t="shared" si="10"/>
        <v>257.93940756875043</v>
      </c>
      <c r="E69" s="208">
        <f t="shared" si="11"/>
        <v>25.322040832936128</v>
      </c>
      <c r="F69" s="208">
        <f t="shared" si="12"/>
        <v>232.6173667358143</v>
      </c>
      <c r="G69" s="208">
        <f t="shared" si="13"/>
        <v>1715.2319281054263</v>
      </c>
      <c r="I69" s="182"/>
      <c r="J69" s="182"/>
    </row>
    <row r="70" spans="2:10">
      <c r="B70" s="130">
        <v>54</v>
      </c>
      <c r="C70" s="208">
        <f t="shared" si="14"/>
        <v>1715.2319281054263</v>
      </c>
      <c r="D70" s="208">
        <f t="shared" si="10"/>
        <v>257.93940756875043</v>
      </c>
      <c r="E70" s="208">
        <f t="shared" si="11"/>
        <v>22.298015065370542</v>
      </c>
      <c r="F70" s="208">
        <f t="shared" si="12"/>
        <v>235.64139250337988</v>
      </c>
      <c r="G70" s="208">
        <f t="shared" si="13"/>
        <v>1479.5905356020464</v>
      </c>
      <c r="I70" s="182"/>
      <c r="J70" s="182"/>
    </row>
    <row r="71" spans="2:10">
      <c r="B71" s="130">
        <v>55</v>
      </c>
      <c r="C71" s="208">
        <f t="shared" si="14"/>
        <v>1479.5905356020464</v>
      </c>
      <c r="D71" s="208">
        <f t="shared" si="10"/>
        <v>257.93940756875043</v>
      </c>
      <c r="E71" s="208">
        <f t="shared" si="11"/>
        <v>19.234676962826601</v>
      </c>
      <c r="F71" s="208">
        <f t="shared" si="12"/>
        <v>238.70473060592383</v>
      </c>
      <c r="G71" s="208">
        <f t="shared" si="13"/>
        <v>1240.8858049961227</v>
      </c>
      <c r="I71" s="182"/>
      <c r="J71" s="182"/>
    </row>
    <row r="72" spans="2:10">
      <c r="B72" s="130">
        <v>56</v>
      </c>
      <c r="C72" s="208">
        <f t="shared" si="14"/>
        <v>1240.8858049961227</v>
      </c>
      <c r="D72" s="208">
        <f t="shared" si="10"/>
        <v>257.93940756875043</v>
      </c>
      <c r="E72" s="208">
        <f t="shared" si="11"/>
        <v>16.131515464949594</v>
      </c>
      <c r="F72" s="208">
        <f t="shared" si="12"/>
        <v>241.80789210380084</v>
      </c>
      <c r="G72" s="208">
        <f t="shared" si="13"/>
        <v>999.07791289232182</v>
      </c>
      <c r="I72" s="182"/>
      <c r="J72" s="182"/>
    </row>
    <row r="73" spans="2:10">
      <c r="B73" s="130">
        <v>57</v>
      </c>
      <c r="C73" s="208">
        <f t="shared" si="14"/>
        <v>999.07791289232182</v>
      </c>
      <c r="D73" s="208">
        <f t="shared" si="10"/>
        <v>257.93940756875043</v>
      </c>
      <c r="E73" s="208">
        <f t="shared" si="11"/>
        <v>12.988012867600183</v>
      </c>
      <c r="F73" s="208">
        <f t="shared" si="12"/>
        <v>244.95139470115024</v>
      </c>
      <c r="G73" s="208">
        <f t="shared" si="13"/>
        <v>754.12651819117161</v>
      </c>
      <c r="I73" s="182"/>
      <c r="J73" s="182"/>
    </row>
    <row r="74" spans="2:10">
      <c r="B74" s="130">
        <v>58</v>
      </c>
      <c r="C74" s="208">
        <f t="shared" si="14"/>
        <v>754.12651819117161</v>
      </c>
      <c r="D74" s="208">
        <f t="shared" si="10"/>
        <v>257.93940756875043</v>
      </c>
      <c r="E74" s="208">
        <f t="shared" si="11"/>
        <v>9.8036447364852304</v>
      </c>
      <c r="F74" s="208">
        <f t="shared" si="12"/>
        <v>248.13576283226519</v>
      </c>
      <c r="G74" s="208">
        <f t="shared" si="13"/>
        <v>505.99075535890643</v>
      </c>
      <c r="I74" s="182"/>
      <c r="J74" s="182"/>
    </row>
    <row r="75" spans="2:10">
      <c r="B75" s="130">
        <v>59</v>
      </c>
      <c r="C75" s="208">
        <f t="shared" si="14"/>
        <v>505.99075535890643</v>
      </c>
      <c r="D75" s="208">
        <f t="shared" si="10"/>
        <v>257.93940756875043</v>
      </c>
      <c r="E75" s="208">
        <f t="shared" si="11"/>
        <v>6.5778798196657835</v>
      </c>
      <c r="F75" s="208">
        <f t="shared" si="12"/>
        <v>251.36152774908464</v>
      </c>
      <c r="G75" s="208">
        <f t="shared" si="13"/>
        <v>254.62922760982178</v>
      </c>
      <c r="I75" s="182"/>
      <c r="J75" s="182"/>
    </row>
    <row r="76" spans="2:10" ht="16.2" thickBot="1">
      <c r="B76" s="190">
        <v>60</v>
      </c>
      <c r="C76" s="209">
        <f t="shared" si="14"/>
        <v>254.62922760982178</v>
      </c>
      <c r="D76" s="209">
        <f t="shared" si="10"/>
        <v>257.93940756875043</v>
      </c>
      <c r="E76" s="209">
        <f t="shared" si="11"/>
        <v>3.3101799589276832</v>
      </c>
      <c r="F76" s="209">
        <f t="shared" si="12"/>
        <v>254.62922760982275</v>
      </c>
      <c r="G76" s="210">
        <f t="shared" si="13"/>
        <v>-9.6633812063373625E-13</v>
      </c>
      <c r="I76" s="182"/>
      <c r="J76" s="182"/>
    </row>
    <row r="77" spans="2:10" ht="16.2" thickBot="1">
      <c r="B77" s="155" t="s">
        <v>15</v>
      </c>
      <c r="C77" s="155"/>
      <c r="D77" s="211">
        <f>+SUM(D17:D76)</f>
        <v>15476.364454125031</v>
      </c>
      <c r="E77" s="211">
        <f>+SUM(E17:E76)</f>
        <v>4776.1644541250216</v>
      </c>
      <c r="F77" s="211">
        <f>+SUM(F17:F76)</f>
        <v>10700.200000000006</v>
      </c>
      <c r="G77" s="155"/>
      <c r="I77" s="182"/>
      <c r="J77" s="182"/>
    </row>
    <row r="78" spans="2:10" ht="31.8" thickBot="1">
      <c r="B78" s="18"/>
      <c r="C78" s="18"/>
      <c r="D78" s="156" t="s">
        <v>293</v>
      </c>
      <c r="E78" s="212" t="s">
        <v>287</v>
      </c>
      <c r="F78" s="156" t="s">
        <v>292</v>
      </c>
      <c r="G78" s="18"/>
      <c r="I78" s="182"/>
      <c r="J78" s="182"/>
    </row>
    <row r="79" spans="2:10">
      <c r="B79" s="200"/>
      <c r="C79" s="21"/>
      <c r="D79" s="21"/>
      <c r="E79" s="202"/>
      <c r="F79" s="201"/>
      <c r="G79" s="21"/>
      <c r="H79" s="21"/>
      <c r="I79" s="182"/>
      <c r="J79" s="182"/>
    </row>
    <row r="80" spans="2:10" ht="16.2" thickBot="1">
      <c r="B80" s="200"/>
      <c r="C80" s="182"/>
      <c r="D80" s="182"/>
      <c r="E80" s="182"/>
      <c r="F80" s="182"/>
      <c r="G80" s="182"/>
      <c r="H80" s="182"/>
      <c r="I80" s="182"/>
      <c r="J80" s="182"/>
    </row>
    <row r="81" spans="2:10" ht="16.2" thickBot="1">
      <c r="B81" s="155" t="s">
        <v>291</v>
      </c>
      <c r="C81" s="155" t="s">
        <v>290</v>
      </c>
      <c r="D81" s="155" t="s">
        <v>150</v>
      </c>
      <c r="E81" s="206" t="s">
        <v>149</v>
      </c>
      <c r="F81" s="155" t="s">
        <v>148</v>
      </c>
      <c r="G81" s="155" t="s">
        <v>289</v>
      </c>
      <c r="H81" s="182"/>
      <c r="I81" s="182"/>
      <c r="J81" s="182"/>
    </row>
    <row r="82" spans="2:10">
      <c r="B82" s="129">
        <v>1</v>
      </c>
      <c r="C82" s="480">
        <f>C11</f>
        <v>10700.2</v>
      </c>
      <c r="D82" s="214">
        <f>+D76*12</f>
        <v>3095.2728908250051</v>
      </c>
      <c r="E82" s="217">
        <f>+SUM(E17:E28)</f>
        <v>1562.7189004362472</v>
      </c>
      <c r="F82" s="217">
        <f>+SUM(F17:F28)</f>
        <v>1532.5539903887582</v>
      </c>
      <c r="G82" s="214">
        <f>+C82-F82</f>
        <v>9167.6460096112423</v>
      </c>
      <c r="H82" s="182"/>
      <c r="I82" s="182"/>
      <c r="J82" s="182"/>
    </row>
    <row r="83" spans="2:10">
      <c r="B83" s="130">
        <v>2</v>
      </c>
      <c r="C83" s="481">
        <f>+G82</f>
        <v>9167.6460096112423</v>
      </c>
      <c r="D83" s="215">
        <f>D82</f>
        <v>3095.2728908250051</v>
      </c>
      <c r="E83" s="218">
        <f>+SUM(E29:E40)</f>
        <v>1305.7835017192276</v>
      </c>
      <c r="F83" s="218">
        <f>+SUM(F29:F40)</f>
        <v>1789.4893891057773</v>
      </c>
      <c r="G83" s="215">
        <f>+C83-F83</f>
        <v>7378.1566205054651</v>
      </c>
      <c r="H83" s="182"/>
      <c r="I83" s="182"/>
      <c r="J83" s="182"/>
    </row>
    <row r="84" spans="2:10">
      <c r="B84" s="130">
        <v>3</v>
      </c>
      <c r="C84" s="481">
        <f>+G83</f>
        <v>7378.1566205054651</v>
      </c>
      <c r="D84" s="215">
        <f>D83</f>
        <v>3095.2728908250051</v>
      </c>
      <c r="E84" s="215">
        <f>+SUM(E41:E52)</f>
        <v>1005.7724270208828</v>
      </c>
      <c r="F84" s="215">
        <f>+SUM(F41:F52)</f>
        <v>2089.5004638041223</v>
      </c>
      <c r="G84" s="215">
        <f>+C84-F84</f>
        <v>5288.6561567013432</v>
      </c>
      <c r="H84" s="182"/>
      <c r="I84" s="182"/>
      <c r="J84" s="182"/>
    </row>
    <row r="85" spans="2:10">
      <c r="B85" s="130">
        <v>4</v>
      </c>
      <c r="C85" s="481">
        <f>+G84</f>
        <v>5288.6561567013432</v>
      </c>
      <c r="D85" s="215">
        <f>D84</f>
        <v>3095.2728908250051</v>
      </c>
      <c r="E85" s="215">
        <f>+SUM(E53:E64)</f>
        <v>655.46396274895005</v>
      </c>
      <c r="F85" s="218">
        <f>+SUM(F53:F64)</f>
        <v>2439.8089280760551</v>
      </c>
      <c r="G85" s="215">
        <f>+C85-F85</f>
        <v>2848.8472286252882</v>
      </c>
      <c r="H85" s="182"/>
      <c r="I85" s="182"/>
      <c r="J85" s="182"/>
    </row>
    <row r="86" spans="2:10" ht="16.2" thickBot="1">
      <c r="B86" s="190">
        <v>5</v>
      </c>
      <c r="C86" s="482">
        <f>+G85</f>
        <v>2848.8472286252882</v>
      </c>
      <c r="D86" s="216">
        <f>D85</f>
        <v>3095.2728908250051</v>
      </c>
      <c r="E86" s="216">
        <f>+SUM(E65:E76)</f>
        <v>246.42566219971619</v>
      </c>
      <c r="F86" s="216">
        <f>+SUM(F65:F76)</f>
        <v>2848.8472286252891</v>
      </c>
      <c r="G86" s="216">
        <f>+C86-F86</f>
        <v>0</v>
      </c>
      <c r="H86" s="182"/>
      <c r="I86" s="182"/>
      <c r="J86" s="182"/>
    </row>
    <row r="87" spans="2:10" ht="16.2" thickBot="1">
      <c r="B87" s="213" t="s">
        <v>15</v>
      </c>
      <c r="C87" s="203"/>
      <c r="D87" s="219">
        <f>+SUM(D82:D86)</f>
        <v>15476.364454125025</v>
      </c>
      <c r="E87" s="219">
        <f>+SUM(E82:E86)</f>
        <v>4776.1644541250234</v>
      </c>
      <c r="F87" s="219">
        <f>+SUM(F82:F86)</f>
        <v>10700.2</v>
      </c>
      <c r="G87" s="203"/>
      <c r="H87" s="182"/>
      <c r="I87" s="182"/>
      <c r="J87" s="182"/>
    </row>
    <row r="88" spans="2:10" ht="31.8" thickBot="1">
      <c r="B88" s="182"/>
      <c r="C88" s="182"/>
      <c r="D88" s="156" t="s">
        <v>288</v>
      </c>
      <c r="E88" s="212" t="s">
        <v>287</v>
      </c>
      <c r="F88" s="156" t="s">
        <v>286</v>
      </c>
      <c r="G88" s="182"/>
      <c r="H88" s="182"/>
      <c r="I88" s="182"/>
      <c r="J88" s="182"/>
    </row>
    <row r="89" spans="2:10">
      <c r="B89" s="182"/>
      <c r="C89" s="182"/>
      <c r="D89" s="182"/>
      <c r="E89" s="182"/>
      <c r="F89" s="182"/>
      <c r="G89" s="182"/>
      <c r="H89" s="182"/>
      <c r="I89" s="182"/>
      <c r="J89" s="182"/>
    </row>
    <row r="90" spans="2:10" ht="16.2" thickBot="1">
      <c r="B90" s="182"/>
      <c r="C90" s="182"/>
      <c r="D90" s="182"/>
      <c r="E90" s="182"/>
      <c r="F90" s="182"/>
      <c r="G90" s="182"/>
      <c r="H90" s="182"/>
      <c r="I90" s="182"/>
      <c r="J90" s="182"/>
    </row>
    <row r="91" spans="2:10" ht="16.2" thickBot="1">
      <c r="B91" s="103" t="s">
        <v>47</v>
      </c>
      <c r="C91" s="103" t="s">
        <v>148</v>
      </c>
      <c r="D91" s="103" t="s">
        <v>149</v>
      </c>
      <c r="E91" s="103" t="s">
        <v>150</v>
      </c>
      <c r="F91" s="182"/>
      <c r="G91" s="182"/>
      <c r="H91" s="182"/>
      <c r="I91" s="182"/>
      <c r="J91" s="182"/>
    </row>
    <row r="92" spans="2:10">
      <c r="B92" s="225">
        <v>1</v>
      </c>
      <c r="C92" s="217">
        <f>F82</f>
        <v>1532.5539903887582</v>
      </c>
      <c r="D92" s="132">
        <f>E82</f>
        <v>1562.7189004362472</v>
      </c>
      <c r="E92" s="221">
        <f>D82</f>
        <v>3095.2728908250051</v>
      </c>
      <c r="F92" s="182"/>
      <c r="G92" s="182"/>
      <c r="H92" s="182"/>
      <c r="I92" s="182"/>
      <c r="J92" s="182"/>
    </row>
    <row r="93" spans="2:10">
      <c r="B93" s="226">
        <v>2</v>
      </c>
      <c r="C93" s="218">
        <f>F83</f>
        <v>1789.4893891057773</v>
      </c>
      <c r="D93" s="133">
        <f>E83</f>
        <v>1305.7835017192276</v>
      </c>
      <c r="E93" s="222">
        <f>D83</f>
        <v>3095.2728908250051</v>
      </c>
      <c r="F93" s="182"/>
      <c r="G93" s="182"/>
      <c r="H93" s="182"/>
      <c r="I93" s="182"/>
      <c r="J93" s="182"/>
    </row>
    <row r="94" spans="2:10">
      <c r="B94" s="226">
        <v>3</v>
      </c>
      <c r="C94" s="218">
        <f>F84</f>
        <v>2089.5004638041223</v>
      </c>
      <c r="D94" s="133">
        <f>E84</f>
        <v>1005.7724270208828</v>
      </c>
      <c r="E94" s="222">
        <f>D84</f>
        <v>3095.2728908250051</v>
      </c>
      <c r="F94" s="182"/>
      <c r="G94" s="182"/>
      <c r="H94" s="182"/>
      <c r="I94" s="182"/>
      <c r="J94" s="182"/>
    </row>
    <row r="95" spans="2:10">
      <c r="B95" s="226">
        <v>4</v>
      </c>
      <c r="C95" s="218">
        <f>F85</f>
        <v>2439.8089280760551</v>
      </c>
      <c r="D95" s="133">
        <f>E85</f>
        <v>655.46396274895005</v>
      </c>
      <c r="E95" s="222">
        <f>D85</f>
        <v>3095.2728908250051</v>
      </c>
      <c r="F95" s="182"/>
      <c r="G95" s="182"/>
      <c r="H95" s="182"/>
      <c r="I95" s="182"/>
      <c r="J95" s="182"/>
    </row>
    <row r="96" spans="2:10" ht="16.2" thickBot="1">
      <c r="B96" s="62">
        <v>5</v>
      </c>
      <c r="C96" s="220">
        <f>F86</f>
        <v>2848.8472286252891</v>
      </c>
      <c r="D96" s="134">
        <f>E86</f>
        <v>246.42566219971619</v>
      </c>
      <c r="E96" s="223">
        <f>D86</f>
        <v>3095.2728908250051</v>
      </c>
      <c r="F96" s="182"/>
      <c r="G96" s="182"/>
      <c r="H96" s="182"/>
      <c r="I96" s="182"/>
      <c r="J96" s="182"/>
    </row>
    <row r="97" spans="2:10" ht="16.2" thickBot="1">
      <c r="B97" s="103" t="s">
        <v>15</v>
      </c>
      <c r="C97" s="136">
        <f>SUM(F82:F86)</f>
        <v>10700.2</v>
      </c>
      <c r="D97" s="136">
        <f>SUM(D92:D96)</f>
        <v>4776.1644541250234</v>
      </c>
      <c r="E97" s="224">
        <f>SUM(E92:E96)</f>
        <v>15476.364454125025</v>
      </c>
      <c r="F97" s="182"/>
      <c r="G97" s="182"/>
      <c r="H97" s="182"/>
      <c r="I97" s="182"/>
      <c r="J97" s="182"/>
    </row>
    <row r="98" spans="2:10">
      <c r="B98" s="182"/>
      <c r="C98" s="182"/>
      <c r="D98" s="182"/>
      <c r="E98" s="182"/>
      <c r="F98" s="182"/>
      <c r="G98" s="182"/>
      <c r="H98" s="182"/>
      <c r="I98" s="182"/>
      <c r="J98" s="182"/>
    </row>
    <row r="99" spans="2:10">
      <c r="B99" s="182"/>
      <c r="C99" s="182"/>
      <c r="D99" s="182"/>
      <c r="E99" s="182"/>
      <c r="F99" s="182"/>
      <c r="G99" s="182"/>
      <c r="I99" s="182"/>
      <c r="J99" s="182"/>
    </row>
    <row r="100" spans="2:10">
      <c r="B100" s="182"/>
      <c r="C100" s="182"/>
      <c r="D100" s="182"/>
      <c r="E100" s="182"/>
      <c r="F100" s="182"/>
      <c r="G100" s="182"/>
      <c r="I100" s="182"/>
      <c r="J100" s="182"/>
    </row>
    <row r="101" spans="2:10">
      <c r="B101" s="182"/>
      <c r="C101" s="182"/>
      <c r="D101" s="182"/>
      <c r="E101" s="182"/>
      <c r="F101" s="182"/>
      <c r="G101" s="182"/>
      <c r="I101" s="182"/>
      <c r="J101" s="182"/>
    </row>
    <row r="102" spans="2:10">
      <c r="B102" s="182"/>
      <c r="C102" s="182"/>
      <c r="D102" s="182"/>
      <c r="E102" s="182"/>
      <c r="F102" s="182"/>
      <c r="G102" s="182"/>
      <c r="I102" s="182"/>
      <c r="J102" s="182"/>
    </row>
    <row r="103" spans="2:10">
      <c r="B103" s="182"/>
      <c r="C103" s="182"/>
      <c r="D103" s="182"/>
      <c r="E103" s="182"/>
      <c r="F103" s="182"/>
      <c r="G103" s="182"/>
      <c r="I103" s="182"/>
      <c r="J103" s="182"/>
    </row>
    <row r="104" spans="2:10">
      <c r="B104" s="182"/>
      <c r="C104" s="182"/>
      <c r="D104" s="182"/>
      <c r="E104" s="182"/>
      <c r="F104" s="182"/>
      <c r="G104" s="182"/>
      <c r="I104" s="182"/>
      <c r="J104" s="182"/>
    </row>
    <row r="105" spans="2:10">
      <c r="I105" s="182"/>
      <c r="J105" s="182"/>
    </row>
    <row r="106" spans="2:10">
      <c r="B106" s="200"/>
      <c r="I106" s="182"/>
      <c r="J106" s="182"/>
    </row>
    <row r="107" spans="2:10">
      <c r="B107" s="200"/>
      <c r="I107" s="182"/>
      <c r="J107" s="182"/>
    </row>
    <row r="108" spans="2:10">
      <c r="B108" s="200"/>
      <c r="I108" s="182"/>
      <c r="J108" s="182"/>
    </row>
    <row r="109" spans="2:10">
      <c r="B109" s="200"/>
      <c r="I109" s="182"/>
      <c r="J109" s="182"/>
    </row>
    <row r="110" spans="2:10">
      <c r="B110" s="200"/>
      <c r="I110" s="182"/>
      <c r="J110" s="182"/>
    </row>
    <row r="111" spans="2:10">
      <c r="B111" s="200"/>
      <c r="I111" s="182"/>
      <c r="J111" s="182"/>
    </row>
    <row r="112" spans="2:10">
      <c r="B112" s="200"/>
      <c r="I112" s="182"/>
      <c r="J112" s="182"/>
    </row>
    <row r="113" spans="2:10">
      <c r="B113" s="200"/>
      <c r="I113" s="182"/>
      <c r="J113" s="182"/>
    </row>
    <row r="114" spans="2:10">
      <c r="B114" s="200"/>
      <c r="I114" s="182"/>
      <c r="J114" s="182"/>
    </row>
    <row r="115" spans="2:10">
      <c r="B115" s="200"/>
      <c r="I115" s="182"/>
      <c r="J115" s="182"/>
    </row>
    <row r="116" spans="2:10">
      <c r="B116" s="200"/>
      <c r="I116" s="182"/>
      <c r="J116" s="182"/>
    </row>
    <row r="117" spans="2:10">
      <c r="B117" s="200"/>
      <c r="I117" s="182"/>
      <c r="J117" s="182"/>
    </row>
    <row r="118" spans="2:10">
      <c r="B118" s="200"/>
      <c r="I118" s="182"/>
      <c r="J118" s="182"/>
    </row>
    <row r="119" spans="2:10">
      <c r="B119" s="200"/>
      <c r="I119" s="182"/>
      <c r="J119" s="182"/>
    </row>
    <row r="120" spans="2:10">
      <c r="B120" s="200"/>
      <c r="I120" s="182"/>
      <c r="J120" s="182"/>
    </row>
    <row r="121" spans="2:10">
      <c r="B121" s="200"/>
      <c r="I121" s="182"/>
      <c r="J121" s="182"/>
    </row>
    <row r="122" spans="2:10">
      <c r="B122" s="200"/>
      <c r="I122" s="182"/>
      <c r="J122" s="182"/>
    </row>
    <row r="123" spans="2:10">
      <c r="B123" s="200"/>
      <c r="I123" s="182"/>
      <c r="J123" s="182"/>
    </row>
  </sheetData>
  <mergeCells count="2">
    <mergeCell ref="B2:D2"/>
    <mergeCell ref="B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4</vt:i4>
      </vt:variant>
    </vt:vector>
  </HeadingPairs>
  <TitlesOfParts>
    <vt:vector size="21" baseType="lpstr">
      <vt:lpstr>BORRADORES</vt:lpstr>
      <vt:lpstr>CAPACIDAD Y TAMAÑO</vt:lpstr>
      <vt:lpstr>PRODUCCIÓN</vt:lpstr>
      <vt:lpstr>COSTOS Y GASTOS</vt:lpstr>
      <vt:lpstr>Costos Fijos y Variables</vt:lpstr>
      <vt:lpstr>Mano de Obra</vt:lpstr>
      <vt:lpstr>DEPRECIACIÓN</vt:lpstr>
      <vt:lpstr>PRESUPUESTO DE INVERSIÓN</vt:lpstr>
      <vt:lpstr>INVERSIÓN</vt:lpstr>
      <vt:lpstr>FLUJO DE CAJA</vt:lpstr>
      <vt:lpstr>VAN - TIR</vt:lpstr>
      <vt:lpstr>PRI</vt:lpstr>
      <vt:lpstr>BENEFICIO - COSTO</vt:lpstr>
      <vt:lpstr>PUNTO DE EQUILIBRIO</vt:lpstr>
      <vt:lpstr>ESCENARIO ÓPTIMISTA</vt:lpstr>
      <vt:lpstr>ESCENARIO PESIMISTA</vt:lpstr>
      <vt:lpstr>ANALISIS ESCENARIOS</vt:lpstr>
      <vt:lpstr>BORRADORES!_Toc137740064</vt:lpstr>
      <vt:lpstr>BORRADORES!_Toc137740102</vt:lpstr>
      <vt:lpstr>BORRADORES!_Toc137740103</vt:lpstr>
      <vt:lpstr>BORRADORES!_Toc139833060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RICARDO MORENO CEDENO</dc:creator>
  <cp:lastModifiedBy>Bryan Carrera</cp:lastModifiedBy>
  <dcterms:created xsi:type="dcterms:W3CDTF">2025-06-09T00:44:26Z</dcterms:created>
  <dcterms:modified xsi:type="dcterms:W3CDTF">2025-06-27T05:52:42Z</dcterms:modified>
</cp:coreProperties>
</file>