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FORMATO\"/>
    </mc:Choice>
  </mc:AlternateContent>
  <xr:revisionPtr revIDLastSave="0" documentId="13_ncr:1_{9FA2EA49-5F82-423B-9F54-065081F0D5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_01" sheetId="1" r:id="rId1"/>
  </sheets>
  <definedNames>
    <definedName name="_xlnm._FilterDatabase" localSheetId="0" hidden="1">Hoja_01!$C$1:$H$60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1" l="1"/>
  <c r="C57" i="1"/>
  <c r="C58" i="1"/>
  <c r="C59" i="1"/>
  <c r="C60" i="1"/>
  <c r="C49" i="1"/>
  <c r="C50" i="1"/>
  <c r="C51" i="1"/>
  <c r="C52" i="1"/>
  <c r="C53" i="1"/>
  <c r="C54" i="1"/>
  <c r="C44" i="1"/>
  <c r="C45" i="1"/>
  <c r="C46" i="1"/>
  <c r="C47" i="1"/>
  <c r="C37" i="1"/>
  <c r="C38" i="1"/>
  <c r="C39" i="1"/>
  <c r="C40" i="1"/>
  <c r="C41" i="1"/>
  <c r="C42" i="1"/>
  <c r="C30" i="1"/>
  <c r="C31" i="1"/>
  <c r="C32" i="1"/>
  <c r="C33" i="1"/>
  <c r="C34" i="1"/>
  <c r="C35" i="1"/>
  <c r="C23" i="1"/>
  <c r="C24" i="1"/>
  <c r="C25" i="1"/>
  <c r="C26" i="1"/>
  <c r="C27" i="1"/>
  <c r="C28" i="1"/>
  <c r="C16" i="1"/>
  <c r="C17" i="1"/>
  <c r="C18" i="1"/>
  <c r="C19" i="1"/>
  <c r="C20" i="1"/>
  <c r="C21" i="1"/>
  <c r="C10" i="1"/>
  <c r="C11" i="1"/>
  <c r="C12" i="1"/>
  <c r="C13" i="1"/>
  <c r="C14" i="1"/>
  <c r="C3" i="1"/>
  <c r="C4" i="1"/>
  <c r="C5" i="1"/>
  <c r="C6" i="1"/>
  <c r="C7" i="1"/>
  <c r="C8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C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C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C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C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C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C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C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C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C2" i="1"/>
</calcChain>
</file>

<file path=xl/sharedStrings.xml><?xml version="1.0" encoding="utf-8"?>
<sst xmlns="http://schemas.openxmlformats.org/spreadsheetml/2006/main" count="67" uniqueCount="9">
  <si>
    <t>ELBOSQUE</t>
  </si>
  <si>
    <t>COMUNA</t>
  </si>
  <si>
    <t>CODIGO</t>
  </si>
  <si>
    <t>LISTA</t>
  </si>
  <si>
    <t>CANDIDATOS</t>
  </si>
  <si>
    <t>PARTIDO</t>
  </si>
  <si>
    <t>VOTOS</t>
  </si>
  <si>
    <t>PORCENTAJE</t>
  </si>
  <si>
    <t>ELECTO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</si>
</sst>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workbookViewId="0">
      <selection activeCell="H2" sqref="H2:H55"/>
    </sheetView>
  </sheetViews>
  <sheetFormatPr baseColWidth="10" defaultColWidth="8.88671875" defaultRowHeight="14.4" x14ac:dyDescent="0.3"/>
  <cols>
    <col min="3" max="3" width="35.109375" customWidth="1"/>
    <col min="4" max="4" width="56.6640625" customWidth="1"/>
    <col min="5" max="5" width="11.77734375" customWidth="1"/>
    <col min="6" max="6" width="10.88671875" customWidth="1"/>
    <col min="7" max="7" width="16.88671875" customWidth="1"/>
    <col min="8" max="8" width="10.109375" customWidth="1"/>
  </cols>
  <sheetData>
    <row r="1" spans="1:8" ht="28.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8</v>
      </c>
    </row>
    <row r="2" spans="1:8" x14ac:dyDescent="0.3">
      <c r="A2" t="s">
        <v>0</v>
      </c>
      <c r="B2">
        <v>13105</v>
      </c>
      <c r="C2" s="1" t="str">
        <f>"XA. PARTIDO ECOLOGISTA VERDE"</f>
        <v>XA. PARTIDO ECOLOGISTA VERDE</v>
      </c>
      <c r="E2" s="1" t="str">
        <f>""</f>
        <v/>
      </c>
      <c r="F2" s="1" t="str">
        <f>"2.609"</f>
        <v>2.609</v>
      </c>
      <c r="G2" s="1">
        <v>5.36</v>
      </c>
      <c r="H2" s="1"/>
    </row>
    <row r="3" spans="1:8" x14ac:dyDescent="0.3">
      <c r="A3" t="s">
        <v>0</v>
      </c>
      <c r="B3">
        <v>13105</v>
      </c>
      <c r="C3" s="1" t="str">
        <f t="shared" ref="C3:C8" si="0">"XA. PARTIDO ECOLOGISTA VERDE"</f>
        <v>XA. PARTIDO ECOLOGISTA VERDE</v>
      </c>
      <c r="D3" s="1" t="str">
        <f>"1. VALENTINA BUSTAMANTE SEPULVEDA (M)"</f>
        <v>1. VALENTINA BUSTAMANTE SEPULVEDA (M)</v>
      </c>
      <c r="E3" s="1" t="str">
        <f t="shared" ref="E3:E8" si="1">"PEV"</f>
        <v>PEV</v>
      </c>
      <c r="F3" s="1" t="str">
        <f>"1.048"</f>
        <v>1.048</v>
      </c>
      <c r="G3" s="1">
        <v>2.15</v>
      </c>
      <c r="H3" s="1">
        <v>0</v>
      </c>
    </row>
    <row r="4" spans="1:8" x14ac:dyDescent="0.3">
      <c r="A4" t="s">
        <v>0</v>
      </c>
      <c r="B4">
        <v>13105</v>
      </c>
      <c r="C4" s="1" t="str">
        <f t="shared" si="0"/>
        <v>XA. PARTIDO ECOLOGISTA VERDE</v>
      </c>
      <c r="D4" s="1" t="str">
        <f>"2. ISMAEL MENA ABRIGO (H)"</f>
        <v>2. ISMAEL MENA ABRIGO (H)</v>
      </c>
      <c r="E4" s="1" t="str">
        <f t="shared" si="1"/>
        <v>PEV</v>
      </c>
      <c r="F4" s="1" t="str">
        <f>"248"</f>
        <v>248</v>
      </c>
      <c r="G4" s="1">
        <v>0.51</v>
      </c>
      <c r="H4" s="1">
        <v>0</v>
      </c>
    </row>
    <row r="5" spans="1:8" x14ac:dyDescent="0.3">
      <c r="A5" t="s">
        <v>0</v>
      </c>
      <c r="B5">
        <v>13105</v>
      </c>
      <c r="C5" s="1" t="str">
        <f t="shared" si="0"/>
        <v>XA. PARTIDO ECOLOGISTA VERDE</v>
      </c>
      <c r="D5" s="1" t="str">
        <f>"3. MARIA JOSE TORO TORO (M)"</f>
        <v>3. MARIA JOSE TORO TORO (M)</v>
      </c>
      <c r="E5" s="1" t="str">
        <f t="shared" si="1"/>
        <v>PEV</v>
      </c>
      <c r="F5" s="1" t="str">
        <f>"409"</f>
        <v>409</v>
      </c>
      <c r="G5" s="1">
        <v>0.84</v>
      </c>
      <c r="H5" s="1">
        <v>0</v>
      </c>
    </row>
    <row r="6" spans="1:8" x14ac:dyDescent="0.3">
      <c r="A6" t="s">
        <v>0</v>
      </c>
      <c r="B6">
        <v>13105</v>
      </c>
      <c r="C6" s="1" t="str">
        <f t="shared" si="0"/>
        <v>XA. PARTIDO ECOLOGISTA VERDE</v>
      </c>
      <c r="D6" s="1" t="str">
        <f>"4. HANS ALEXIS HUBE FRIAS (H)"</f>
        <v>4. HANS ALEXIS HUBE FRIAS (H)</v>
      </c>
      <c r="E6" s="1" t="str">
        <f t="shared" si="1"/>
        <v>PEV</v>
      </c>
      <c r="F6" s="1" t="str">
        <f>"317"</f>
        <v>317</v>
      </c>
      <c r="G6" s="1">
        <v>0.65</v>
      </c>
      <c r="H6" s="1">
        <v>0</v>
      </c>
    </row>
    <row r="7" spans="1:8" x14ac:dyDescent="0.3">
      <c r="A7" t="s">
        <v>0</v>
      </c>
      <c r="B7">
        <v>13105</v>
      </c>
      <c r="C7" s="1" t="str">
        <f t="shared" si="0"/>
        <v>XA. PARTIDO ECOLOGISTA VERDE</v>
      </c>
      <c r="D7" s="1" t="str">
        <f>"5. MARIANA SANDOVAL LLANCAFIL (M)"</f>
        <v>5. MARIANA SANDOVAL LLANCAFIL (M)</v>
      </c>
      <c r="E7" s="1" t="str">
        <f t="shared" si="1"/>
        <v>PEV</v>
      </c>
      <c r="F7" s="1" t="str">
        <f>"390"</f>
        <v>390</v>
      </c>
      <c r="G7" s="1">
        <v>0.8</v>
      </c>
      <c r="H7" s="1">
        <v>0</v>
      </c>
    </row>
    <row r="8" spans="1:8" x14ac:dyDescent="0.3">
      <c r="A8" t="s">
        <v>0</v>
      </c>
      <c r="B8">
        <v>13105</v>
      </c>
      <c r="C8" s="1" t="str">
        <f t="shared" si="0"/>
        <v>XA. PARTIDO ECOLOGISTA VERDE</v>
      </c>
      <c r="D8" s="1" t="str">
        <f>"6. CRISTIAN EDUARDO GONZALEZ BASTIAS (H)"</f>
        <v>6. CRISTIAN EDUARDO GONZALEZ BASTIAS (H)</v>
      </c>
      <c r="E8" s="1" t="str">
        <f t="shared" si="1"/>
        <v>PEV</v>
      </c>
      <c r="F8" s="1" t="str">
        <f>"197"</f>
        <v>197</v>
      </c>
      <c r="G8" s="1">
        <v>0.4</v>
      </c>
      <c r="H8" s="1">
        <v>0</v>
      </c>
    </row>
    <row r="9" spans="1:8" x14ac:dyDescent="0.3">
      <c r="A9" t="s">
        <v>0</v>
      </c>
      <c r="B9">
        <v>13105</v>
      </c>
      <c r="C9" s="1" t="str">
        <f>"XH. LISTA POR LA JUSTICIA SOCIAL (D13)"</f>
        <v>XH. LISTA POR LA JUSTICIA SOCIAL (D13)</v>
      </c>
      <c r="E9" s="1" t="str">
        <f>""</f>
        <v/>
      </c>
      <c r="F9" s="1" t="str">
        <f>"1.939"</f>
        <v>1.939</v>
      </c>
      <c r="G9" s="1">
        <v>3.9800000000000004</v>
      </c>
      <c r="H9" s="1"/>
    </row>
    <row r="10" spans="1:8" x14ac:dyDescent="0.3">
      <c r="A10" t="s">
        <v>0</v>
      </c>
      <c r="B10">
        <v>13105</v>
      </c>
      <c r="C10" s="1" t="str">
        <f t="shared" ref="C10:C14" si="2">"XH. LISTA POR LA JUSTICIA SOCIAL (D13)"</f>
        <v>XH. LISTA POR LA JUSTICIA SOCIAL (D13)</v>
      </c>
      <c r="D10" s="1" t="str">
        <f>"7. KEYLA NOEMI ZAVALETA ACOSTA (M)"</f>
        <v>7. KEYLA NOEMI ZAVALETA ACOSTA (M)</v>
      </c>
      <c r="E10" s="1" t="str">
        <f>"IND"</f>
        <v>IND</v>
      </c>
      <c r="F10" s="1" t="str">
        <f>"480"</f>
        <v>480</v>
      </c>
      <c r="G10" s="1">
        <v>0.9900000000000001</v>
      </c>
      <c r="H10" s="1">
        <v>0</v>
      </c>
    </row>
    <row r="11" spans="1:8" x14ac:dyDescent="0.3">
      <c r="A11" t="s">
        <v>0</v>
      </c>
      <c r="B11">
        <v>13105</v>
      </c>
      <c r="C11" s="1" t="str">
        <f t="shared" si="2"/>
        <v>XH. LISTA POR LA JUSTICIA SOCIAL (D13)</v>
      </c>
      <c r="D11" s="1" t="str">
        <f>"8. HECTOR RICHARD RUBIO SEPULVEDA (H)"</f>
        <v>8. HECTOR RICHARD RUBIO SEPULVEDA (H)</v>
      </c>
      <c r="E11" s="1" t="str">
        <f>"IND"</f>
        <v>IND</v>
      </c>
      <c r="F11" s="1" t="str">
        <f>"229"</f>
        <v>229</v>
      </c>
      <c r="G11" s="1">
        <v>0.47000000000000003</v>
      </c>
      <c r="H11" s="1">
        <v>0</v>
      </c>
    </row>
    <row r="12" spans="1:8" x14ac:dyDescent="0.3">
      <c r="A12" t="s">
        <v>0</v>
      </c>
      <c r="B12">
        <v>13105</v>
      </c>
      <c r="C12" s="1" t="str">
        <f t="shared" si="2"/>
        <v>XH. LISTA POR LA JUSTICIA SOCIAL (D13)</v>
      </c>
      <c r="D12" s="1" t="str">
        <f>"9. KARINA ANDREA DURAN JARA (M)"</f>
        <v>9. KARINA ANDREA DURAN JARA (M)</v>
      </c>
      <c r="E12" s="1" t="str">
        <f>"IND"</f>
        <v>IND</v>
      </c>
      <c r="F12" s="1" t="str">
        <f>"607"</f>
        <v>607</v>
      </c>
      <c r="G12" s="1">
        <v>1.25</v>
      </c>
      <c r="H12" s="1">
        <v>0</v>
      </c>
    </row>
    <row r="13" spans="1:8" x14ac:dyDescent="0.3">
      <c r="A13" t="s">
        <v>0</v>
      </c>
      <c r="B13">
        <v>13105</v>
      </c>
      <c r="C13" s="1" t="str">
        <f t="shared" si="2"/>
        <v>XH. LISTA POR LA JUSTICIA SOCIAL (D13)</v>
      </c>
      <c r="D13" s="1" t="str">
        <f>"10. RICARDO GONZALEZ HIDALGO (H)"</f>
        <v>10. RICARDO GONZALEZ HIDALGO (H)</v>
      </c>
      <c r="E13" s="1" t="str">
        <f>"IND"</f>
        <v>IND</v>
      </c>
      <c r="F13" s="1" t="str">
        <f>"230"</f>
        <v>230</v>
      </c>
      <c r="G13" s="1">
        <v>0.47000000000000003</v>
      </c>
      <c r="H13" s="1">
        <v>0</v>
      </c>
    </row>
    <row r="14" spans="1:8" x14ac:dyDescent="0.3">
      <c r="A14" t="s">
        <v>0</v>
      </c>
      <c r="B14">
        <v>13105</v>
      </c>
      <c r="C14" s="1" t="str">
        <f t="shared" si="2"/>
        <v>XH. LISTA POR LA JUSTICIA SOCIAL (D13)</v>
      </c>
      <c r="D14" s="1" t="str">
        <f>"11. CATHERINNE ANGELICA PINO BELTRAN (M)"</f>
        <v>11. CATHERINNE ANGELICA PINO BELTRAN (M)</v>
      </c>
      <c r="E14" s="1" t="str">
        <f>"IND"</f>
        <v>IND</v>
      </c>
      <c r="F14" s="1" t="str">
        <f>"393"</f>
        <v>393</v>
      </c>
      <c r="G14" s="1">
        <v>0.80999999999999994</v>
      </c>
      <c r="H14" s="1">
        <v>0</v>
      </c>
    </row>
    <row r="15" spans="1:8" x14ac:dyDescent="0.3">
      <c r="A15" t="s">
        <v>0</v>
      </c>
      <c r="B15">
        <v>13105</v>
      </c>
      <c r="C15" s="1" t="str">
        <f>"XP. VAMOS POR CHILE"</f>
        <v>XP. VAMOS POR CHILE</v>
      </c>
      <c r="E15" s="1" t="str">
        <f>""</f>
        <v/>
      </c>
      <c r="F15" s="1" t="str">
        <f>"6.164"</f>
        <v>6.164</v>
      </c>
      <c r="G15" s="1">
        <v>12.65</v>
      </c>
      <c r="H15" s="1"/>
    </row>
    <row r="16" spans="1:8" x14ac:dyDescent="0.3">
      <c r="A16" t="s">
        <v>0</v>
      </c>
      <c r="B16">
        <v>13105</v>
      </c>
      <c r="C16" s="1" t="str">
        <f t="shared" ref="C16:C21" si="3">"XP. VAMOS POR CHILE"</f>
        <v>XP. VAMOS POR CHILE</v>
      </c>
      <c r="D16" s="1" t="str">
        <f>"12. ELEONORA ESPINOZA HERNANDEZ (M)"</f>
        <v>12. ELEONORA ESPINOZA HERNANDEZ (M)</v>
      </c>
      <c r="E16" s="1" t="str">
        <f>"RN"</f>
        <v>RN</v>
      </c>
      <c r="F16" s="1" t="str">
        <f>"2.198"</f>
        <v>2.198</v>
      </c>
      <c r="G16" s="1">
        <v>4.51</v>
      </c>
      <c r="H16" s="1">
        <v>0</v>
      </c>
    </row>
    <row r="17" spans="1:8" x14ac:dyDescent="0.3">
      <c r="A17" t="s">
        <v>0</v>
      </c>
      <c r="B17">
        <v>13105</v>
      </c>
      <c r="C17" s="1" t="str">
        <f t="shared" si="3"/>
        <v>XP. VAMOS POR CHILE</v>
      </c>
      <c r="D17" s="1" t="str">
        <f>"13. MATIAS NICOLAS POBLETE SANDOVAL (H)"</f>
        <v>13. MATIAS NICOLAS POBLETE SANDOVAL (H)</v>
      </c>
      <c r="E17" s="1" t="str">
        <f>"IND-REPUBL."</f>
        <v>IND-REPUBL.</v>
      </c>
      <c r="F17" s="1" t="str">
        <f>"710"</f>
        <v>710</v>
      </c>
      <c r="G17" s="1">
        <v>1.46</v>
      </c>
      <c r="H17" s="1">
        <v>0</v>
      </c>
    </row>
    <row r="18" spans="1:8" x14ac:dyDescent="0.3">
      <c r="A18" t="s">
        <v>0</v>
      </c>
      <c r="B18">
        <v>13105</v>
      </c>
      <c r="C18" s="1" t="str">
        <f t="shared" si="3"/>
        <v>XP. VAMOS POR CHILE</v>
      </c>
      <c r="D18" s="1" t="str">
        <f>"14. SUSANA HIPLAN ESTEFFAN (M)"</f>
        <v>14. SUSANA HIPLAN ESTEFFAN (M)</v>
      </c>
      <c r="E18" s="1" t="str">
        <f>"RN"</f>
        <v>RN</v>
      </c>
      <c r="F18" s="1" t="str">
        <f>"755"</f>
        <v>755</v>
      </c>
      <c r="G18" s="1">
        <v>1.55</v>
      </c>
      <c r="H18" s="1">
        <v>0</v>
      </c>
    </row>
    <row r="19" spans="1:8" x14ac:dyDescent="0.3">
      <c r="A19" t="s">
        <v>0</v>
      </c>
      <c r="B19">
        <v>13105</v>
      </c>
      <c r="C19" s="1" t="str">
        <f t="shared" si="3"/>
        <v>XP. VAMOS POR CHILE</v>
      </c>
      <c r="D19" s="1" t="str">
        <f>"15. LUIS SILVA IRARRAZAVAL (H)"</f>
        <v>15. LUIS SILVA IRARRAZAVAL (H)</v>
      </c>
      <c r="E19" s="1" t="str">
        <f>"IND-REPUBL."</f>
        <v>IND-REPUBL.</v>
      </c>
      <c r="F19" s="1" t="str">
        <f>"850"</f>
        <v>850</v>
      </c>
      <c r="G19" s="1">
        <v>1.7399999999999998</v>
      </c>
      <c r="H19" s="1">
        <v>0</v>
      </c>
    </row>
    <row r="20" spans="1:8" x14ac:dyDescent="0.3">
      <c r="A20" t="s">
        <v>0</v>
      </c>
      <c r="B20">
        <v>13105</v>
      </c>
      <c r="C20" s="1" t="str">
        <f t="shared" si="3"/>
        <v>XP. VAMOS POR CHILE</v>
      </c>
      <c r="D20" s="1" t="str">
        <f>"16. CAROLINA GARCIA BERGUECIO (M)"</f>
        <v>16. CAROLINA GARCIA BERGUECIO (M)</v>
      </c>
      <c r="E20" s="1" t="str">
        <f>"EVOPOLI"</f>
        <v>EVOPOLI</v>
      </c>
      <c r="F20" s="1" t="str">
        <f>"450"</f>
        <v>450</v>
      </c>
      <c r="G20" s="1">
        <v>0.91999999999999993</v>
      </c>
      <c r="H20" s="1">
        <v>0</v>
      </c>
    </row>
    <row r="21" spans="1:8" ht="28.8" x14ac:dyDescent="0.3">
      <c r="A21" t="s">
        <v>0</v>
      </c>
      <c r="B21">
        <v>13105</v>
      </c>
      <c r="C21" s="1" t="str">
        <f t="shared" si="3"/>
        <v>XP. VAMOS POR CHILE</v>
      </c>
      <c r="D21" s="1" t="str">
        <f>"17. ALEJANDRO ANDRES FERNANDEZ GONZALEZ (H)"</f>
        <v>17. ALEJANDRO ANDRES FERNANDEZ GONZALEZ (H)</v>
      </c>
      <c r="E21" s="1" t="str">
        <f>"IND-EVOPOLI"</f>
        <v>IND-EVOPOLI</v>
      </c>
      <c r="F21" s="1" t="str">
        <f>"1.201"</f>
        <v>1.201</v>
      </c>
      <c r="G21" s="1">
        <v>2.4699999999999998</v>
      </c>
      <c r="H21" s="1">
        <v>0</v>
      </c>
    </row>
    <row r="22" spans="1:8" x14ac:dyDescent="0.3">
      <c r="A22" t="s">
        <v>0</v>
      </c>
      <c r="B22">
        <v>13105</v>
      </c>
      <c r="C22" s="1" t="str">
        <f>"YB. LISTA DEL APRUEBO"</f>
        <v>YB. LISTA DEL APRUEBO</v>
      </c>
      <c r="E22" s="1" t="str">
        <f>""</f>
        <v/>
      </c>
      <c r="F22" s="1" t="str">
        <f>"11.840"</f>
        <v>11.840</v>
      </c>
      <c r="G22" s="1">
        <v>24.3</v>
      </c>
      <c r="H22" s="1"/>
    </row>
    <row r="23" spans="1:8" x14ac:dyDescent="0.3">
      <c r="A23" t="s">
        <v>0</v>
      </c>
      <c r="B23">
        <v>13105</v>
      </c>
      <c r="C23" s="1" t="str">
        <f t="shared" ref="C23:C28" si="4">"YB. LISTA DEL APRUEBO"</f>
        <v>YB. LISTA DEL APRUEBO</v>
      </c>
      <c r="D23" s="1" t="str">
        <f>"18. FRANCISCA PAZ CABRERA ANTOINE (M)"</f>
        <v>18. FRANCISCA PAZ CABRERA ANTOINE (M)</v>
      </c>
      <c r="E23" s="1" t="str">
        <f>"IND-PRO"</f>
        <v>IND-PRO</v>
      </c>
      <c r="F23" s="1" t="str">
        <f>"768"</f>
        <v>768</v>
      </c>
      <c r="G23" s="1">
        <v>1.58</v>
      </c>
      <c r="H23" s="1">
        <v>0</v>
      </c>
    </row>
    <row r="24" spans="1:8" x14ac:dyDescent="0.3">
      <c r="A24" t="s">
        <v>0</v>
      </c>
      <c r="B24">
        <v>13105</v>
      </c>
      <c r="C24" s="1" t="str">
        <f t="shared" si="4"/>
        <v>YB. LISTA DEL APRUEBO</v>
      </c>
      <c r="D24" s="1" t="str">
        <f>"19. NICOLAS EMILIO FREIRE CASTELLO (H)"</f>
        <v>19. NICOLAS EMILIO FREIRE CASTELLO (H)</v>
      </c>
      <c r="E24" s="1" t="str">
        <f>"IND-PL"</f>
        <v>IND-PL</v>
      </c>
      <c r="F24" s="1" t="str">
        <f>"993"</f>
        <v>993</v>
      </c>
      <c r="G24" s="1">
        <v>2.04</v>
      </c>
      <c r="H24" s="1">
        <v>0</v>
      </c>
    </row>
    <row r="25" spans="1:8" x14ac:dyDescent="0.3">
      <c r="A25" t="s">
        <v>0</v>
      </c>
      <c r="B25">
        <v>13105</v>
      </c>
      <c r="C25" s="1" t="str">
        <f t="shared" si="4"/>
        <v>YB. LISTA DEL APRUEBO</v>
      </c>
      <c r="D25" s="1" t="str">
        <f>"20. MALUCHA PINTO SOLARI (M)"</f>
        <v>20. MALUCHA PINTO SOLARI (M)</v>
      </c>
      <c r="E25" s="1" t="str">
        <f>"PS"</f>
        <v>PS</v>
      </c>
      <c r="F25" s="1" t="str">
        <f>"8.274"</f>
        <v>8.274</v>
      </c>
      <c r="G25" s="1">
        <v>16.98</v>
      </c>
      <c r="H25" s="1">
        <v>1</v>
      </c>
    </row>
    <row r="26" spans="1:8" x14ac:dyDescent="0.3">
      <c r="A26" t="s">
        <v>0</v>
      </c>
      <c r="B26">
        <v>13105</v>
      </c>
      <c r="C26" s="1" t="str">
        <f t="shared" si="4"/>
        <v>YB. LISTA DEL APRUEBO</v>
      </c>
      <c r="D26" s="1" t="str">
        <f>"21. JORGE INSUNZA GREGORIO DE LAS HERAS (H)"</f>
        <v>21. JORGE INSUNZA GREGORIO DE LAS HERAS (H)</v>
      </c>
      <c r="E26" s="1" t="str">
        <f>"PPD"</f>
        <v>PPD</v>
      </c>
      <c r="F26" s="1" t="str">
        <f>"787"</f>
        <v>787</v>
      </c>
      <c r="G26" s="1">
        <v>1.6199999999999999</v>
      </c>
      <c r="H26" s="1">
        <v>0</v>
      </c>
    </row>
    <row r="27" spans="1:8" x14ac:dyDescent="0.3">
      <c r="A27" t="s">
        <v>0</v>
      </c>
      <c r="B27">
        <v>13105</v>
      </c>
      <c r="C27" s="1" t="str">
        <f t="shared" si="4"/>
        <v>YB. LISTA DEL APRUEBO</v>
      </c>
      <c r="D27" s="1" t="str">
        <f>"22. VALERIA ALEJANDRA VILLEGAS MAYOR (M)"</f>
        <v>22. VALERIA ALEJANDRA VILLEGAS MAYOR (M)</v>
      </c>
      <c r="E27" s="1" t="str">
        <f>"PR"</f>
        <v>PR</v>
      </c>
      <c r="F27" s="1" t="str">
        <f>"373"</f>
        <v>373</v>
      </c>
      <c r="G27" s="1">
        <v>0.77</v>
      </c>
      <c r="H27" s="1">
        <v>0</v>
      </c>
    </row>
    <row r="28" spans="1:8" x14ac:dyDescent="0.3">
      <c r="A28" t="s">
        <v>0</v>
      </c>
      <c r="B28">
        <v>13105</v>
      </c>
      <c r="C28" s="1" t="str">
        <f t="shared" si="4"/>
        <v>YB. LISTA DEL APRUEBO</v>
      </c>
      <c r="D28" s="1" t="str">
        <f>"23. RODOLFO SEGUEL MOLINA (H)"</f>
        <v>23. RODOLFO SEGUEL MOLINA (H)</v>
      </c>
      <c r="E28" s="1" t="str">
        <f>"PDC"</f>
        <v>PDC</v>
      </c>
      <c r="F28" s="1" t="str">
        <f>"645"</f>
        <v>645</v>
      </c>
      <c r="G28" s="1">
        <v>1.32</v>
      </c>
      <c r="H28" s="1">
        <v>0</v>
      </c>
    </row>
    <row r="29" spans="1:8" x14ac:dyDescent="0.3">
      <c r="A29" t="s">
        <v>0</v>
      </c>
      <c r="B29">
        <v>13105</v>
      </c>
      <c r="C29" s="1" t="str">
        <f>"YQ. APRUEBO DIGNIDAD"</f>
        <v>YQ. APRUEBO DIGNIDAD</v>
      </c>
      <c r="E29" s="1" t="str">
        <f>""</f>
        <v/>
      </c>
      <c r="F29" s="1" t="str">
        <f>"6.321"</f>
        <v>6.321</v>
      </c>
      <c r="G29" s="1">
        <v>12.97</v>
      </c>
      <c r="H29" s="1"/>
    </row>
    <row r="30" spans="1:8" ht="28.8" x14ac:dyDescent="0.3">
      <c r="A30" t="s">
        <v>0</v>
      </c>
      <c r="B30">
        <v>13105</v>
      </c>
      <c r="C30" s="1" t="str">
        <f t="shared" ref="C30:C35" si="5">"YQ. APRUEBO DIGNIDAD"</f>
        <v>YQ. APRUEBO DIGNIDAD</v>
      </c>
      <c r="D30" s="1" t="str">
        <f>"24. NATALIA ARAVENA CONTRERAS (M)"</f>
        <v>24. NATALIA ARAVENA CONTRERAS (M)</v>
      </c>
      <c r="E30" s="1" t="str">
        <f>"IND-CONVER."</f>
        <v>IND-CONVER.</v>
      </c>
      <c r="F30" s="1" t="str">
        <f>"2.876"</f>
        <v>2.876</v>
      </c>
      <c r="G30" s="1">
        <v>5.8999999999999995</v>
      </c>
      <c r="H30" s="1">
        <v>0</v>
      </c>
    </row>
    <row r="31" spans="1:8" x14ac:dyDescent="0.3">
      <c r="A31" t="s">
        <v>0</v>
      </c>
      <c r="B31">
        <v>13105</v>
      </c>
      <c r="C31" s="1" t="str">
        <f t="shared" si="5"/>
        <v>YQ. APRUEBO DIGNIDAD</v>
      </c>
      <c r="D31" s="1" t="str">
        <f>"25. MARCOS PATRICIO BARRAZA GOMEZ (H)"</f>
        <v>25. MARCOS PATRICIO BARRAZA GOMEZ (H)</v>
      </c>
      <c r="E31" s="1" t="str">
        <f>"PCCH"</f>
        <v>PCCH</v>
      </c>
      <c r="F31" s="1" t="str">
        <f>"1.863"</f>
        <v>1.863</v>
      </c>
      <c r="G31" s="1">
        <v>3.82</v>
      </c>
      <c r="H31" s="1">
        <v>1</v>
      </c>
    </row>
    <row r="32" spans="1:8" x14ac:dyDescent="0.3">
      <c r="A32" t="s">
        <v>0</v>
      </c>
      <c r="B32">
        <v>13105</v>
      </c>
      <c r="C32" s="1" t="str">
        <f t="shared" si="5"/>
        <v>YQ. APRUEBO DIGNIDAD</v>
      </c>
      <c r="D32" s="1" t="str">
        <f>"26. ADRIANA BARRIENTOS CASTRO (M)"</f>
        <v>26. ADRIANA BARRIENTOS CASTRO (M)</v>
      </c>
      <c r="E32" s="1" t="str">
        <f>"FREVS"</f>
        <v>FREVS</v>
      </c>
      <c r="F32" s="1" t="str">
        <f>"349"</f>
        <v>349</v>
      </c>
      <c r="G32" s="1">
        <v>0.72</v>
      </c>
      <c r="H32" s="1">
        <v>0</v>
      </c>
    </row>
    <row r="33" spans="1:8" ht="28.8" x14ac:dyDescent="0.3">
      <c r="A33" t="s">
        <v>0</v>
      </c>
      <c r="B33">
        <v>13105</v>
      </c>
      <c r="C33" s="1" t="str">
        <f t="shared" si="5"/>
        <v>YQ. APRUEBO DIGNIDAD</v>
      </c>
      <c r="D33" s="1" t="str">
        <f>"27. MIRKO JIMENEZ CONTRERAS (H)"</f>
        <v>27. MIRKO JIMENEZ CONTRERAS (H)</v>
      </c>
      <c r="E33" s="1" t="str">
        <f>"IND-IGUALDAD"</f>
        <v>IND-IGUALDAD</v>
      </c>
      <c r="F33" s="1" t="str">
        <f>"478"</f>
        <v>478</v>
      </c>
      <c r="G33" s="1">
        <v>0.98</v>
      </c>
      <c r="H33" s="1">
        <v>0</v>
      </c>
    </row>
    <row r="34" spans="1:8" x14ac:dyDescent="0.3">
      <c r="A34" t="s">
        <v>0</v>
      </c>
      <c r="B34">
        <v>13105</v>
      </c>
      <c r="C34" s="1" t="str">
        <f t="shared" si="5"/>
        <v>YQ. APRUEBO DIGNIDAD</v>
      </c>
      <c r="D34" s="1" t="str">
        <f>"28. LIBERTAD ANGELA MENDEZ NUÑEZ (M)"</f>
        <v>28. LIBERTAD ANGELA MENDEZ NUÑEZ (M)</v>
      </c>
      <c r="E34" s="1" t="str">
        <f>"COMUNES"</f>
        <v>COMUNES</v>
      </c>
      <c r="F34" s="1" t="str">
        <f>"363"</f>
        <v>363</v>
      </c>
      <c r="G34" s="1">
        <v>0.75</v>
      </c>
      <c r="H34" s="1">
        <v>0</v>
      </c>
    </row>
    <row r="35" spans="1:8" x14ac:dyDescent="0.3">
      <c r="A35" t="s">
        <v>0</v>
      </c>
      <c r="B35">
        <v>13105</v>
      </c>
      <c r="C35" s="1" t="str">
        <f t="shared" si="5"/>
        <v>YQ. APRUEBO DIGNIDAD</v>
      </c>
      <c r="D35" s="1" t="str">
        <f>"29. DANIEL FRANCISCO ANDRADE SCHWARZE (H)"</f>
        <v>29. DANIEL FRANCISCO ANDRADE SCHWARZE (H)</v>
      </c>
      <c r="E35" s="1" t="str">
        <f>"RD"</f>
        <v>RD</v>
      </c>
      <c r="F35" s="1" t="str">
        <f>"392"</f>
        <v>392</v>
      </c>
      <c r="G35" s="1">
        <v>0.8</v>
      </c>
      <c r="H35" s="1">
        <v>0</v>
      </c>
    </row>
    <row r="36" spans="1:8" ht="28.8" x14ac:dyDescent="0.3">
      <c r="A36" t="s">
        <v>0</v>
      </c>
      <c r="B36">
        <v>13105</v>
      </c>
      <c r="C36" s="1" t="str">
        <f>"YS. INDEPENDIENTES SIN PADRINOS (D13)"</f>
        <v>YS. INDEPENDIENTES SIN PADRINOS (D13)</v>
      </c>
      <c r="E36" s="1" t="str">
        <f>""</f>
        <v/>
      </c>
      <c r="F36" s="1" t="str">
        <f>"5.510"</f>
        <v>5.510</v>
      </c>
      <c r="G36" s="1">
        <v>11.31</v>
      </c>
      <c r="H36" s="1"/>
    </row>
    <row r="37" spans="1:8" ht="28.8" x14ac:dyDescent="0.3">
      <c r="A37" t="s">
        <v>0</v>
      </c>
      <c r="B37">
        <v>13105</v>
      </c>
      <c r="C37" s="1" t="str">
        <f t="shared" ref="C37:C42" si="6">"YS. INDEPENDIENTES SIN PADRINOS (D13)"</f>
        <v>YS. INDEPENDIENTES SIN PADRINOS (D13)</v>
      </c>
      <c r="D37" s="1" t="str">
        <f>"30. SANDRA MARIBEL HUENTEMILLA CARRASCO (M)"</f>
        <v>30. SANDRA MARIBEL HUENTEMILLA CARRASCO (M)</v>
      </c>
      <c r="E37" s="1" t="str">
        <f t="shared" ref="E37:E42" si="7">"IND"</f>
        <v>IND</v>
      </c>
      <c r="F37" s="1" t="str">
        <f>"1.605"</f>
        <v>1.605</v>
      </c>
      <c r="G37" s="1">
        <v>3.29</v>
      </c>
      <c r="H37" s="1">
        <v>0</v>
      </c>
    </row>
    <row r="38" spans="1:8" ht="28.8" x14ac:dyDescent="0.3">
      <c r="A38" t="s">
        <v>0</v>
      </c>
      <c r="B38">
        <v>13105</v>
      </c>
      <c r="C38" s="1" t="str">
        <f t="shared" si="6"/>
        <v>YS. INDEPENDIENTES SIN PADRINOS (D13)</v>
      </c>
      <c r="D38" s="1" t="str">
        <f>"31. ISAAC FUENTEALBA ROJAS (H)"</f>
        <v>31. ISAAC FUENTEALBA ROJAS (H)</v>
      </c>
      <c r="E38" s="1" t="str">
        <f t="shared" si="7"/>
        <v>IND</v>
      </c>
      <c r="F38" s="1" t="str">
        <f>"437"</f>
        <v>437</v>
      </c>
      <c r="G38" s="1">
        <v>0.89999999999999991</v>
      </c>
      <c r="H38" s="1">
        <v>0</v>
      </c>
    </row>
    <row r="39" spans="1:8" ht="28.8" x14ac:dyDescent="0.3">
      <c r="A39" t="s">
        <v>0</v>
      </c>
      <c r="B39">
        <v>13105</v>
      </c>
      <c r="C39" s="1" t="str">
        <f t="shared" si="6"/>
        <v>YS. INDEPENDIENTES SIN PADRINOS (D13)</v>
      </c>
      <c r="D39" s="1" t="str">
        <f>"32. MARIANA CAROLINA GONZALEZ VICENCIO (M)"</f>
        <v>32. MARIANA CAROLINA GONZALEZ VICENCIO (M)</v>
      </c>
      <c r="E39" s="1" t="str">
        <f t="shared" si="7"/>
        <v>IND</v>
      </c>
      <c r="F39" s="1" t="str">
        <f>"1.135"</f>
        <v>1.135</v>
      </c>
      <c r="G39" s="1">
        <v>2.33</v>
      </c>
      <c r="H39" s="1">
        <v>0</v>
      </c>
    </row>
    <row r="40" spans="1:8" ht="28.8" x14ac:dyDescent="0.3">
      <c r="A40" t="s">
        <v>0</v>
      </c>
      <c r="B40">
        <v>13105</v>
      </c>
      <c r="C40" s="1" t="str">
        <f t="shared" si="6"/>
        <v>YS. INDEPENDIENTES SIN PADRINOS (D13)</v>
      </c>
      <c r="D40" s="1" t="str">
        <f>"33. MATIAS FRANCISCO MENARES SAN JUAN (H)"</f>
        <v>33. MATIAS FRANCISCO MENARES SAN JUAN (H)</v>
      </c>
      <c r="E40" s="1" t="str">
        <f t="shared" si="7"/>
        <v>IND</v>
      </c>
      <c r="F40" s="1" t="str">
        <f>"909"</f>
        <v>909</v>
      </c>
      <c r="G40" s="1">
        <v>1.87</v>
      </c>
      <c r="H40" s="1">
        <v>0</v>
      </c>
    </row>
    <row r="41" spans="1:8" ht="28.8" x14ac:dyDescent="0.3">
      <c r="A41" t="s">
        <v>0</v>
      </c>
      <c r="B41">
        <v>13105</v>
      </c>
      <c r="C41" s="1" t="str">
        <f t="shared" si="6"/>
        <v>YS. INDEPENDIENTES SIN PADRINOS (D13)</v>
      </c>
      <c r="D41" s="1" t="str">
        <f>"34. CLAUDIA LUBI MONTECINOS (M)"</f>
        <v>34. CLAUDIA LUBI MONTECINOS (M)</v>
      </c>
      <c r="E41" s="1" t="str">
        <f t="shared" si="7"/>
        <v>IND</v>
      </c>
      <c r="F41" s="1" t="str">
        <f>"572"</f>
        <v>572</v>
      </c>
      <c r="G41" s="1">
        <v>1.17</v>
      </c>
      <c r="H41" s="1">
        <v>0</v>
      </c>
    </row>
    <row r="42" spans="1:8" ht="28.8" x14ac:dyDescent="0.3">
      <c r="A42" t="s">
        <v>0</v>
      </c>
      <c r="B42">
        <v>13105</v>
      </c>
      <c r="C42" s="1" t="str">
        <f t="shared" si="6"/>
        <v>YS. INDEPENDIENTES SIN PADRINOS (D13)</v>
      </c>
      <c r="D42" s="1" t="str">
        <f>"35. LUIS MARIANO RENDON ESCOBAR (H)"</f>
        <v>35. LUIS MARIANO RENDON ESCOBAR (H)</v>
      </c>
      <c r="E42" s="1" t="str">
        <f t="shared" si="7"/>
        <v>IND</v>
      </c>
      <c r="F42" s="1" t="str">
        <f>"852"</f>
        <v>852</v>
      </c>
      <c r="G42" s="1">
        <v>1.7500000000000002</v>
      </c>
      <c r="H42" s="1">
        <v>0</v>
      </c>
    </row>
    <row r="43" spans="1:8" x14ac:dyDescent="0.3">
      <c r="A43" t="s">
        <v>0</v>
      </c>
      <c r="B43">
        <v>13105</v>
      </c>
      <c r="C43" s="1" t="str">
        <f>"ZB. UNION PATRIOTICA"</f>
        <v>ZB. UNION PATRIOTICA</v>
      </c>
      <c r="E43" s="1" t="str">
        <f>""</f>
        <v/>
      </c>
      <c r="F43" s="1" t="str">
        <f>"472"</f>
        <v>472</v>
      </c>
      <c r="G43" s="1">
        <v>0.97</v>
      </c>
      <c r="H43" s="1"/>
    </row>
    <row r="44" spans="1:8" x14ac:dyDescent="0.3">
      <c r="A44" t="s">
        <v>0</v>
      </c>
      <c r="B44">
        <v>13105</v>
      </c>
      <c r="C44" s="1" t="str">
        <f t="shared" ref="C44:C47" si="8">"ZB. UNION PATRIOTICA"</f>
        <v>ZB. UNION PATRIOTICA</v>
      </c>
      <c r="D44" s="1" t="str">
        <f>"36. VARINIA YUSETH ARAVENA PEREZ (M)"</f>
        <v>36. VARINIA YUSETH ARAVENA PEREZ (M)</v>
      </c>
      <c r="E44" s="1" t="str">
        <f>"UPA"</f>
        <v>UPA</v>
      </c>
      <c r="F44" s="1" t="str">
        <f>"224"</f>
        <v>224</v>
      </c>
      <c r="G44" s="1">
        <v>0.45999999999999996</v>
      </c>
      <c r="H44" s="1">
        <v>0</v>
      </c>
    </row>
    <row r="45" spans="1:8" x14ac:dyDescent="0.3">
      <c r="A45" t="s">
        <v>0</v>
      </c>
      <c r="B45">
        <v>13105</v>
      </c>
      <c r="C45" s="1" t="str">
        <f t="shared" si="8"/>
        <v>ZB. UNION PATRIOTICA</v>
      </c>
      <c r="D45" s="1" t="str">
        <f>"37. JORGE CRISTIAN MUÑOZ REYES (H)"</f>
        <v>37. JORGE CRISTIAN MUÑOZ REYES (H)</v>
      </c>
      <c r="E45" s="1" t="str">
        <f>"UPA"</f>
        <v>UPA</v>
      </c>
      <c r="F45" s="1" t="str">
        <f>"109"</f>
        <v>109</v>
      </c>
      <c r="G45" s="1">
        <v>0.22</v>
      </c>
      <c r="H45" s="1">
        <v>0</v>
      </c>
    </row>
    <row r="46" spans="1:8" x14ac:dyDescent="0.3">
      <c r="A46" t="s">
        <v>0</v>
      </c>
      <c r="B46">
        <v>13105</v>
      </c>
      <c r="C46" s="1" t="str">
        <f t="shared" si="8"/>
        <v>ZB. UNION PATRIOTICA</v>
      </c>
      <c r="D46" s="1" t="str">
        <f>"38. MARIA VALENTINA COFRE REYES (M)"</f>
        <v>38. MARIA VALENTINA COFRE REYES (M)</v>
      </c>
      <c r="E46" s="1" t="str">
        <f>"UPA"</f>
        <v>UPA</v>
      </c>
      <c r="F46" s="1" t="str">
        <f>"68"</f>
        <v>68</v>
      </c>
      <c r="G46" s="1">
        <v>0.13999999999999999</v>
      </c>
      <c r="H46" s="1">
        <v>0</v>
      </c>
    </row>
    <row r="47" spans="1:8" x14ac:dyDescent="0.3">
      <c r="A47" t="s">
        <v>0</v>
      </c>
      <c r="B47">
        <v>13105</v>
      </c>
      <c r="C47" s="1" t="str">
        <f t="shared" si="8"/>
        <v>ZB. UNION PATRIOTICA</v>
      </c>
      <c r="D47" s="1" t="str">
        <f>"39. MANUEL CARRILLO VALLEJOS (H)"</f>
        <v>39. MANUEL CARRILLO VALLEJOS (H)</v>
      </c>
      <c r="E47" s="1" t="str">
        <f>"UPA"</f>
        <v>UPA</v>
      </c>
      <c r="F47" s="1" t="str">
        <f>"71"</f>
        <v>71</v>
      </c>
      <c r="G47" s="1">
        <v>0.15</v>
      </c>
      <c r="H47" s="1">
        <v>0</v>
      </c>
    </row>
    <row r="48" spans="1:8" x14ac:dyDescent="0.3">
      <c r="A48" t="s">
        <v>0</v>
      </c>
      <c r="B48">
        <v>13105</v>
      </c>
      <c r="C48" s="1" t="str">
        <f>"ZN. LA LISTA DEL PUEBLO (D13)"</f>
        <v>ZN. LA LISTA DEL PUEBLO (D13)</v>
      </c>
      <c r="E48" s="1" t="str">
        <f>""</f>
        <v/>
      </c>
      <c r="F48" s="1" t="str">
        <f>"12.640"</f>
        <v>12.640</v>
      </c>
      <c r="G48" s="1">
        <v>25.95</v>
      </c>
      <c r="H48" s="1"/>
    </row>
    <row r="49" spans="1:8" x14ac:dyDescent="0.3">
      <c r="A49" t="s">
        <v>0</v>
      </c>
      <c r="B49">
        <v>13105</v>
      </c>
      <c r="C49" s="1" t="str">
        <f t="shared" ref="C49:C54" si="9">"ZN. LA LISTA DEL PUEBLO (D13)"</f>
        <v>ZN. LA LISTA DEL PUEBLO (D13)</v>
      </c>
      <c r="D49" s="1" t="str">
        <f>"40. INGRID FERNANDA VILLENA NARBONA (M)"</f>
        <v>40. INGRID FERNANDA VILLENA NARBONA (M)</v>
      </c>
      <c r="E49" s="1" t="str">
        <f t="shared" ref="E49:E54" si="10">"IND"</f>
        <v>IND</v>
      </c>
      <c r="F49" s="1" t="str">
        <f>"4.817"</f>
        <v>4.817</v>
      </c>
      <c r="G49" s="1">
        <v>9.89</v>
      </c>
      <c r="H49" s="1">
        <v>1</v>
      </c>
    </row>
    <row r="50" spans="1:8" x14ac:dyDescent="0.3">
      <c r="A50" t="s">
        <v>0</v>
      </c>
      <c r="B50">
        <v>13105</v>
      </c>
      <c r="C50" s="1" t="str">
        <f t="shared" si="9"/>
        <v>ZN. LA LISTA DEL PUEBLO (D13)</v>
      </c>
      <c r="D50" s="1" t="str">
        <f>"41. RODRIGO ERNESTO ROJAS VADE (H)"</f>
        <v>41. RODRIGO ERNESTO ROJAS VADE (H)</v>
      </c>
      <c r="E50" s="1" t="str">
        <f t="shared" si="10"/>
        <v>IND</v>
      </c>
      <c r="F50" s="1" t="str">
        <f>"3.798"</f>
        <v>3.798</v>
      </c>
      <c r="G50" s="1">
        <v>7.8</v>
      </c>
      <c r="H50" s="1">
        <v>1</v>
      </c>
    </row>
    <row r="51" spans="1:8" x14ac:dyDescent="0.3">
      <c r="A51" t="s">
        <v>0</v>
      </c>
      <c r="B51">
        <v>13105</v>
      </c>
      <c r="C51" s="1" t="str">
        <f t="shared" si="9"/>
        <v>ZN. LA LISTA DEL PUEBLO (D13)</v>
      </c>
      <c r="D51" s="1" t="str">
        <f>"42. CAMILA FERNANDA TORRES POVEA (M)"</f>
        <v>42. CAMILA FERNANDA TORRES POVEA (M)</v>
      </c>
      <c r="E51" s="1" t="str">
        <f t="shared" si="10"/>
        <v>IND</v>
      </c>
      <c r="F51" s="1" t="str">
        <f>"1.915"</f>
        <v>1.915</v>
      </c>
      <c r="G51" s="1">
        <v>3.93</v>
      </c>
      <c r="H51" s="1">
        <v>0</v>
      </c>
    </row>
    <row r="52" spans="1:8" x14ac:dyDescent="0.3">
      <c r="A52" t="s">
        <v>0</v>
      </c>
      <c r="B52">
        <v>13105</v>
      </c>
      <c r="C52" s="1" t="str">
        <f t="shared" si="9"/>
        <v>ZN. LA LISTA DEL PUEBLO (D13)</v>
      </c>
      <c r="D52" s="1" t="str">
        <f>"43. ANDRES ALEJANDRO CUEVAS NAVALON (H)"</f>
        <v>43. ANDRES ALEJANDRO CUEVAS NAVALON (H)</v>
      </c>
      <c r="E52" s="1" t="str">
        <f t="shared" si="10"/>
        <v>IND</v>
      </c>
      <c r="F52" s="1" t="str">
        <f>"761"</f>
        <v>761</v>
      </c>
      <c r="G52" s="1">
        <v>1.5599999999999998</v>
      </c>
      <c r="H52" s="1">
        <v>0</v>
      </c>
    </row>
    <row r="53" spans="1:8" x14ac:dyDescent="0.3">
      <c r="A53" t="s">
        <v>0</v>
      </c>
      <c r="B53">
        <v>13105</v>
      </c>
      <c r="C53" s="1" t="str">
        <f t="shared" si="9"/>
        <v>ZN. LA LISTA DEL PUEBLO (D13)</v>
      </c>
      <c r="D53" s="1" t="str">
        <f>"44. MARCELA ALEJANDRA SARMIENTO CERDA (M)"</f>
        <v>44. MARCELA ALEJANDRA SARMIENTO CERDA (M)</v>
      </c>
      <c r="E53" s="1" t="str">
        <f t="shared" si="10"/>
        <v>IND</v>
      </c>
      <c r="F53" s="1" t="str">
        <f>"714"</f>
        <v>714</v>
      </c>
      <c r="G53" s="1">
        <v>1.47</v>
      </c>
      <c r="H53" s="1">
        <v>0</v>
      </c>
    </row>
    <row r="54" spans="1:8" x14ac:dyDescent="0.3">
      <c r="A54" t="s">
        <v>0</v>
      </c>
      <c r="B54">
        <v>13105</v>
      </c>
      <c r="C54" s="1" t="str">
        <f t="shared" si="9"/>
        <v>ZN. LA LISTA DEL PUEBLO (D13)</v>
      </c>
      <c r="D54" s="1" t="str">
        <f>"45. JESUS MOISES COLQUE ROA (H)"</f>
        <v>45. JESUS MOISES COLQUE ROA (H)</v>
      </c>
      <c r="E54" s="1" t="str">
        <f t="shared" si="10"/>
        <v>IND</v>
      </c>
      <c r="F54" s="1" t="str">
        <f>"635"</f>
        <v>635</v>
      </c>
      <c r="G54" s="1">
        <v>1.3</v>
      </c>
      <c r="H54" s="1">
        <v>0</v>
      </c>
    </row>
    <row r="55" spans="1:8" ht="28.8" x14ac:dyDescent="0.3">
      <c r="A55" t="s">
        <v>0</v>
      </c>
      <c r="B55">
        <v>13105</v>
      </c>
      <c r="C55" s="1" t="str">
        <f>"ZR. PARTIDO DE TRABAJADORES REVOLUCIONARIOS"</f>
        <v>ZR. PARTIDO DE TRABAJADORES REVOLUCIONARIOS</v>
      </c>
      <c r="E55" s="1" t="str">
        <f>""</f>
        <v/>
      </c>
      <c r="F55" s="1" t="str">
        <f>"1.222"</f>
        <v>1.222</v>
      </c>
      <c r="G55" s="1">
        <v>2.5100000000000002</v>
      </c>
      <c r="H55" s="1"/>
    </row>
    <row r="56" spans="1:8" ht="28.8" x14ac:dyDescent="0.3">
      <c r="A56" t="s">
        <v>0</v>
      </c>
      <c r="B56">
        <v>13105</v>
      </c>
      <c r="C56" s="1" t="str">
        <f t="shared" ref="C56:C60" si="11">"ZR. PARTIDO DE TRABAJADORES REVOLUCIONARIOS"</f>
        <v>ZR. PARTIDO DE TRABAJADORES REVOLUCIONARIOS</v>
      </c>
      <c r="D56" s="1" t="str">
        <f>"46. VALERIA PAZ YAÑEZ ALVAREZ (M)"</f>
        <v>46. VALERIA PAZ YAÑEZ ALVAREZ (M)</v>
      </c>
      <c r="E56" s="1" t="str">
        <f>"PTR"</f>
        <v>PTR</v>
      </c>
      <c r="F56" s="1" t="str">
        <f>"528"</f>
        <v>528</v>
      </c>
      <c r="G56" s="1">
        <v>1.08</v>
      </c>
      <c r="H56" s="1">
        <v>0</v>
      </c>
    </row>
    <row r="57" spans="1:8" ht="28.8" x14ac:dyDescent="0.3">
      <c r="A57" t="s">
        <v>0</v>
      </c>
      <c r="B57">
        <v>13105</v>
      </c>
      <c r="C57" s="1" t="str">
        <f t="shared" si="11"/>
        <v>ZR. PARTIDO DE TRABAJADORES REVOLUCIONARIOS</v>
      </c>
      <c r="D57" s="1" t="str">
        <f>"47. KEVIN ANDRES BUSTAMANTE ALAMOS (H)"</f>
        <v>47. KEVIN ANDRES BUSTAMANTE ALAMOS (H)</v>
      </c>
      <c r="E57" s="1" t="str">
        <f>"PTR"</f>
        <v>PTR</v>
      </c>
      <c r="F57" s="1" t="str">
        <f>"315"</f>
        <v>315</v>
      </c>
      <c r="G57" s="1">
        <v>0.65</v>
      </c>
      <c r="H57" s="1">
        <v>0</v>
      </c>
    </row>
    <row r="58" spans="1:8" ht="28.8" x14ac:dyDescent="0.3">
      <c r="A58" t="s">
        <v>0</v>
      </c>
      <c r="B58">
        <v>13105</v>
      </c>
      <c r="C58" s="1" t="str">
        <f t="shared" si="11"/>
        <v>ZR. PARTIDO DE TRABAJADORES REVOLUCIONARIOS</v>
      </c>
      <c r="D58" s="1" t="str">
        <f>"48. BRISA DEL CARMEN GALVEZ AHUMADA (M)"</f>
        <v>48. BRISA DEL CARMEN GALVEZ AHUMADA (M)</v>
      </c>
      <c r="E58" s="1" t="str">
        <f>"PTR"</f>
        <v>PTR</v>
      </c>
      <c r="F58" s="1" t="str">
        <f>"144"</f>
        <v>144</v>
      </c>
      <c r="G58" s="1">
        <v>0.3</v>
      </c>
      <c r="H58" s="1">
        <v>0</v>
      </c>
    </row>
    <row r="59" spans="1:8" ht="28.8" x14ac:dyDescent="0.3">
      <c r="A59" t="s">
        <v>0</v>
      </c>
      <c r="B59">
        <v>13105</v>
      </c>
      <c r="C59" s="1" t="str">
        <f t="shared" si="11"/>
        <v>ZR. PARTIDO DE TRABAJADORES REVOLUCIONARIOS</v>
      </c>
      <c r="D59" s="1" t="str">
        <f>"49. ALVARO ANDRES PEREZ JORQUERA (H)"</f>
        <v>49. ALVARO ANDRES PEREZ JORQUERA (H)</v>
      </c>
      <c r="E59" s="1" t="str">
        <f>"PTR"</f>
        <v>PTR</v>
      </c>
      <c r="F59" s="1" t="str">
        <f>"147"</f>
        <v>147</v>
      </c>
      <c r="G59" s="1">
        <v>0.3</v>
      </c>
      <c r="H59" s="1">
        <v>0</v>
      </c>
    </row>
    <row r="60" spans="1:8" ht="28.8" x14ac:dyDescent="0.3">
      <c r="A60" t="s">
        <v>0</v>
      </c>
      <c r="B60">
        <v>13105</v>
      </c>
      <c r="C60" s="1" t="str">
        <f t="shared" si="11"/>
        <v>ZR. PARTIDO DE TRABAJADORES REVOLUCIONARIOS</v>
      </c>
      <c r="D60" s="1" t="str">
        <f>"50. EMILIA IGNACIA VILLALOBOS TASSARA (M)"</f>
        <v>50. EMILIA IGNACIA VILLALOBOS TASSARA (M)</v>
      </c>
      <c r="E60" s="1" t="str">
        <f>"PTR"</f>
        <v>PTR</v>
      </c>
      <c r="F60" s="1" t="str">
        <f>"88"</f>
        <v>88</v>
      </c>
      <c r="G60" s="1">
        <v>0.18</v>
      </c>
      <c r="H60" s="1">
        <v>0</v>
      </c>
    </row>
  </sheetData>
  <autoFilter ref="C1:H60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2021-06-10T16:23:00Z</dcterms:created>
  <dcterms:modified xsi:type="dcterms:W3CDTF">2021-06-10T19:39:15Z</dcterms:modified>
</cp:coreProperties>
</file>