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612E00B3-7DDC-4ECD-BFC0-A4DFDFB961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C67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<sst xmlns="http://schemas.openxmlformats.org/spreadsheetml/2006/main" count="74" uniqueCount="9">
  <si>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</si>
  <si>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</si>
  <si>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</si>
  <si>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</si>
  <si>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</si>
  <si>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</si>
  <si>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</si>
  <si>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</si>
  <si>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INDEPENDENCIA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</si>
</sst>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workbookViewId="0">
      <selection activeCell="H2" sqref="H2:H68"/>
    </sheetView>
  </sheetViews>
  <sheetFormatPr baseColWidth="10" defaultColWidth="8.88671875" defaultRowHeight="14.4" x14ac:dyDescent="0.3"/>
  <cols>
    <col min="1" max="1" width="17.6640625" customWidth="1"/>
    <col min="3" max="3" width="47.8867187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13108</v>
      </c>
      <c r="C2" s="1" t="str">
        <f>"N. LA LISTA DEL PUEBLO DISTRITO 9 (D9)"</f>
        <v>N. LA LISTA DEL PUEBLO DISTRITO 9 (D9)</v>
      </c>
      <c r="E2" s="1" t="str">
        <f>""</f>
        <v/>
      </c>
      <c r="F2" s="1" t="str">
        <f>"6.440"</f>
        <v>6.440</v>
      </c>
      <c r="G2" s="1">
        <v>22.15</v>
      </c>
      <c r="H2" s="1"/>
    </row>
    <row r="3" spans="1:8" x14ac:dyDescent="0.3">
      <c r="A3" t="s">
        <v>8</v>
      </c>
      <c r="B3">
        <v>13108</v>
      </c>
      <c r="C3" s="1" t="str">
        <f t="shared" ref="C3:C9" si="0">"N. LA LISTA DEL PUEBLO DISTRITO 9 (D9)"</f>
        <v>N. LA LISTA DEL PUEBLO DISTRITO 9 (D9)</v>
      </c>
      <c r="D3" s="1" t="str">
        <f>"1. ALEJANDRA PIA PEREZ ESPINA (M)"</f>
        <v>1. ALEJANDRA PIA PEREZ ESPINA (M)</v>
      </c>
      <c r="E3" s="1" t="str">
        <f t="shared" ref="E3:E9" si="1">"IND"</f>
        <v>IND</v>
      </c>
      <c r="F3" s="1" t="str">
        <f>"1.166"</f>
        <v>1.166</v>
      </c>
      <c r="G3" s="1">
        <v>4.01</v>
      </c>
      <c r="H3" s="1">
        <v>1</v>
      </c>
    </row>
    <row r="4" spans="1:8" ht="28.8" x14ac:dyDescent="0.3">
      <c r="A4" t="s">
        <v>8</v>
      </c>
      <c r="B4">
        <v>13108</v>
      </c>
      <c r="C4" s="1" t="str">
        <f t="shared" si="0"/>
        <v>N. LA LISTA DEL PUEBLO DISTRITO 9 (D9)</v>
      </c>
      <c r="D4" s="1" t="str">
        <f>"2. PATRICIO ALEJANDRO CACERES ESCUDERO (H)"</f>
        <v>2. PATRICIO ALEJANDRO CACERES ESCUDERO (H)</v>
      </c>
      <c r="E4" s="1" t="str">
        <f t="shared" si="1"/>
        <v>IND</v>
      </c>
      <c r="F4" s="1" t="str">
        <f>"573"</f>
        <v>573</v>
      </c>
      <c r="G4" s="1">
        <v>1.97</v>
      </c>
      <c r="H4" s="1">
        <v>0</v>
      </c>
    </row>
    <row r="5" spans="1:8" x14ac:dyDescent="0.3">
      <c r="A5" t="s">
        <v>8</v>
      </c>
      <c r="B5">
        <v>13108</v>
      </c>
      <c r="C5" s="1" t="str">
        <f t="shared" si="0"/>
        <v>N. LA LISTA DEL PUEBLO DISTRITO 9 (D9)</v>
      </c>
      <c r="D5" s="1" t="str">
        <f>"3. GLORIA SOLEDAD PINTO BECERRA (M)"</f>
        <v>3. GLORIA SOLEDAD PINTO BECERRA (M)</v>
      </c>
      <c r="E5" s="1" t="str">
        <f t="shared" si="1"/>
        <v>IND</v>
      </c>
      <c r="F5" s="1" t="str">
        <f>"2.019"</f>
        <v>2.019</v>
      </c>
      <c r="G5" s="1">
        <v>6.94</v>
      </c>
      <c r="H5" s="1">
        <v>0</v>
      </c>
    </row>
    <row r="6" spans="1:8" x14ac:dyDescent="0.3">
      <c r="A6" t="s">
        <v>8</v>
      </c>
      <c r="B6">
        <v>13108</v>
      </c>
      <c r="C6" s="1" t="str">
        <f t="shared" si="0"/>
        <v>N. LA LISTA DEL PUEBLO DISTRITO 9 (D9)</v>
      </c>
      <c r="D6" s="1" t="str">
        <f>"4. MATIAS NICOLAS ROA ROA (H)"</f>
        <v>4. MATIAS NICOLAS ROA ROA (H)</v>
      </c>
      <c r="E6" s="1" t="str">
        <f t="shared" si="1"/>
        <v>IND</v>
      </c>
      <c r="F6" s="1" t="str">
        <f>"428"</f>
        <v>428</v>
      </c>
      <c r="G6" s="1">
        <v>1.47</v>
      </c>
      <c r="H6" s="1">
        <v>0</v>
      </c>
    </row>
    <row r="7" spans="1:8" ht="28.8" x14ac:dyDescent="0.3">
      <c r="A7" t="s">
        <v>8</v>
      </c>
      <c r="B7">
        <v>13108</v>
      </c>
      <c r="C7" s="1" t="str">
        <f t="shared" si="0"/>
        <v>N. LA LISTA DEL PUEBLO DISTRITO 9 (D9)</v>
      </c>
      <c r="D7" s="1" t="str">
        <f>"5. NATALIA ESTHER HENRIQUEZ CARREÑO (M)"</f>
        <v>5. NATALIA ESTHER HENRIQUEZ CARREÑO (M)</v>
      </c>
      <c r="E7" s="1" t="str">
        <f t="shared" si="1"/>
        <v>IND</v>
      </c>
      <c r="F7" s="1" t="str">
        <f>"1.720"</f>
        <v>1.720</v>
      </c>
      <c r="G7" s="1">
        <v>5.92</v>
      </c>
      <c r="H7" s="1">
        <v>1</v>
      </c>
    </row>
    <row r="8" spans="1:8" ht="28.8" x14ac:dyDescent="0.3">
      <c r="A8" t="s">
        <v>8</v>
      </c>
      <c r="B8">
        <v>13108</v>
      </c>
      <c r="C8" s="1" t="str">
        <f t="shared" si="0"/>
        <v>N. LA LISTA DEL PUEBLO DISTRITO 9 (D9)</v>
      </c>
      <c r="D8" s="1" t="str">
        <f>"6. MISAEL EDUARDO ARMIJO FUENTES (H)"</f>
        <v>6. MISAEL EDUARDO ARMIJO FUENTES (H)</v>
      </c>
      <c r="E8" s="1" t="str">
        <f t="shared" si="1"/>
        <v>IND</v>
      </c>
      <c r="F8" s="1" t="str">
        <f>"88"</f>
        <v>88</v>
      </c>
      <c r="G8" s="1">
        <v>0.3</v>
      </c>
      <c r="H8" s="1">
        <v>0</v>
      </c>
    </row>
    <row r="9" spans="1:8" x14ac:dyDescent="0.3">
      <c r="A9" t="s">
        <v>8</v>
      </c>
      <c r="B9">
        <v>13108</v>
      </c>
      <c r="C9" s="1" t="str">
        <f t="shared" si="0"/>
        <v>N. LA LISTA DEL PUEBLO DISTRITO 9 (D9)</v>
      </c>
      <c r="D9" s="1" t="str">
        <f>"7. MARLENE ELIZABETH SOTO GODOY (M)"</f>
        <v>7. MARLENE ELIZABETH SOTO GODOY (M)</v>
      </c>
      <c r="E9" s="1" t="str">
        <f t="shared" si="1"/>
        <v>IND</v>
      </c>
      <c r="F9" s="1" t="str">
        <f>"446"</f>
        <v>446</v>
      </c>
      <c r="G9" s="1">
        <v>1.53</v>
      </c>
      <c r="H9" s="1">
        <v>0</v>
      </c>
    </row>
    <row r="10" spans="1:8" x14ac:dyDescent="0.3">
      <c r="A10" t="s">
        <v>8</v>
      </c>
      <c r="B10">
        <v>13108</v>
      </c>
      <c r="C10" s="1" t="str">
        <f>"XA. PARTIDO ECOLOGISTA VERDE"</f>
        <v>XA. PARTIDO ECOLOGISTA VERDE</v>
      </c>
      <c r="E10" s="1" t="str">
        <f>""</f>
        <v/>
      </c>
      <c r="F10" s="1" t="str">
        <f>"1.215"</f>
        <v>1.215</v>
      </c>
      <c r="G10" s="1">
        <v>4.18</v>
      </c>
      <c r="H10" s="1"/>
    </row>
    <row r="11" spans="1:8" x14ac:dyDescent="0.3">
      <c r="A11" t="s">
        <v>8</v>
      </c>
      <c r="B11">
        <v>13108</v>
      </c>
      <c r="C11" s="1" t="str">
        <f t="shared" ref="C11:C16" si="2">"XA. PARTIDO ECOLOGISTA VERDE"</f>
        <v>XA. PARTIDO ECOLOGISTA VERDE</v>
      </c>
      <c r="D11" s="1" t="str">
        <f>"8. NICOLE JORQUERA BRIONES (M)"</f>
        <v>8. NICOLE JORQUERA BRIONES (M)</v>
      </c>
      <c r="E11" s="1" t="str">
        <f t="shared" ref="E11:E16" si="3">"PEV"</f>
        <v>PEV</v>
      </c>
      <c r="F11" s="1" t="str">
        <f>"500"</f>
        <v>500</v>
      </c>
      <c r="G11" s="1">
        <v>1.72</v>
      </c>
      <c r="H11" s="1">
        <v>0</v>
      </c>
    </row>
    <row r="12" spans="1:8" x14ac:dyDescent="0.3">
      <c r="A12" t="s">
        <v>8</v>
      </c>
      <c r="B12">
        <v>13108</v>
      </c>
      <c r="C12" s="1" t="str">
        <f t="shared" si="2"/>
        <v>XA. PARTIDO ECOLOGISTA VERDE</v>
      </c>
      <c r="D12" s="1" t="str">
        <f>"9. RAUL ALFREDO CORTES CASTILLO (H)"</f>
        <v>9. RAUL ALFREDO CORTES CASTILLO (H)</v>
      </c>
      <c r="E12" s="1" t="str">
        <f t="shared" si="3"/>
        <v>PEV</v>
      </c>
      <c r="F12" s="1" t="str">
        <f>"91"</f>
        <v>91</v>
      </c>
      <c r="G12" s="1">
        <v>0.31</v>
      </c>
      <c r="H12" s="1">
        <v>0</v>
      </c>
    </row>
    <row r="13" spans="1:8" x14ac:dyDescent="0.3">
      <c r="A13" t="s">
        <v>8</v>
      </c>
      <c r="B13">
        <v>13108</v>
      </c>
      <c r="C13" s="1" t="str">
        <f t="shared" si="2"/>
        <v>XA. PARTIDO ECOLOGISTA VERDE</v>
      </c>
      <c r="D13" s="1" t="str">
        <f>"10. PATRICIA NUÑEZ AVILA (M)"</f>
        <v>10. PATRICIA NUÑEZ AVILA (M)</v>
      </c>
      <c r="E13" s="1" t="str">
        <f t="shared" si="3"/>
        <v>PEV</v>
      </c>
      <c r="F13" s="1" t="str">
        <f>"257"</f>
        <v>257</v>
      </c>
      <c r="G13" s="1">
        <v>0.88</v>
      </c>
      <c r="H13" s="1">
        <v>0</v>
      </c>
    </row>
    <row r="14" spans="1:8" x14ac:dyDescent="0.3">
      <c r="A14" t="s">
        <v>8</v>
      </c>
      <c r="B14">
        <v>13108</v>
      </c>
      <c r="C14" s="1" t="str">
        <f t="shared" si="2"/>
        <v>XA. PARTIDO ECOLOGISTA VERDE</v>
      </c>
      <c r="D14" s="1" t="str">
        <f>"11. VICENTE ORELLANA HIDALGO (H)"</f>
        <v>11. VICENTE ORELLANA HIDALGO (H)</v>
      </c>
      <c r="E14" s="1" t="str">
        <f t="shared" si="3"/>
        <v>PEV</v>
      </c>
      <c r="F14" s="1" t="str">
        <f>"89"</f>
        <v>89</v>
      </c>
      <c r="G14" s="1">
        <v>0.31</v>
      </c>
      <c r="H14" s="1">
        <v>0</v>
      </c>
    </row>
    <row r="15" spans="1:8" x14ac:dyDescent="0.3">
      <c r="A15" t="s">
        <v>8</v>
      </c>
      <c r="B15">
        <v>13108</v>
      </c>
      <c r="C15" s="1" t="str">
        <f t="shared" si="2"/>
        <v>XA. PARTIDO ECOLOGISTA VERDE</v>
      </c>
      <c r="D15" s="1" t="str">
        <f>"12. PAULA STEFANI MORA DA SILVA (M)"</f>
        <v>12. PAULA STEFANI MORA DA SILVA (M)</v>
      </c>
      <c r="E15" s="1" t="str">
        <f t="shared" si="3"/>
        <v>PEV</v>
      </c>
      <c r="F15" s="1" t="str">
        <f>"211"</f>
        <v>211</v>
      </c>
      <c r="G15" s="1">
        <v>0.73</v>
      </c>
      <c r="H15" s="1">
        <v>0</v>
      </c>
    </row>
    <row r="16" spans="1:8" ht="28.8" x14ac:dyDescent="0.3">
      <c r="A16" t="s">
        <v>8</v>
      </c>
      <c r="B16">
        <v>13108</v>
      </c>
      <c r="C16" s="1" t="str">
        <f t="shared" si="2"/>
        <v>XA. PARTIDO ECOLOGISTA VERDE</v>
      </c>
      <c r="D16" s="1" t="str">
        <f>"13. ADRIAN ALBERTO VALENCIA VIDAL (H)"</f>
        <v>13. ADRIAN ALBERTO VALENCIA VIDAL (H)</v>
      </c>
      <c r="E16" s="1" t="str">
        <f t="shared" si="3"/>
        <v>PEV</v>
      </c>
      <c r="F16" s="1" t="str">
        <f>"67"</f>
        <v>67</v>
      </c>
      <c r="G16" s="1">
        <v>0.22999999999999998</v>
      </c>
      <c r="H16" s="1">
        <v>0</v>
      </c>
    </row>
    <row r="17" spans="1:8" x14ac:dyDescent="0.3">
      <c r="A17" t="s">
        <v>8</v>
      </c>
      <c r="B17">
        <v>13108</v>
      </c>
      <c r="C17" s="1" t="str">
        <f>"XP. VAMOS POR CHILE"</f>
        <v>XP. VAMOS POR CHILE</v>
      </c>
      <c r="E17" s="1" t="str">
        <f>""</f>
        <v/>
      </c>
      <c r="F17" s="1" t="str">
        <f>"4.614"</f>
        <v>4.614</v>
      </c>
      <c r="G17" s="1">
        <v>15.870000000000001</v>
      </c>
      <c r="H17" s="1"/>
    </row>
    <row r="18" spans="1:8" x14ac:dyDescent="0.3">
      <c r="A18" t="s">
        <v>8</v>
      </c>
      <c r="B18">
        <v>13108</v>
      </c>
      <c r="C18" s="1" t="str">
        <f t="shared" ref="C18:C24" si="4">"XP. VAMOS POR CHILE"</f>
        <v>XP. VAMOS POR CHILE</v>
      </c>
      <c r="D18" s="1" t="str">
        <f>"14. SOL LETELIER GONZALEZ (M)"</f>
        <v>14. SOL LETELIER GONZALEZ (M)</v>
      </c>
      <c r="E18" s="1" t="str">
        <f>"UDI"</f>
        <v>UDI</v>
      </c>
      <c r="F18" s="1" t="str">
        <f>"877"</f>
        <v>877</v>
      </c>
      <c r="G18" s="1">
        <v>3.02</v>
      </c>
      <c r="H18" s="1">
        <v>0</v>
      </c>
    </row>
    <row r="19" spans="1:8" x14ac:dyDescent="0.3">
      <c r="A19" t="s">
        <v>8</v>
      </c>
      <c r="B19">
        <v>13108</v>
      </c>
      <c r="C19" s="1" t="str">
        <f t="shared" si="4"/>
        <v>XP. VAMOS POR CHILE</v>
      </c>
      <c r="D19" s="1" t="str">
        <f>"15. ARTURO ZUÑIGA JORY (H)"</f>
        <v>15. ARTURO ZUÑIGA JORY (H)</v>
      </c>
      <c r="E19" s="1" t="str">
        <f>"UDI"</f>
        <v>UDI</v>
      </c>
      <c r="F19" s="1" t="str">
        <f>"1.482"</f>
        <v>1.482</v>
      </c>
      <c r="G19" s="1">
        <v>5.0999999999999996</v>
      </c>
      <c r="H19" s="1">
        <v>1</v>
      </c>
    </row>
    <row r="20" spans="1:8" x14ac:dyDescent="0.3">
      <c r="A20" t="s">
        <v>8</v>
      </c>
      <c r="B20">
        <v>13108</v>
      </c>
      <c r="C20" s="1" t="str">
        <f t="shared" si="4"/>
        <v>XP. VAMOS POR CHILE</v>
      </c>
      <c r="D20" s="1" t="str">
        <f>"16. YIUYIUNIZ NAVAS DE CASO (M)"</f>
        <v>16. YIUYIUNIZ NAVAS DE CASO (M)</v>
      </c>
      <c r="E20" s="1" t="str">
        <f>"IND-UDI"</f>
        <v>IND-UDI</v>
      </c>
      <c r="F20" s="1" t="str">
        <f>"495"</f>
        <v>495</v>
      </c>
      <c r="G20" s="1">
        <v>1.7000000000000002</v>
      </c>
      <c r="H20" s="1">
        <v>0</v>
      </c>
    </row>
    <row r="21" spans="1:8" x14ac:dyDescent="0.3">
      <c r="A21" t="s">
        <v>8</v>
      </c>
      <c r="B21">
        <v>13108</v>
      </c>
      <c r="C21" s="1" t="str">
        <f t="shared" si="4"/>
        <v>XP. VAMOS POR CHILE</v>
      </c>
      <c r="D21" s="1" t="str">
        <f>"17. FELIPE OBAL DURAN (H)"</f>
        <v>17. FELIPE OBAL DURAN (H)</v>
      </c>
      <c r="E21" s="1" t="str">
        <f>"RN"</f>
        <v>RN</v>
      </c>
      <c r="F21" s="1" t="str">
        <f>"916"</f>
        <v>916</v>
      </c>
      <c r="G21" s="1">
        <v>3.15</v>
      </c>
      <c r="H21" s="1">
        <v>0</v>
      </c>
    </row>
    <row r="22" spans="1:8" x14ac:dyDescent="0.3">
      <c r="A22" t="s">
        <v>8</v>
      </c>
      <c r="B22">
        <v>13108</v>
      </c>
      <c r="C22" s="1" t="str">
        <f t="shared" si="4"/>
        <v>XP. VAMOS POR CHILE</v>
      </c>
      <c r="D22" s="1" t="str">
        <f>"18. RUTH OLIVERA DE LA FUENTE (M)"</f>
        <v>18. RUTH OLIVERA DE LA FUENTE (M)</v>
      </c>
      <c r="E22" s="1" t="str">
        <f>"IND-RN"</f>
        <v>IND-RN</v>
      </c>
      <c r="F22" s="1" t="str">
        <f>"509"</f>
        <v>509</v>
      </c>
      <c r="G22" s="1">
        <v>1.7500000000000002</v>
      </c>
      <c r="H22" s="1">
        <v>0</v>
      </c>
    </row>
    <row r="23" spans="1:8" ht="28.8" x14ac:dyDescent="0.3">
      <c r="A23" t="s">
        <v>8</v>
      </c>
      <c r="B23">
        <v>13108</v>
      </c>
      <c r="C23" s="1" t="str">
        <f t="shared" si="4"/>
        <v>XP. VAMOS POR CHILE</v>
      </c>
      <c r="D23" s="1" t="str">
        <f>"19. DUILIO RENZO DE LAPEYRA PALMA (H)"</f>
        <v>19. DUILIO RENZO DE LAPEYRA PALMA (H)</v>
      </c>
      <c r="E23" s="1" t="str">
        <f>"IND-EVOPOLI"</f>
        <v>IND-EVOPOLI</v>
      </c>
      <c r="F23" s="1" t="str">
        <f>"153"</f>
        <v>153</v>
      </c>
      <c r="G23" s="1">
        <v>0.53</v>
      </c>
      <c r="H23" s="1">
        <v>0</v>
      </c>
    </row>
    <row r="24" spans="1:8" ht="28.8" x14ac:dyDescent="0.3">
      <c r="A24" t="s">
        <v>8</v>
      </c>
      <c r="B24">
        <v>13108</v>
      </c>
      <c r="C24" s="1" t="str">
        <f t="shared" si="4"/>
        <v>XP. VAMOS POR CHILE</v>
      </c>
      <c r="D24" s="1" t="str">
        <f>"20. XIMENA FRANCISCA AYALA FARIAS (M)"</f>
        <v>20. XIMENA FRANCISCA AYALA FARIAS (M)</v>
      </c>
      <c r="E24" s="1" t="str">
        <f>"IND-EVOPOLI"</f>
        <v>IND-EVOPOLI</v>
      </c>
      <c r="F24" s="1" t="str">
        <f>"182"</f>
        <v>182</v>
      </c>
      <c r="G24" s="1">
        <v>0.63</v>
      </c>
      <c r="H24" s="1">
        <v>0</v>
      </c>
    </row>
    <row r="25" spans="1:8" x14ac:dyDescent="0.3">
      <c r="A25" t="s">
        <v>8</v>
      </c>
      <c r="B25">
        <v>13108</v>
      </c>
      <c r="C25" s="1" t="str">
        <f>"YB. LISTA DEL APRUEBO"</f>
        <v>YB. LISTA DEL APRUEBO</v>
      </c>
      <c r="E25" s="1" t="str">
        <f>""</f>
        <v/>
      </c>
      <c r="F25" s="1" t="str">
        <f>"2.593"</f>
        <v>2.593</v>
      </c>
      <c r="G25" s="1">
        <v>8.92</v>
      </c>
      <c r="H25" s="1"/>
    </row>
    <row r="26" spans="1:8" x14ac:dyDescent="0.3">
      <c r="A26" t="s">
        <v>8</v>
      </c>
      <c r="B26">
        <v>13108</v>
      </c>
      <c r="C26" s="1" t="str">
        <f t="shared" ref="C26:C32" si="5">"YB. LISTA DEL APRUEBO"</f>
        <v>YB. LISTA DEL APRUEBO</v>
      </c>
      <c r="D26" s="1" t="str">
        <f>"21. MILLARAI ABELLEIRA PERALTA (M)"</f>
        <v>21. MILLARAI ABELLEIRA PERALTA (M)</v>
      </c>
      <c r="E26" s="1" t="str">
        <f>"IND-PS"</f>
        <v>IND-PS</v>
      </c>
      <c r="F26" s="1" t="str">
        <f>"421"</f>
        <v>421</v>
      </c>
      <c r="G26" s="1">
        <v>1.4500000000000002</v>
      </c>
      <c r="H26" s="1">
        <v>0</v>
      </c>
    </row>
    <row r="27" spans="1:8" x14ac:dyDescent="0.3">
      <c r="A27" t="s">
        <v>8</v>
      </c>
      <c r="B27">
        <v>13108</v>
      </c>
      <c r="C27" s="1" t="str">
        <f t="shared" si="5"/>
        <v>YB. LISTA DEL APRUEBO</v>
      </c>
      <c r="D27" s="1" t="str">
        <f>"22. JORGE ANDRES CASH SAEZ (H)"</f>
        <v>22. JORGE ANDRES CASH SAEZ (H)</v>
      </c>
      <c r="E27" s="1" t="str">
        <f>"PDC"</f>
        <v>PDC</v>
      </c>
      <c r="F27" s="1" t="str">
        <f>"495"</f>
        <v>495</v>
      </c>
      <c r="G27" s="1">
        <v>1.7000000000000002</v>
      </c>
      <c r="H27" s="1">
        <v>0</v>
      </c>
    </row>
    <row r="28" spans="1:8" ht="28.8" x14ac:dyDescent="0.3">
      <c r="A28" t="s">
        <v>8</v>
      </c>
      <c r="B28">
        <v>13108</v>
      </c>
      <c r="C28" s="1" t="str">
        <f t="shared" si="5"/>
        <v>YB. LISTA DEL APRUEBO</v>
      </c>
      <c r="D28" s="1" t="str">
        <f>"23. ALEJANDRA ROSA ACEVEDO ESCOBAR (M)"</f>
        <v>23. ALEJANDRA ROSA ACEVEDO ESCOBAR (M)</v>
      </c>
      <c r="E28" s="1" t="str">
        <f>"IND-PRO"</f>
        <v>IND-PRO</v>
      </c>
      <c r="F28" s="1" t="str">
        <f>"244"</f>
        <v>244</v>
      </c>
      <c r="G28" s="1">
        <v>0.84</v>
      </c>
      <c r="H28" s="1">
        <v>0</v>
      </c>
    </row>
    <row r="29" spans="1:8" x14ac:dyDescent="0.3">
      <c r="A29" t="s">
        <v>8</v>
      </c>
      <c r="B29">
        <v>13108</v>
      </c>
      <c r="C29" s="1" t="str">
        <f t="shared" si="5"/>
        <v>YB. LISTA DEL APRUEBO</v>
      </c>
      <c r="D29" s="1" t="str">
        <f>"24. SANTIAGO ESCOBAR SEPULVEDA (H)"</f>
        <v>24. SANTIAGO ESCOBAR SEPULVEDA (H)</v>
      </c>
      <c r="E29" s="1" t="str">
        <f>"IND-PPD"</f>
        <v>IND-PPD</v>
      </c>
      <c r="F29" s="1" t="str">
        <f>"240"</f>
        <v>240</v>
      </c>
      <c r="G29" s="1">
        <v>0.83</v>
      </c>
      <c r="H29" s="1">
        <v>0</v>
      </c>
    </row>
    <row r="30" spans="1:8" x14ac:dyDescent="0.3">
      <c r="A30" t="s">
        <v>8</v>
      </c>
      <c r="B30">
        <v>13108</v>
      </c>
      <c r="C30" s="1" t="str">
        <f t="shared" si="5"/>
        <v>YB. LISTA DEL APRUEBO</v>
      </c>
      <c r="D30" s="1" t="str">
        <f>"25. GALIT NICOLE AGOSIN HORVITZ (M)"</f>
        <v>25. GALIT NICOLE AGOSIN HORVITZ (M)</v>
      </c>
      <c r="E30" s="1" t="str">
        <f>"IND-PPD"</f>
        <v>IND-PPD</v>
      </c>
      <c r="F30" s="1" t="str">
        <f>"130"</f>
        <v>130</v>
      </c>
      <c r="G30" s="1">
        <v>0.44999999999999996</v>
      </c>
      <c r="H30" s="1">
        <v>0</v>
      </c>
    </row>
    <row r="31" spans="1:8" x14ac:dyDescent="0.3">
      <c r="A31" t="s">
        <v>8</v>
      </c>
      <c r="B31">
        <v>13108</v>
      </c>
      <c r="C31" s="1" t="str">
        <f t="shared" si="5"/>
        <v>YB. LISTA DEL APRUEBO</v>
      </c>
      <c r="D31" s="1" t="str">
        <f>"26. CESAR VALENZUELA MAASS (H)"</f>
        <v>26. CESAR VALENZUELA MAASS (H)</v>
      </c>
      <c r="E31" s="1" t="str">
        <f>"PS"</f>
        <v>PS</v>
      </c>
      <c r="F31" s="1" t="str">
        <f>"805"</f>
        <v>805</v>
      </c>
      <c r="G31" s="1">
        <v>2.77</v>
      </c>
      <c r="H31" s="1">
        <v>1</v>
      </c>
    </row>
    <row r="32" spans="1:8" ht="28.8" x14ac:dyDescent="0.3">
      <c r="A32" t="s">
        <v>8</v>
      </c>
      <c r="B32">
        <v>13108</v>
      </c>
      <c r="C32" s="1" t="str">
        <f t="shared" si="5"/>
        <v>YB. LISTA DEL APRUEBO</v>
      </c>
      <c r="D32" s="1" t="str">
        <f>"27. FERNANDA SAN MARTIN GOUGAIN (M)"</f>
        <v>27. FERNANDA SAN MARTIN GOUGAIN (M)</v>
      </c>
      <c r="E32" s="1" t="str">
        <f>"IND-PDC"</f>
        <v>IND-PDC</v>
      </c>
      <c r="F32" s="1" t="str">
        <f>"258"</f>
        <v>258</v>
      </c>
      <c r="G32" s="1">
        <v>0.89</v>
      </c>
      <c r="H32" s="1">
        <v>0</v>
      </c>
    </row>
    <row r="33" spans="1:8" x14ac:dyDescent="0.3">
      <c r="A33" t="s">
        <v>8</v>
      </c>
      <c r="B33">
        <v>13108</v>
      </c>
      <c r="C33" s="1" t="str">
        <f>"YQ. APRUEBO DIGNIDAD"</f>
        <v>YQ. APRUEBO DIGNIDAD</v>
      </c>
      <c r="E33" s="1" t="str">
        <f>""</f>
        <v/>
      </c>
      <c r="F33" s="1" t="str">
        <f>"6.048"</f>
        <v>6.048</v>
      </c>
      <c r="G33" s="1">
        <v>20.8</v>
      </c>
      <c r="H33" s="1"/>
    </row>
    <row r="34" spans="1:8" x14ac:dyDescent="0.3">
      <c r="A34" t="s">
        <v>8</v>
      </c>
      <c r="B34">
        <v>13108</v>
      </c>
      <c r="C34" s="1" t="str">
        <f t="shared" ref="C34:C40" si="6">"YQ. APRUEBO DIGNIDAD"</f>
        <v>YQ. APRUEBO DIGNIDAD</v>
      </c>
      <c r="D34" s="1" t="str">
        <f>"28. LUZ PASCUALA VIDAL HUIRIQUEO (M)"</f>
        <v>28. LUZ PASCUALA VIDAL HUIRIQUEO (M)</v>
      </c>
      <c r="E34" s="1" t="str">
        <f>"IND-RD"</f>
        <v>IND-RD</v>
      </c>
      <c r="F34" s="1" t="str">
        <f>"473"</f>
        <v>473</v>
      </c>
      <c r="G34" s="1">
        <v>1.63</v>
      </c>
      <c r="H34" s="1">
        <v>0</v>
      </c>
    </row>
    <row r="35" spans="1:8" ht="28.8" x14ac:dyDescent="0.3">
      <c r="A35" t="s">
        <v>8</v>
      </c>
      <c r="B35">
        <v>13108</v>
      </c>
      <c r="C35" s="1" t="str">
        <f t="shared" si="6"/>
        <v>YQ. APRUEBO DIGNIDAD</v>
      </c>
      <c r="D35" s="1" t="str">
        <f>"29. GONZALO MANUEL BACIGALUPE ROJAS (H)"</f>
        <v>29. GONZALO MANUEL BACIGALUPE ROJAS (H)</v>
      </c>
      <c r="E35" s="1" t="str">
        <f>"IND-FREVS"</f>
        <v>IND-FREVS</v>
      </c>
      <c r="F35" s="1" t="str">
        <f>"610"</f>
        <v>610</v>
      </c>
      <c r="G35" s="1">
        <v>2.1</v>
      </c>
      <c r="H35" s="1">
        <v>0</v>
      </c>
    </row>
    <row r="36" spans="1:8" x14ac:dyDescent="0.3">
      <c r="A36" t="s">
        <v>8</v>
      </c>
      <c r="B36">
        <v>13108</v>
      </c>
      <c r="C36" s="1" t="str">
        <f t="shared" si="6"/>
        <v>YQ. APRUEBO DIGNIDAD</v>
      </c>
      <c r="D36" s="1" t="str">
        <f>"30. HAYDEE OBERREUTER UMAZABAL (M)"</f>
        <v>30. HAYDEE OBERREUTER UMAZABAL (M)</v>
      </c>
      <c r="E36" s="1" t="str">
        <f>"IND-FREVS"</f>
        <v>IND-FREVS</v>
      </c>
      <c r="F36" s="1" t="str">
        <f>"189"</f>
        <v>189</v>
      </c>
      <c r="G36" s="1">
        <v>0.65</v>
      </c>
      <c r="H36" s="1">
        <v>0</v>
      </c>
    </row>
    <row r="37" spans="1:8" ht="28.8" x14ac:dyDescent="0.3">
      <c r="A37" t="s">
        <v>8</v>
      </c>
      <c r="B37">
        <v>13108</v>
      </c>
      <c r="C37" s="1" t="str">
        <f t="shared" si="6"/>
        <v>YQ. APRUEBO DIGNIDAD</v>
      </c>
      <c r="D37" s="1" t="str">
        <f>"31. RODRIGO TOMAS MALLEA CARDEMIL (H)"</f>
        <v>31. RODRIGO TOMAS MALLEA CARDEMIL (H)</v>
      </c>
      <c r="E37" s="1" t="str">
        <f>"CONVER."</f>
        <v>CONVER.</v>
      </c>
      <c r="F37" s="1" t="str">
        <f>"871"</f>
        <v>871</v>
      </c>
      <c r="G37" s="1">
        <v>3</v>
      </c>
      <c r="H37" s="1">
        <v>0</v>
      </c>
    </row>
    <row r="38" spans="1:8" ht="28.8" x14ac:dyDescent="0.3">
      <c r="A38" t="s">
        <v>8</v>
      </c>
      <c r="B38">
        <v>13108</v>
      </c>
      <c r="C38" s="1" t="str">
        <f t="shared" si="6"/>
        <v>YQ. APRUEBO DIGNIDAD</v>
      </c>
      <c r="D38" s="1" t="str">
        <f>"32. MICHELLE FERNANDA PEUTAT ALVARADO (M)"</f>
        <v>32. MICHELLE FERNANDA PEUTAT ALVARADO (M)</v>
      </c>
      <c r="E38" s="1" t="str">
        <f>"IND-CONVER."</f>
        <v>IND-CONVER.</v>
      </c>
      <c r="F38" s="1" t="str">
        <f>"1.159"</f>
        <v>1.159</v>
      </c>
      <c r="G38" s="1">
        <v>3.9899999999999998</v>
      </c>
      <c r="H38" s="1">
        <v>0</v>
      </c>
    </row>
    <row r="39" spans="1:8" x14ac:dyDescent="0.3">
      <c r="A39" t="s">
        <v>8</v>
      </c>
      <c r="B39">
        <v>13108</v>
      </c>
      <c r="C39" s="1" t="str">
        <f t="shared" si="6"/>
        <v>YQ. APRUEBO DIGNIDAD</v>
      </c>
      <c r="D39" s="1" t="str">
        <f>"33. ERIC DAVID CAMPOS BONTA (H)"</f>
        <v>33. ERIC DAVID CAMPOS BONTA (H)</v>
      </c>
      <c r="E39" s="1" t="str">
        <f>"PCCH"</f>
        <v>PCCH</v>
      </c>
      <c r="F39" s="1" t="str">
        <f>"724"</f>
        <v>724</v>
      </c>
      <c r="G39" s="1">
        <v>2.4899999999999998</v>
      </c>
      <c r="H39" s="1">
        <v>0</v>
      </c>
    </row>
    <row r="40" spans="1:8" x14ac:dyDescent="0.3">
      <c r="A40" t="s">
        <v>8</v>
      </c>
      <c r="B40">
        <v>13108</v>
      </c>
      <c r="C40" s="1" t="str">
        <f t="shared" si="6"/>
        <v>YQ. APRUEBO DIGNIDAD</v>
      </c>
      <c r="D40" s="1" t="str">
        <f>"34. BARBARA SEPULVEDA HALES (M)"</f>
        <v>34. BARBARA SEPULVEDA HALES (M)</v>
      </c>
      <c r="E40" s="1" t="str">
        <f>"PCCH"</f>
        <v>PCCH</v>
      </c>
      <c r="F40" s="1" t="str">
        <f>"2.022"</f>
        <v>2.022</v>
      </c>
      <c r="G40" s="1">
        <v>6.9500000000000011</v>
      </c>
      <c r="H40" s="1">
        <v>1</v>
      </c>
    </row>
    <row r="41" spans="1:8" ht="28.8" x14ac:dyDescent="0.3">
      <c r="A41" t="s">
        <v>8</v>
      </c>
      <c r="B41">
        <v>13108</v>
      </c>
      <c r="C41" s="1" t="str">
        <f>"YV. INDEPENDIENTES POR UNA NUEVA CONSTITUCION (D9)"</f>
        <v>YV. INDEPENDIENTES POR UNA NUEVA CONSTITUCION (D9)</v>
      </c>
      <c r="E41" s="1" t="str">
        <f>""</f>
        <v/>
      </c>
      <c r="F41" s="1" t="str">
        <f>"2.628"</f>
        <v>2.628</v>
      </c>
      <c r="G41" s="1">
        <v>9.0399999999999991</v>
      </c>
      <c r="H41" s="1"/>
    </row>
    <row r="42" spans="1:8" ht="28.8" x14ac:dyDescent="0.3">
      <c r="A42" t="s">
        <v>8</v>
      </c>
      <c r="B42">
        <v>13108</v>
      </c>
      <c r="C42" s="1" t="str">
        <f t="shared" ref="C42:C47" si="7">"YV. INDEPENDIENTES POR UNA NUEVA CONSTITUCION (D9)"</f>
        <v>YV. INDEPENDIENTES POR UNA NUEVA CONSTITUCION (D9)</v>
      </c>
      <c r="D42" s="1" t="str">
        <f>"35. NICOLE DENISSE ROMO FLORES (M)"</f>
        <v>35. NICOLE DENISSE ROMO FLORES (M)</v>
      </c>
      <c r="E42" s="1" t="str">
        <f t="shared" ref="E42:E47" si="8">"IND"</f>
        <v>IND</v>
      </c>
      <c r="F42" s="1" t="str">
        <f>"729"</f>
        <v>729</v>
      </c>
      <c r="G42" s="1">
        <v>2.5100000000000002</v>
      </c>
      <c r="H42" s="1">
        <v>0</v>
      </c>
    </row>
    <row r="43" spans="1:8" ht="28.8" x14ac:dyDescent="0.3">
      <c r="A43" t="s">
        <v>8</v>
      </c>
      <c r="B43">
        <v>13108</v>
      </c>
      <c r="C43" s="1" t="str">
        <f t="shared" si="7"/>
        <v>YV. INDEPENDIENTES POR UNA NUEVA CONSTITUCION (D9)</v>
      </c>
      <c r="D43" s="1" t="str">
        <f>"36. IVAN SILVA GONZALEZ (H)"</f>
        <v>36. IVAN SILVA GONZALEZ (H)</v>
      </c>
      <c r="E43" s="1" t="str">
        <f t="shared" si="8"/>
        <v>IND</v>
      </c>
      <c r="F43" s="1" t="str">
        <f>"365"</f>
        <v>365</v>
      </c>
      <c r="G43" s="1">
        <v>1.26</v>
      </c>
      <c r="H43" s="1">
        <v>0</v>
      </c>
    </row>
    <row r="44" spans="1:8" ht="28.8" x14ac:dyDescent="0.3">
      <c r="A44" t="s">
        <v>8</v>
      </c>
      <c r="B44">
        <v>13108</v>
      </c>
      <c r="C44" s="1" t="str">
        <f t="shared" si="7"/>
        <v>YV. INDEPENDIENTES POR UNA NUEVA CONSTITUCION (D9)</v>
      </c>
      <c r="D44" s="1" t="str">
        <f>"37. LORETO ROXANA REBOLLEDO RISSETTI (M)"</f>
        <v>37. LORETO ROXANA REBOLLEDO RISSETTI (M)</v>
      </c>
      <c r="E44" s="1" t="str">
        <f t="shared" si="8"/>
        <v>IND</v>
      </c>
      <c r="F44" s="1" t="str">
        <f>"451"</f>
        <v>451</v>
      </c>
      <c r="G44" s="1">
        <v>1.55</v>
      </c>
      <c r="H44" s="1">
        <v>0</v>
      </c>
    </row>
    <row r="45" spans="1:8" ht="28.8" x14ac:dyDescent="0.3">
      <c r="A45" t="s">
        <v>8</v>
      </c>
      <c r="B45">
        <v>13108</v>
      </c>
      <c r="C45" s="1" t="str">
        <f t="shared" si="7"/>
        <v>YV. INDEPENDIENTES POR UNA NUEVA CONSTITUCION (D9)</v>
      </c>
      <c r="D45" s="1" t="str">
        <f>"38. MARIO ZELADA ORELLANA (H)"</f>
        <v>38. MARIO ZELADA ORELLANA (H)</v>
      </c>
      <c r="E45" s="1" t="str">
        <f t="shared" si="8"/>
        <v>IND</v>
      </c>
      <c r="F45" s="1" t="str">
        <f>"204"</f>
        <v>204</v>
      </c>
      <c r="G45" s="1">
        <v>0.70000000000000007</v>
      </c>
      <c r="H45" s="1">
        <v>0</v>
      </c>
    </row>
    <row r="46" spans="1:8" ht="28.8" x14ac:dyDescent="0.3">
      <c r="A46" t="s">
        <v>8</v>
      </c>
      <c r="B46">
        <v>13108</v>
      </c>
      <c r="C46" s="1" t="str">
        <f t="shared" si="7"/>
        <v>YV. INDEPENDIENTES POR UNA NUEVA CONSTITUCION (D9)</v>
      </c>
      <c r="D46" s="1" t="str">
        <f>"39. MARGARITA ERNESTINA GUERRERO ZAMORA (M)"</f>
        <v>39. MARGARITA ERNESTINA GUERRERO ZAMORA (M)</v>
      </c>
      <c r="E46" s="1" t="str">
        <f t="shared" si="8"/>
        <v>IND</v>
      </c>
      <c r="F46" s="1" t="str">
        <f>"284"</f>
        <v>284</v>
      </c>
      <c r="G46" s="1">
        <v>0.98</v>
      </c>
      <c r="H46" s="1">
        <v>0</v>
      </c>
    </row>
    <row r="47" spans="1:8" ht="28.8" x14ac:dyDescent="0.3">
      <c r="A47" t="s">
        <v>8</v>
      </c>
      <c r="B47">
        <v>13108</v>
      </c>
      <c r="C47" s="1" t="str">
        <f t="shared" si="7"/>
        <v>YV. INDEPENDIENTES POR UNA NUEVA CONSTITUCION (D9)</v>
      </c>
      <c r="D47" s="1" t="str">
        <f>"40. URIEL OSVALDO GONZALEZ INOSTROZA (H)"</f>
        <v>40. URIEL OSVALDO GONZALEZ INOSTROZA (H)</v>
      </c>
      <c r="E47" s="1" t="str">
        <f t="shared" si="8"/>
        <v>IND</v>
      </c>
      <c r="F47" s="1" t="str">
        <f>"595"</f>
        <v>595</v>
      </c>
      <c r="G47" s="1">
        <v>2.0500000000000003</v>
      </c>
      <c r="H47" s="1">
        <v>0</v>
      </c>
    </row>
    <row r="48" spans="1:8" x14ac:dyDescent="0.3">
      <c r="A48" t="s">
        <v>8</v>
      </c>
      <c r="B48">
        <v>13108</v>
      </c>
      <c r="C48" s="1" t="str">
        <f>"ZB. UNION PATRIOTICA"</f>
        <v>ZB. UNION PATRIOTICA</v>
      </c>
      <c r="E48" s="1" t="str">
        <f>""</f>
        <v/>
      </c>
      <c r="F48" s="1" t="str">
        <f>"217"</f>
        <v>217</v>
      </c>
      <c r="G48" s="1">
        <v>0.75</v>
      </c>
      <c r="H48" s="1"/>
    </row>
    <row r="49" spans="1:8" ht="28.8" x14ac:dyDescent="0.3">
      <c r="A49" t="s">
        <v>8</v>
      </c>
      <c r="B49">
        <v>13108</v>
      </c>
      <c r="C49" s="1" t="str">
        <f t="shared" ref="C49:C51" si="9">"ZB. UNION PATRIOTICA"</f>
        <v>ZB. UNION PATRIOTICA</v>
      </c>
      <c r="D49" s="1" t="str">
        <f>"41. CLAUDIA MACARENA FERNANDEZ CONTRERAS (M)"</f>
        <v>41. CLAUDIA MACARENA FERNANDEZ CONTRERAS (M)</v>
      </c>
      <c r="E49" s="1" t="str">
        <f>"UPA"</f>
        <v>UPA</v>
      </c>
      <c r="F49" s="1" t="str">
        <f>"128"</f>
        <v>128</v>
      </c>
      <c r="G49" s="1">
        <v>0.44</v>
      </c>
      <c r="H49" s="1">
        <v>0</v>
      </c>
    </row>
    <row r="50" spans="1:8" ht="28.8" x14ac:dyDescent="0.3">
      <c r="A50" t="s">
        <v>8</v>
      </c>
      <c r="B50">
        <v>13108</v>
      </c>
      <c r="C50" s="1" t="str">
        <f t="shared" si="9"/>
        <v>ZB. UNION PATRIOTICA</v>
      </c>
      <c r="D50" s="1" t="str">
        <f>"42. MARCELO ROBERTO FLORES BRUNA (H)"</f>
        <v>42. MARCELO ROBERTO FLORES BRUNA (H)</v>
      </c>
      <c r="E50" s="1" t="str">
        <f>"UPA"</f>
        <v>UPA</v>
      </c>
      <c r="F50" s="1" t="str">
        <f>"52"</f>
        <v>52</v>
      </c>
      <c r="G50" s="1">
        <v>0.18</v>
      </c>
      <c r="H50" s="1">
        <v>0</v>
      </c>
    </row>
    <row r="51" spans="1:8" ht="28.8" x14ac:dyDescent="0.3">
      <c r="A51" t="s">
        <v>8</v>
      </c>
      <c r="B51">
        <v>13108</v>
      </c>
      <c r="C51" s="1" t="str">
        <f t="shared" si="9"/>
        <v>ZB. UNION PATRIOTICA</v>
      </c>
      <c r="D51" s="1" t="str">
        <f>"43. JORGE ABRAHAM MUÑOZ VILCHES (H)"</f>
        <v>43. JORGE ABRAHAM MUÑOZ VILCHES (H)</v>
      </c>
      <c r="E51" s="1" t="str">
        <f>"UPA"</f>
        <v>UPA</v>
      </c>
      <c r="F51" s="1" t="str">
        <f>"37"</f>
        <v>37</v>
      </c>
      <c r="G51" s="1">
        <v>0.13</v>
      </c>
      <c r="H51" s="1">
        <v>0</v>
      </c>
    </row>
    <row r="52" spans="1:8" ht="28.8" x14ac:dyDescent="0.3">
      <c r="A52" t="s">
        <v>8</v>
      </c>
      <c r="B52">
        <v>13108</v>
      </c>
      <c r="C52" s="1" t="str">
        <f>"ZH. MOVIMIENTOS SOCIALES PLURINACIONALES E INDEPENDIENTES (D9)"</f>
        <v>ZH. MOVIMIENTOS SOCIALES PLURINACIONALES E INDEPENDIENTES (D9)</v>
      </c>
      <c r="E52" s="1" t="str">
        <f>""</f>
        <v/>
      </c>
      <c r="F52" s="1" t="str">
        <f>"1.620"</f>
        <v>1.620</v>
      </c>
      <c r="G52" s="1">
        <v>5.57</v>
      </c>
      <c r="H52" s="1"/>
    </row>
    <row r="53" spans="1:8" ht="28.8" x14ac:dyDescent="0.3">
      <c r="A53" t="s">
        <v>8</v>
      </c>
      <c r="B53">
        <v>13108</v>
      </c>
      <c r="C53" s="1" t="str">
        <f t="shared" ref="C53:C58" si="10">"ZH. MOVIMIENTOS SOCIALES PLURINACIONALES E INDEPENDIENTES (D9)"</f>
        <v>ZH. MOVIMIENTOS SOCIALES PLURINACIONALES E INDEPENDIENTES (D9)</v>
      </c>
      <c r="D53" s="1" t="str">
        <f>"44. JESSICA CAYUPI LLANCALEO (M)"</f>
        <v>44. JESSICA CAYUPI LLANCALEO (M)</v>
      </c>
      <c r="E53" s="1" t="str">
        <f t="shared" ref="E53:E58" si="11">"IND"</f>
        <v>IND</v>
      </c>
      <c r="F53" s="1" t="str">
        <f>"977"</f>
        <v>977</v>
      </c>
      <c r="G53" s="1">
        <v>3.36</v>
      </c>
      <c r="H53" s="1">
        <v>0</v>
      </c>
    </row>
    <row r="54" spans="1:8" ht="28.8" x14ac:dyDescent="0.3">
      <c r="A54" t="s">
        <v>8</v>
      </c>
      <c r="B54">
        <v>13108</v>
      </c>
      <c r="C54" s="1" t="str">
        <f t="shared" si="10"/>
        <v>ZH. MOVIMIENTOS SOCIALES PLURINACIONALES E INDEPENDIENTES (D9)</v>
      </c>
      <c r="D54" s="1" t="str">
        <f>"45. JOSE IGNACIO PADILLA SAN MARTIN (H)"</f>
        <v>45. JOSE IGNACIO PADILLA SAN MARTIN (H)</v>
      </c>
      <c r="E54" s="1" t="str">
        <f t="shared" si="11"/>
        <v>IND</v>
      </c>
      <c r="F54" s="1" t="str">
        <f>"104"</f>
        <v>104</v>
      </c>
      <c r="G54" s="1">
        <v>0.36</v>
      </c>
      <c r="H54" s="1">
        <v>0</v>
      </c>
    </row>
    <row r="55" spans="1:8" ht="28.8" x14ac:dyDescent="0.3">
      <c r="A55" t="s">
        <v>8</v>
      </c>
      <c r="B55">
        <v>13108</v>
      </c>
      <c r="C55" s="1" t="str">
        <f t="shared" si="10"/>
        <v>ZH. MOVIMIENTOS SOCIALES PLURINACIONALES E INDEPENDIENTES (D9)</v>
      </c>
      <c r="D55" s="1" t="str">
        <f>"46. CATALINA BOSCH CARCURO (M)"</f>
        <v>46. CATALINA BOSCH CARCURO (M)</v>
      </c>
      <c r="E55" s="1" t="str">
        <f t="shared" si="11"/>
        <v>IND</v>
      </c>
      <c r="F55" s="1" t="str">
        <f>"255"</f>
        <v>255</v>
      </c>
      <c r="G55" s="1">
        <v>0.88</v>
      </c>
      <c r="H55" s="1">
        <v>0</v>
      </c>
    </row>
    <row r="56" spans="1:8" ht="28.8" x14ac:dyDescent="0.3">
      <c r="A56" t="s">
        <v>8</v>
      </c>
      <c r="B56">
        <v>13108</v>
      </c>
      <c r="C56" s="1" t="str">
        <f t="shared" si="10"/>
        <v>ZH. MOVIMIENTOS SOCIALES PLURINACIONALES E INDEPENDIENTES (D9)</v>
      </c>
      <c r="D56" s="1" t="str">
        <f>"47. ROLANDO ALBERTO ABARZUA JARA (H)"</f>
        <v>47. ROLANDO ALBERTO ABARZUA JARA (H)</v>
      </c>
      <c r="E56" s="1" t="str">
        <f t="shared" si="11"/>
        <v>IND</v>
      </c>
      <c r="F56" s="1" t="str">
        <f>"34"</f>
        <v>34</v>
      </c>
      <c r="G56" s="1">
        <v>0.12</v>
      </c>
      <c r="H56" s="1">
        <v>0</v>
      </c>
    </row>
    <row r="57" spans="1:8" ht="28.8" x14ac:dyDescent="0.3">
      <c r="A57" t="s">
        <v>8</v>
      </c>
      <c r="B57">
        <v>13108</v>
      </c>
      <c r="C57" s="1" t="str">
        <f t="shared" si="10"/>
        <v>ZH. MOVIMIENTOS SOCIALES PLURINACIONALES E INDEPENDIENTES (D9)</v>
      </c>
      <c r="D57" s="1" t="str">
        <f>"48. VERONICA MOLINA HENRIQUEZ (M)"</f>
        <v>48. VERONICA MOLINA HENRIQUEZ (M)</v>
      </c>
      <c r="E57" s="1" t="str">
        <f t="shared" si="11"/>
        <v>IND</v>
      </c>
      <c r="F57" s="1" t="str">
        <f>"98"</f>
        <v>98</v>
      </c>
      <c r="G57" s="1">
        <v>0.33999999999999997</v>
      </c>
      <c r="H57" s="1">
        <v>0</v>
      </c>
    </row>
    <row r="58" spans="1:8" ht="28.8" x14ac:dyDescent="0.3">
      <c r="A58" t="s">
        <v>8</v>
      </c>
      <c r="B58">
        <v>13108</v>
      </c>
      <c r="C58" s="1" t="str">
        <f t="shared" si="10"/>
        <v>ZH. MOVIMIENTOS SOCIALES PLURINACIONALES E INDEPENDIENTES (D9)</v>
      </c>
      <c r="D58" s="1" t="str">
        <f>"49. JUAN PABLO LABRA AREVALO (H)"</f>
        <v>49. JUAN PABLO LABRA AREVALO (H)</v>
      </c>
      <c r="E58" s="1" t="str">
        <f t="shared" si="11"/>
        <v>IND</v>
      </c>
      <c r="F58" s="1" t="str">
        <f>"152"</f>
        <v>152</v>
      </c>
      <c r="G58" s="1">
        <v>0.52</v>
      </c>
      <c r="H58" s="1">
        <v>0</v>
      </c>
    </row>
    <row r="59" spans="1:8" x14ac:dyDescent="0.3">
      <c r="A59" t="s">
        <v>8</v>
      </c>
      <c r="B59">
        <v>13108</v>
      </c>
      <c r="C59" s="1" t="str">
        <f>"ZR. PARTIDO DE TRABAJADORES REVOLUCIONARIOS"</f>
        <v>ZR. PARTIDO DE TRABAJADORES REVOLUCIONARIOS</v>
      </c>
      <c r="E59" s="1" t="str">
        <f>""</f>
        <v/>
      </c>
      <c r="F59" s="1" t="str">
        <f>"708"</f>
        <v>708</v>
      </c>
      <c r="G59" s="1">
        <v>2.4299999999999997</v>
      </c>
      <c r="H59" s="1"/>
    </row>
    <row r="60" spans="1:8" x14ac:dyDescent="0.3">
      <c r="A60" t="s">
        <v>8</v>
      </c>
      <c r="B60">
        <v>13108</v>
      </c>
      <c r="C60" s="1" t="str">
        <f t="shared" ref="C60:C65" si="12">"ZR. PARTIDO DE TRABAJADORES REVOLUCIONARIOS"</f>
        <v>ZR. PARTIDO DE TRABAJADORES REVOLUCIONARIOS</v>
      </c>
      <c r="D60" s="1" t="str">
        <f>"50. DANIELA PAZ RIVEROS OVALLE (M)"</f>
        <v>50. DANIELA PAZ RIVEROS OVALLE (M)</v>
      </c>
      <c r="E60" s="1" t="str">
        <f t="shared" ref="E60:E65" si="13">"PTR"</f>
        <v>PTR</v>
      </c>
      <c r="F60" s="1" t="str">
        <f>"264"</f>
        <v>264</v>
      </c>
      <c r="G60" s="1">
        <v>0.91</v>
      </c>
      <c r="H60" s="1">
        <v>0</v>
      </c>
    </row>
    <row r="61" spans="1:8" ht="28.8" x14ac:dyDescent="0.3">
      <c r="A61" t="s">
        <v>8</v>
      </c>
      <c r="B61">
        <v>13108</v>
      </c>
      <c r="C61" s="1" t="str">
        <f t="shared" si="12"/>
        <v>ZR. PARTIDO DE TRABAJADORES REVOLUCIONARIOS</v>
      </c>
      <c r="D61" s="1" t="str">
        <f>"51. GABRIEL ALFONSO MUÑOZ CARRILLO (H)"</f>
        <v>51. GABRIEL ALFONSO MUÑOZ CARRILLO (H)</v>
      </c>
      <c r="E61" s="1" t="str">
        <f t="shared" si="13"/>
        <v>PTR</v>
      </c>
      <c r="F61" s="1" t="str">
        <f>"125"</f>
        <v>125</v>
      </c>
      <c r="G61" s="1">
        <v>0.43</v>
      </c>
      <c r="H61" s="1">
        <v>0</v>
      </c>
    </row>
    <row r="62" spans="1:8" ht="28.8" x14ac:dyDescent="0.3">
      <c r="A62" t="s">
        <v>8</v>
      </c>
      <c r="B62">
        <v>13108</v>
      </c>
      <c r="C62" s="1" t="str">
        <f t="shared" si="12"/>
        <v>ZR. PARTIDO DE TRABAJADORES REVOLUCIONARIOS</v>
      </c>
      <c r="D62" s="1" t="str">
        <f>"52. VIVIANA ANDREA GONZALEZ NAVARRO (M)"</f>
        <v>52. VIVIANA ANDREA GONZALEZ NAVARRO (M)</v>
      </c>
      <c r="E62" s="1" t="str">
        <f t="shared" si="13"/>
        <v>PTR</v>
      </c>
      <c r="F62" s="1" t="str">
        <f>"108"</f>
        <v>108</v>
      </c>
      <c r="G62" s="1">
        <v>0.37</v>
      </c>
      <c r="H62" s="1">
        <v>0</v>
      </c>
    </row>
    <row r="63" spans="1:8" x14ac:dyDescent="0.3">
      <c r="A63" t="s">
        <v>8</v>
      </c>
      <c r="B63">
        <v>13108</v>
      </c>
      <c r="C63" s="1" t="str">
        <f t="shared" si="12"/>
        <v>ZR. PARTIDO DE TRABAJADORES REVOLUCIONARIOS</v>
      </c>
      <c r="D63" s="1" t="str">
        <f>"53. CESAR ANTONIO SEPULVEDA JARA (H)"</f>
        <v>53. CESAR ANTONIO SEPULVEDA JARA (H)</v>
      </c>
      <c r="E63" s="1" t="str">
        <f t="shared" si="13"/>
        <v>PTR</v>
      </c>
      <c r="F63" s="1" t="str">
        <f>"59"</f>
        <v>59</v>
      </c>
      <c r="G63" s="1">
        <v>0.2</v>
      </c>
      <c r="H63" s="1">
        <v>0</v>
      </c>
    </row>
    <row r="64" spans="1:8" ht="28.8" x14ac:dyDescent="0.3">
      <c r="A64" t="s">
        <v>8</v>
      </c>
      <c r="B64">
        <v>13108</v>
      </c>
      <c r="C64" s="1" t="str">
        <f t="shared" si="12"/>
        <v>ZR. PARTIDO DE TRABAJADORES REVOLUCIONARIOS</v>
      </c>
      <c r="D64" s="1" t="str">
        <f>"54. ANAIZA GABRIELA FABRE VENEGAS (M)"</f>
        <v>54. ANAIZA GABRIELA FABRE VENEGAS (M)</v>
      </c>
      <c r="E64" s="1" t="str">
        <f t="shared" si="13"/>
        <v>PTR</v>
      </c>
      <c r="F64" s="1" t="str">
        <f>"27"</f>
        <v>27</v>
      </c>
      <c r="G64" s="1">
        <v>0.09</v>
      </c>
      <c r="H64" s="1">
        <v>0</v>
      </c>
    </row>
    <row r="65" spans="1:8" x14ac:dyDescent="0.3">
      <c r="A65" t="s">
        <v>8</v>
      </c>
      <c r="B65">
        <v>13108</v>
      </c>
      <c r="C65" s="1" t="str">
        <f t="shared" si="12"/>
        <v>ZR. PARTIDO DE TRABAJADORES REVOLUCIONARIOS</v>
      </c>
      <c r="D65" s="1" t="str">
        <f>"55. EDUARD PATRICIO PURAN PURAN (H)"</f>
        <v>55. EDUARD PATRICIO PURAN PURAN (H)</v>
      </c>
      <c r="E65" s="1" t="str">
        <f t="shared" si="13"/>
        <v>PTR</v>
      </c>
      <c r="F65" s="1" t="str">
        <f>"125"</f>
        <v>125</v>
      </c>
      <c r="G65" s="1">
        <v>0.43</v>
      </c>
      <c r="H65" s="1">
        <v>0</v>
      </c>
    </row>
    <row r="66" spans="1:8" x14ac:dyDescent="0.3">
      <c r="A66" t="s">
        <v>8</v>
      </c>
      <c r="B66">
        <v>13108</v>
      </c>
      <c r="C66" s="1" t="str">
        <f>"CANDIDATURA INDEPENDIENTE"</f>
        <v>CANDIDATURA INDEPENDIENTE</v>
      </c>
      <c r="E66" s="1" t="str">
        <f>""</f>
        <v/>
      </c>
      <c r="F66" s="1" t="str">
        <f>"2.994"</f>
        <v>2.994</v>
      </c>
      <c r="G66" s="1">
        <v>10.299999999999999</v>
      </c>
      <c r="H66" s="1"/>
    </row>
    <row r="67" spans="1:8" x14ac:dyDescent="0.3">
      <c r="A67" t="s">
        <v>8</v>
      </c>
      <c r="B67">
        <v>13108</v>
      </c>
      <c r="C67" s="1" t="str">
        <f>"CANDIDATURA INDEPENDIENTE"</f>
        <v>CANDIDATURA INDEPENDIENTE</v>
      </c>
      <c r="D67" s="1" t="str">
        <f>"56. RODRIGO LOGAN SOTO (H)"</f>
        <v>56. RODRIGO LOGAN SOTO (H)</v>
      </c>
      <c r="E67" s="1" t="str">
        <f>"IND"</f>
        <v>IND</v>
      </c>
      <c r="F67" s="1" t="str">
        <f>"2.994"</f>
        <v>2.994</v>
      </c>
      <c r="G67" s="1">
        <v>10.299999999999999</v>
      </c>
      <c r="H67" s="1">
        <v>1</v>
      </c>
    </row>
  </sheetData>
  <autoFilter ref="A1:H6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2021-06-10T16:41:54Z</dcterms:created>
  <dcterms:modified xsi:type="dcterms:W3CDTF">2021-06-10T19:40:31Z</dcterms:modified>
</cp:coreProperties>
</file>