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FORMATO\"/>
    </mc:Choice>
  </mc:AlternateContent>
  <xr:revisionPtr revIDLastSave="0" documentId="13_ncr:1_{0653F3AD-0CE0-4198-B16A-763C2CBB16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Hoja_01!$A$1:$H$90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2" i="1"/>
  <c r="C73" i="1"/>
  <c r="C74" i="1"/>
  <c r="C75" i="1"/>
  <c r="C76" i="1"/>
  <c r="C77" i="1"/>
  <c r="C78" i="1"/>
  <c r="C79" i="1"/>
  <c r="C81" i="1"/>
  <c r="C82" i="1"/>
  <c r="C83" i="1"/>
  <c r="C84" i="1"/>
  <c r="C85" i="1"/>
  <c r="C86" i="1"/>
  <c r="C87" i="1"/>
  <c r="C88" i="1"/>
  <c r="C90" i="1"/>
  <c r="F90" i="1"/>
  <c r="E90" i="1"/>
  <c r="D90" i="1"/>
  <c r="F89" i="1"/>
  <c r="E89" i="1"/>
  <c r="C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C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C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C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C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C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C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C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C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C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C2" i="1"/>
</calcChain>
</file>

<file path=xl/sharedStrings.xml><?xml version="1.0" encoding="utf-8"?>
<sst xmlns="http://schemas.openxmlformats.org/spreadsheetml/2006/main" count="97" uniqueCount="9">
  <si>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</si>
  <si>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</si>
  <si>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</si>
  <si>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</si>
  <si>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</si>
  <si>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</si>
  <si>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</si>
  <si>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</si>
  <si>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LAGRANJA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</si>
</sst>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workbookViewId="0">
      <selection activeCell="E1" sqref="E1"/>
    </sheetView>
  </sheetViews>
  <sheetFormatPr baseColWidth="10" defaultColWidth="8.88671875" defaultRowHeight="14.4" x14ac:dyDescent="0.3"/>
  <cols>
    <col min="3" max="3" width="57.6640625" customWidth="1"/>
    <col min="4" max="4" width="35.5546875" bestFit="1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13111</v>
      </c>
      <c r="C2" s="1" t="str">
        <f>"H. INDEPENDIENTES COMO TU (D10)"</f>
        <v>H. INDEPENDIENTES COMO TU (D10)</v>
      </c>
      <c r="E2" s="1" t="str">
        <f>""</f>
        <v/>
      </c>
      <c r="F2" s="1" t="str">
        <f>"2.448"</f>
        <v>2.448</v>
      </c>
      <c r="G2" s="1">
        <v>6.2600000000000007</v>
      </c>
      <c r="H2" s="1"/>
    </row>
    <row r="3" spans="1:8" ht="28.8" x14ac:dyDescent="0.3">
      <c r="A3" t="s">
        <v>8</v>
      </c>
      <c r="B3">
        <v>13111</v>
      </c>
      <c r="C3" s="1" t="str">
        <f t="shared" ref="C3:C9" si="0">"H. INDEPENDIENTES COMO TU (D10)"</f>
        <v>H. INDEPENDIENTES COMO TU (D10)</v>
      </c>
      <c r="D3" s="1" t="str">
        <f>"1. KARLA ANDREA PINTO TIMMERMANN (M)"</f>
        <v>1. KARLA ANDREA PINTO TIMMERMANN (M)</v>
      </c>
      <c r="E3" s="1" t="str">
        <f t="shared" ref="E3:E9" si="1">"IND"</f>
        <v>IND</v>
      </c>
      <c r="F3" s="1" t="str">
        <f>"721"</f>
        <v>721</v>
      </c>
      <c r="G3" s="1">
        <v>1.8399999999999999</v>
      </c>
      <c r="H3" s="1">
        <v>0</v>
      </c>
    </row>
    <row r="4" spans="1:8" x14ac:dyDescent="0.3">
      <c r="A4" t="s">
        <v>8</v>
      </c>
      <c r="B4">
        <v>13111</v>
      </c>
      <c r="C4" s="1" t="str">
        <f t="shared" si="0"/>
        <v>H. INDEPENDIENTES COMO TU (D10)</v>
      </c>
      <c r="D4" s="1" t="str">
        <f>"2. SUNG YOUNG YUN (H)"</f>
        <v>2. SUNG YOUNG YUN (H)</v>
      </c>
      <c r="E4" s="1" t="str">
        <f t="shared" si="1"/>
        <v>IND</v>
      </c>
      <c r="F4" s="1" t="str">
        <f>"273"</f>
        <v>273</v>
      </c>
      <c r="G4" s="1">
        <v>0.70000000000000007</v>
      </c>
      <c r="H4" s="1">
        <v>0</v>
      </c>
    </row>
    <row r="5" spans="1:8" ht="28.8" x14ac:dyDescent="0.3">
      <c r="A5" t="s">
        <v>8</v>
      </c>
      <c r="B5">
        <v>13111</v>
      </c>
      <c r="C5" s="1" t="str">
        <f t="shared" si="0"/>
        <v>H. INDEPENDIENTES COMO TU (D10)</v>
      </c>
      <c r="D5" s="1" t="str">
        <f>"3. PATRICIA FARIDEZ RUBILAR SEVERO (M)"</f>
        <v>3. PATRICIA FARIDEZ RUBILAR SEVERO (M)</v>
      </c>
      <c r="E5" s="1" t="str">
        <f t="shared" si="1"/>
        <v>IND</v>
      </c>
      <c r="F5" s="1" t="str">
        <f>"235"</f>
        <v>235</v>
      </c>
      <c r="G5" s="1">
        <v>0.6</v>
      </c>
      <c r="H5" s="1">
        <v>0</v>
      </c>
    </row>
    <row r="6" spans="1:8" ht="28.8" x14ac:dyDescent="0.3">
      <c r="A6" t="s">
        <v>8</v>
      </c>
      <c r="B6">
        <v>13111</v>
      </c>
      <c r="C6" s="1" t="str">
        <f t="shared" si="0"/>
        <v>H. INDEPENDIENTES COMO TU (D10)</v>
      </c>
      <c r="D6" s="1" t="str">
        <f>"4. PATRICIO DOMINGO GONZALEZ OJEDA (H)"</f>
        <v>4. PATRICIO DOMINGO GONZALEZ OJEDA (H)</v>
      </c>
      <c r="E6" s="1" t="str">
        <f t="shared" si="1"/>
        <v>IND</v>
      </c>
      <c r="F6" s="1" t="str">
        <f>"287"</f>
        <v>287</v>
      </c>
      <c r="G6" s="1">
        <v>0.73</v>
      </c>
      <c r="H6" s="1">
        <v>0</v>
      </c>
    </row>
    <row r="7" spans="1:8" x14ac:dyDescent="0.3">
      <c r="A7" t="s">
        <v>8</v>
      </c>
      <c r="B7">
        <v>13111</v>
      </c>
      <c r="C7" s="1" t="str">
        <f t="shared" si="0"/>
        <v>H. INDEPENDIENTES COMO TU (D10)</v>
      </c>
      <c r="D7" s="1" t="str">
        <f>"5. MARIA SOLEDAD ACUÑA DIAZ (M)"</f>
        <v>5. MARIA SOLEDAD ACUÑA DIAZ (M)</v>
      </c>
      <c r="E7" s="1" t="str">
        <f t="shared" si="1"/>
        <v>IND</v>
      </c>
      <c r="F7" s="1" t="str">
        <f>"367"</f>
        <v>367</v>
      </c>
      <c r="G7" s="1">
        <v>0.94000000000000006</v>
      </c>
      <c r="H7" s="1">
        <v>0</v>
      </c>
    </row>
    <row r="8" spans="1:8" x14ac:dyDescent="0.3">
      <c r="A8" t="s">
        <v>8</v>
      </c>
      <c r="B8">
        <v>13111</v>
      </c>
      <c r="C8" s="1" t="str">
        <f t="shared" si="0"/>
        <v>H. INDEPENDIENTES COMO TU (D10)</v>
      </c>
      <c r="D8" s="1" t="str">
        <f>"6. FELIPE CRISTHIAN VARGAS PUGA (H)"</f>
        <v>6. FELIPE CRISTHIAN VARGAS PUGA (H)</v>
      </c>
      <c r="E8" s="1" t="str">
        <f t="shared" si="1"/>
        <v>IND</v>
      </c>
      <c r="F8" s="1" t="str">
        <f>"223"</f>
        <v>223</v>
      </c>
      <c r="G8" s="1">
        <v>0.57000000000000006</v>
      </c>
      <c r="H8" s="1">
        <v>0</v>
      </c>
    </row>
    <row r="9" spans="1:8" ht="28.8" x14ac:dyDescent="0.3">
      <c r="A9" t="s">
        <v>8</v>
      </c>
      <c r="B9">
        <v>13111</v>
      </c>
      <c r="C9" s="1" t="str">
        <f t="shared" si="0"/>
        <v>H. INDEPENDIENTES COMO TU (D10)</v>
      </c>
      <c r="D9" s="1" t="str">
        <f>"7. PAOLA ANDREA WALKER RODRIGUEZ (M)"</f>
        <v>7. PAOLA ANDREA WALKER RODRIGUEZ (M)</v>
      </c>
      <c r="E9" s="1" t="str">
        <f t="shared" si="1"/>
        <v>IND</v>
      </c>
      <c r="F9" s="1" t="str">
        <f>"342"</f>
        <v>342</v>
      </c>
      <c r="G9" s="1">
        <v>0.88</v>
      </c>
      <c r="H9" s="1">
        <v>0</v>
      </c>
    </row>
    <row r="10" spans="1:8" x14ac:dyDescent="0.3">
      <c r="A10" t="s">
        <v>8</v>
      </c>
      <c r="B10">
        <v>13111</v>
      </c>
      <c r="C10" s="1" t="str">
        <f>"XA. PARTIDO ECOLOGISTA VERDE"</f>
        <v>XA. PARTIDO ECOLOGISTA VERDE</v>
      </c>
      <c r="E10" s="1" t="str">
        <f>""</f>
        <v/>
      </c>
      <c r="F10" s="1" t="str">
        <f>"1.446"</f>
        <v>1.446</v>
      </c>
      <c r="G10" s="1">
        <v>3.6999999999999997</v>
      </c>
      <c r="H10" s="1"/>
    </row>
    <row r="11" spans="1:8" x14ac:dyDescent="0.3">
      <c r="A11" t="s">
        <v>8</v>
      </c>
      <c r="B11">
        <v>13111</v>
      </c>
      <c r="C11" s="1" t="str">
        <f t="shared" ref="C11:C16" si="2">"XA. PARTIDO ECOLOGISTA VERDE"</f>
        <v>XA. PARTIDO ECOLOGISTA VERDE</v>
      </c>
      <c r="D11" s="1" t="str">
        <f>"8. MARIA ELENA GUAJARDO MORAGA (M)"</f>
        <v>8. MARIA ELENA GUAJARDO MORAGA (M)</v>
      </c>
      <c r="E11" s="1" t="str">
        <f t="shared" ref="E11:E16" si="3">"PEV"</f>
        <v>PEV</v>
      </c>
      <c r="F11" s="1" t="str">
        <f>"479"</f>
        <v>479</v>
      </c>
      <c r="G11" s="1">
        <v>1.23</v>
      </c>
      <c r="H11" s="1">
        <v>0</v>
      </c>
    </row>
    <row r="12" spans="1:8" x14ac:dyDescent="0.3">
      <c r="A12" t="s">
        <v>8</v>
      </c>
      <c r="B12">
        <v>13111</v>
      </c>
      <c r="C12" s="1" t="str">
        <f t="shared" si="2"/>
        <v>XA. PARTIDO ECOLOGISTA VERDE</v>
      </c>
      <c r="D12" s="1" t="str">
        <f>"9. GREGORIO CORREA SALINAS (H)"</f>
        <v>9. GREGORIO CORREA SALINAS (H)</v>
      </c>
      <c r="E12" s="1" t="str">
        <f t="shared" si="3"/>
        <v>PEV</v>
      </c>
      <c r="F12" s="1" t="str">
        <f>"116"</f>
        <v>116</v>
      </c>
      <c r="G12" s="1">
        <v>0.3</v>
      </c>
      <c r="H12" s="1">
        <v>0</v>
      </c>
    </row>
    <row r="13" spans="1:8" x14ac:dyDescent="0.3">
      <c r="A13" t="s">
        <v>8</v>
      </c>
      <c r="B13">
        <v>13111</v>
      </c>
      <c r="C13" s="1" t="str">
        <f t="shared" si="2"/>
        <v>XA. PARTIDO ECOLOGISTA VERDE</v>
      </c>
      <c r="D13" s="1" t="str">
        <f>"10. ANGELICA YEVENES ARANDA (M)"</f>
        <v>10. ANGELICA YEVENES ARANDA (M)</v>
      </c>
      <c r="E13" s="1" t="str">
        <f t="shared" si="3"/>
        <v>PEV</v>
      </c>
      <c r="F13" s="1" t="str">
        <f>"277"</f>
        <v>277</v>
      </c>
      <c r="G13" s="1">
        <v>0.71000000000000008</v>
      </c>
      <c r="H13" s="1">
        <v>0</v>
      </c>
    </row>
    <row r="14" spans="1:8" x14ac:dyDescent="0.3">
      <c r="A14" t="s">
        <v>8</v>
      </c>
      <c r="B14">
        <v>13111</v>
      </c>
      <c r="C14" s="1" t="str">
        <f t="shared" si="2"/>
        <v>XA. PARTIDO ECOLOGISTA VERDE</v>
      </c>
      <c r="D14" s="1" t="str">
        <f>"11. PHELIPPE ROMERO MUZZ (H)"</f>
        <v>11. PHELIPPE ROMERO MUZZ (H)</v>
      </c>
      <c r="E14" s="1" t="str">
        <f t="shared" si="3"/>
        <v>PEV</v>
      </c>
      <c r="F14" s="1" t="str">
        <f>"103"</f>
        <v>103</v>
      </c>
      <c r="G14" s="1">
        <v>0.26</v>
      </c>
      <c r="H14" s="1">
        <v>0</v>
      </c>
    </row>
    <row r="15" spans="1:8" x14ac:dyDescent="0.3">
      <c r="A15" t="s">
        <v>8</v>
      </c>
      <c r="B15">
        <v>13111</v>
      </c>
      <c r="C15" s="1" t="str">
        <f t="shared" si="2"/>
        <v>XA. PARTIDO ECOLOGISTA VERDE</v>
      </c>
      <c r="D15" s="1" t="str">
        <f>"12. CONSUELO CONEJAN BRITO (M)"</f>
        <v>12. CONSUELO CONEJAN BRITO (M)</v>
      </c>
      <c r="E15" s="1" t="str">
        <f t="shared" si="3"/>
        <v>PEV</v>
      </c>
      <c r="F15" s="1" t="str">
        <f>"289"</f>
        <v>289</v>
      </c>
      <c r="G15" s="1">
        <v>0.74</v>
      </c>
      <c r="H15" s="1">
        <v>0</v>
      </c>
    </row>
    <row r="16" spans="1:8" x14ac:dyDescent="0.3">
      <c r="A16" t="s">
        <v>8</v>
      </c>
      <c r="B16">
        <v>13111</v>
      </c>
      <c r="C16" s="1" t="str">
        <f t="shared" si="2"/>
        <v>XA. PARTIDO ECOLOGISTA VERDE</v>
      </c>
      <c r="D16" s="1" t="str">
        <f>"13. CLAUDIO ROSELLO ARRIARAN (H)"</f>
        <v>13. CLAUDIO ROSELLO ARRIARAN (H)</v>
      </c>
      <c r="E16" s="1" t="str">
        <f t="shared" si="3"/>
        <v>PEV</v>
      </c>
      <c r="F16" s="1" t="str">
        <f>"182"</f>
        <v>182</v>
      </c>
      <c r="G16" s="1">
        <v>0.47000000000000003</v>
      </c>
      <c r="H16" s="1">
        <v>0</v>
      </c>
    </row>
    <row r="17" spans="1:8" x14ac:dyDescent="0.3">
      <c r="A17" t="s">
        <v>8</v>
      </c>
      <c r="B17">
        <v>13111</v>
      </c>
      <c r="C17" s="1" t="str">
        <f>"XP. VAMOS POR CHILE"</f>
        <v>XP. VAMOS POR CHILE</v>
      </c>
      <c r="E17" s="1" t="str">
        <f>""</f>
        <v/>
      </c>
      <c r="F17" s="1" t="str">
        <f>"3.244"</f>
        <v>3.244</v>
      </c>
      <c r="G17" s="1">
        <v>8.3000000000000007</v>
      </c>
      <c r="H17" s="1"/>
    </row>
    <row r="18" spans="1:8" x14ac:dyDescent="0.3">
      <c r="A18" t="s">
        <v>8</v>
      </c>
      <c r="B18">
        <v>13111</v>
      </c>
      <c r="C18" s="1" t="str">
        <f t="shared" ref="C18:C25" si="4">"XP. VAMOS POR CHILE"</f>
        <v>XP. VAMOS POR CHILE</v>
      </c>
      <c r="D18" s="1" t="str">
        <f>"14. SYLVIA EYZAGUIRRE TAFRA (M)"</f>
        <v>14. SYLVIA EYZAGUIRRE TAFRA (M)</v>
      </c>
      <c r="E18" s="1" t="str">
        <f>"IND-RN"</f>
        <v>IND-RN</v>
      </c>
      <c r="F18" s="1" t="str">
        <f>"193"</f>
        <v>193</v>
      </c>
      <c r="G18" s="1">
        <v>0.49</v>
      </c>
      <c r="H18" s="1">
        <v>0</v>
      </c>
    </row>
    <row r="19" spans="1:8" x14ac:dyDescent="0.3">
      <c r="A19" t="s">
        <v>8</v>
      </c>
      <c r="B19">
        <v>13111</v>
      </c>
      <c r="C19" s="1" t="str">
        <f t="shared" si="4"/>
        <v>XP. VAMOS POR CHILE</v>
      </c>
      <c r="D19" s="1" t="str">
        <f>"15. CRISTIAN MONCKEBERG BRUNER (H)"</f>
        <v>15. CRISTIAN MONCKEBERG BRUNER (H)</v>
      </c>
      <c r="E19" s="1" t="str">
        <f>"RN"</f>
        <v>RN</v>
      </c>
      <c r="F19" s="1" t="str">
        <f>"763"</f>
        <v>763</v>
      </c>
      <c r="G19" s="1">
        <v>1.95</v>
      </c>
      <c r="H19" s="1">
        <v>1</v>
      </c>
    </row>
    <row r="20" spans="1:8" x14ac:dyDescent="0.3">
      <c r="A20" t="s">
        <v>8</v>
      </c>
      <c r="B20">
        <v>13111</v>
      </c>
      <c r="C20" s="1" t="str">
        <f t="shared" si="4"/>
        <v>XP. VAMOS POR CHILE</v>
      </c>
      <c r="D20" s="1" t="str">
        <f>"16. TERESA MARINOVIC VIAL (M)"</f>
        <v>16. TERESA MARINOVIC VIAL (M)</v>
      </c>
      <c r="E20" s="1" t="str">
        <f>"IND-RN"</f>
        <v>IND-RN</v>
      </c>
      <c r="F20" s="1" t="str">
        <f>"1.382"</f>
        <v>1.382</v>
      </c>
      <c r="G20" s="1">
        <v>3.54</v>
      </c>
      <c r="H20" s="1">
        <v>1</v>
      </c>
    </row>
    <row r="21" spans="1:8" x14ac:dyDescent="0.3">
      <c r="A21" t="s">
        <v>8</v>
      </c>
      <c r="B21">
        <v>13111</v>
      </c>
      <c r="C21" s="1" t="str">
        <f t="shared" si="4"/>
        <v>XP. VAMOS POR CHILE</v>
      </c>
      <c r="D21" s="1" t="str">
        <f>"17. DIEGO RIVEAUX MARCET (H)"</f>
        <v>17. DIEGO RIVEAUX MARCET (H)</v>
      </c>
      <c r="E21" s="1" t="str">
        <f>"UDI"</f>
        <v>UDI</v>
      </c>
      <c r="F21" s="1" t="str">
        <f>"105"</f>
        <v>105</v>
      </c>
      <c r="G21" s="1">
        <v>0.27</v>
      </c>
      <c r="H21" s="1">
        <v>0</v>
      </c>
    </row>
    <row r="22" spans="1:8" ht="28.8" x14ac:dyDescent="0.3">
      <c r="A22" t="s">
        <v>8</v>
      </c>
      <c r="B22">
        <v>13111</v>
      </c>
      <c r="C22" s="1" t="str">
        <f t="shared" si="4"/>
        <v>XP. VAMOS POR CHILE</v>
      </c>
      <c r="D22" s="1" t="str">
        <f>"18. MARIA MACARENA LETELIER VELASCO (M)"</f>
        <v>18. MARIA MACARENA LETELIER VELASCO (M)</v>
      </c>
      <c r="E22" s="1" t="str">
        <f>"IND-UDI"</f>
        <v>IND-UDI</v>
      </c>
      <c r="F22" s="1" t="str">
        <f>"165"</f>
        <v>165</v>
      </c>
      <c r="G22" s="1">
        <v>0.42</v>
      </c>
      <c r="H22" s="1">
        <v>0</v>
      </c>
    </row>
    <row r="23" spans="1:8" x14ac:dyDescent="0.3">
      <c r="A23" t="s">
        <v>8</v>
      </c>
      <c r="B23">
        <v>13111</v>
      </c>
      <c r="C23" s="1" t="str">
        <f t="shared" si="4"/>
        <v>XP. VAMOS POR CHILE</v>
      </c>
      <c r="D23" s="1" t="str">
        <f>"19. JAIME FLORES SIERRALTA (H)"</f>
        <v>19. JAIME FLORES SIERRALTA (H)</v>
      </c>
      <c r="E23" s="1" t="str">
        <f>"UDI"</f>
        <v>UDI</v>
      </c>
      <c r="F23" s="1" t="str">
        <f>"89"</f>
        <v>89</v>
      </c>
      <c r="G23" s="1">
        <v>0.22999999999999998</v>
      </c>
      <c r="H23" s="1">
        <v>0</v>
      </c>
    </row>
    <row r="24" spans="1:8" ht="28.8" x14ac:dyDescent="0.3">
      <c r="A24" t="s">
        <v>8</v>
      </c>
      <c r="B24">
        <v>13111</v>
      </c>
      <c r="C24" s="1" t="str">
        <f t="shared" si="4"/>
        <v>XP. VAMOS POR CHILE</v>
      </c>
      <c r="D24" s="1" t="str">
        <f>"20. PAULINA ANDREA LOBOS HERRERA (M)"</f>
        <v>20. PAULINA ANDREA LOBOS HERRERA (M)</v>
      </c>
      <c r="E24" s="1" t="str">
        <f>"EVOPOLI"</f>
        <v>EVOPOLI</v>
      </c>
      <c r="F24" s="1" t="str">
        <f>"100"</f>
        <v>100</v>
      </c>
      <c r="G24" s="1">
        <v>0.26</v>
      </c>
      <c r="H24" s="1">
        <v>0</v>
      </c>
    </row>
    <row r="25" spans="1:8" ht="28.8" x14ac:dyDescent="0.3">
      <c r="A25" t="s">
        <v>8</v>
      </c>
      <c r="B25">
        <v>13111</v>
      </c>
      <c r="C25" s="1" t="str">
        <f t="shared" si="4"/>
        <v>XP. VAMOS POR CHILE</v>
      </c>
      <c r="D25" s="1" t="str">
        <f>"21. GONZALO FERNANDO BLUMEL MAC-IVER (H)"</f>
        <v>21. GONZALO FERNANDO BLUMEL MAC-IVER (H)</v>
      </c>
      <c r="E25" s="1" t="str">
        <f>"EVOPOLI"</f>
        <v>EVOPOLI</v>
      </c>
      <c r="F25" s="1" t="str">
        <f>"447"</f>
        <v>447</v>
      </c>
      <c r="G25" s="1">
        <v>1.1400000000000001</v>
      </c>
      <c r="H25" s="1">
        <v>0</v>
      </c>
    </row>
    <row r="26" spans="1:8" x14ac:dyDescent="0.3">
      <c r="A26" t="s">
        <v>8</v>
      </c>
      <c r="B26">
        <v>13111</v>
      </c>
      <c r="C26" s="1" t="str">
        <f>"YB. LISTA DEL APRUEBO"</f>
        <v>YB. LISTA DEL APRUEBO</v>
      </c>
      <c r="E26" s="1" t="str">
        <f>""</f>
        <v/>
      </c>
      <c r="F26" s="1" t="str">
        <f>"6.703"</f>
        <v>6.703</v>
      </c>
      <c r="G26" s="1">
        <v>17.150000000000002</v>
      </c>
      <c r="H26" s="1"/>
    </row>
    <row r="27" spans="1:8" x14ac:dyDescent="0.3">
      <c r="A27" t="s">
        <v>8</v>
      </c>
      <c r="B27">
        <v>13111</v>
      </c>
      <c r="C27" s="1" t="str">
        <f t="shared" ref="C27:C34" si="5">"YB. LISTA DEL APRUEBO"</f>
        <v>YB. LISTA DEL APRUEBO</v>
      </c>
      <c r="D27" s="1" t="str">
        <f>"22. LAURA ALBORNOZ POLLMANN (M)"</f>
        <v>22. LAURA ALBORNOZ POLLMANN (M)</v>
      </c>
      <c r="E27" s="1" t="str">
        <f>"PDC"</f>
        <v>PDC</v>
      </c>
      <c r="F27" s="1" t="str">
        <f>"2.043"</f>
        <v>2.043</v>
      </c>
      <c r="G27" s="1">
        <v>5.2299999999999995</v>
      </c>
      <c r="H27" s="1">
        <v>0</v>
      </c>
    </row>
    <row r="28" spans="1:8" x14ac:dyDescent="0.3">
      <c r="A28" t="s">
        <v>8</v>
      </c>
      <c r="B28">
        <v>13111</v>
      </c>
      <c r="C28" s="1" t="str">
        <f t="shared" si="5"/>
        <v>YB. LISTA DEL APRUEBO</v>
      </c>
      <c r="D28" s="1" t="str">
        <f>"23. JORGE BARADIT MORALES (H)"</f>
        <v>23. JORGE BARADIT MORALES (H)</v>
      </c>
      <c r="E28" s="1" t="str">
        <f>"IND-PS"</f>
        <v>IND-PS</v>
      </c>
      <c r="F28" s="1" t="str">
        <f>"2.584"</f>
        <v>2.584</v>
      </c>
      <c r="G28" s="1">
        <v>6.61</v>
      </c>
      <c r="H28" s="1">
        <v>1</v>
      </c>
    </row>
    <row r="29" spans="1:8" x14ac:dyDescent="0.3">
      <c r="A29" t="s">
        <v>8</v>
      </c>
      <c r="B29">
        <v>13111</v>
      </c>
      <c r="C29" s="1" t="str">
        <f t="shared" si="5"/>
        <v>YB. LISTA DEL APRUEBO</v>
      </c>
      <c r="D29" s="1" t="str">
        <f>"24. CATALINA LAGOS TSCHORNE (M)"</f>
        <v>24. CATALINA LAGOS TSCHORNE (M)</v>
      </c>
      <c r="E29" s="1" t="str">
        <f>"PS"</f>
        <v>PS</v>
      </c>
      <c r="F29" s="1" t="str">
        <f>"426"</f>
        <v>426</v>
      </c>
      <c r="G29" s="1">
        <v>1.0900000000000001</v>
      </c>
      <c r="H29" s="1">
        <v>0</v>
      </c>
    </row>
    <row r="30" spans="1:8" x14ac:dyDescent="0.3">
      <c r="A30" t="s">
        <v>8</v>
      </c>
      <c r="B30">
        <v>13111</v>
      </c>
      <c r="C30" s="1" t="str">
        <f t="shared" si="5"/>
        <v>YB. LISTA DEL APRUEBO</v>
      </c>
      <c r="D30" s="1" t="str">
        <f>"25. DARWIN LORETO JOHNS (H)"</f>
        <v>25. DARWIN LORETO JOHNS (H)</v>
      </c>
      <c r="E30" s="1" t="str">
        <f>"IND-PL"</f>
        <v>IND-PL</v>
      </c>
      <c r="F30" s="1" t="str">
        <f>"138"</f>
        <v>138</v>
      </c>
      <c r="G30" s="1">
        <v>0.35000000000000003</v>
      </c>
      <c r="H30" s="1">
        <v>0</v>
      </c>
    </row>
    <row r="31" spans="1:8" x14ac:dyDescent="0.3">
      <c r="A31" t="s">
        <v>8</v>
      </c>
      <c r="B31">
        <v>13111</v>
      </c>
      <c r="C31" s="1" t="str">
        <f t="shared" si="5"/>
        <v>YB. LISTA DEL APRUEBO</v>
      </c>
      <c r="D31" s="1" t="str">
        <f>"26. LUCIA LOPEZ GUERRA (M)"</f>
        <v>26. LUCIA LOPEZ GUERRA (M)</v>
      </c>
      <c r="E31" s="1" t="str">
        <f>"IND-PPD"</f>
        <v>IND-PPD</v>
      </c>
      <c r="F31" s="1" t="str">
        <f>"685"</f>
        <v>685</v>
      </c>
      <c r="G31" s="1">
        <v>1.7500000000000002</v>
      </c>
      <c r="H31" s="1">
        <v>0</v>
      </c>
    </row>
    <row r="32" spans="1:8" x14ac:dyDescent="0.3">
      <c r="A32" t="s">
        <v>8</v>
      </c>
      <c r="B32">
        <v>13111</v>
      </c>
      <c r="C32" s="1" t="str">
        <f t="shared" si="5"/>
        <v>YB. LISTA DEL APRUEBO</v>
      </c>
      <c r="D32" s="1" t="str">
        <f>"27. JAIME PARADA HOYL (H)"</f>
        <v>27. JAIME PARADA HOYL (H)</v>
      </c>
      <c r="E32" s="1" t="str">
        <f>"IND-PPD"</f>
        <v>IND-PPD</v>
      </c>
      <c r="F32" s="1" t="str">
        <f>"200"</f>
        <v>200</v>
      </c>
      <c r="G32" s="1">
        <v>0.51</v>
      </c>
      <c r="H32" s="1">
        <v>0</v>
      </c>
    </row>
    <row r="33" spans="1:8" ht="28.8" x14ac:dyDescent="0.3">
      <c r="A33" t="s">
        <v>8</v>
      </c>
      <c r="B33">
        <v>13111</v>
      </c>
      <c r="C33" s="1" t="str">
        <f t="shared" si="5"/>
        <v>YB. LISTA DEL APRUEBO</v>
      </c>
      <c r="D33" s="1" t="str">
        <f>"28. CAROLINA VANESSA PARRAGUEZ PIÑA (M)"</f>
        <v>28. CAROLINA VANESSA PARRAGUEZ PIÑA (M)</v>
      </c>
      <c r="E33" s="1" t="str">
        <f>"IND-PL"</f>
        <v>IND-PL</v>
      </c>
      <c r="F33" s="1" t="str">
        <f>"267"</f>
        <v>267</v>
      </c>
      <c r="G33" s="1">
        <v>0.67999999999999994</v>
      </c>
      <c r="H33" s="1">
        <v>0</v>
      </c>
    </row>
    <row r="34" spans="1:8" x14ac:dyDescent="0.3">
      <c r="A34" t="s">
        <v>8</v>
      </c>
      <c r="B34">
        <v>13111</v>
      </c>
      <c r="C34" s="1" t="str">
        <f t="shared" si="5"/>
        <v>YB. LISTA DEL APRUEBO</v>
      </c>
      <c r="D34" s="1" t="str">
        <f>"29. PATRICIO ZAPATA LARRAIN (H)"</f>
        <v>29. PATRICIO ZAPATA LARRAIN (H)</v>
      </c>
      <c r="E34" s="1" t="str">
        <f>"PDC"</f>
        <v>PDC</v>
      </c>
      <c r="F34" s="1" t="str">
        <f>"360"</f>
        <v>360</v>
      </c>
      <c r="G34" s="1">
        <v>0.91999999999999993</v>
      </c>
      <c r="H34" s="1">
        <v>0</v>
      </c>
    </row>
    <row r="35" spans="1:8" x14ac:dyDescent="0.3">
      <c r="A35" t="s">
        <v>8</v>
      </c>
      <c r="B35">
        <v>13111</v>
      </c>
      <c r="C35" s="1" t="str">
        <f>"YQ. APRUEBO DIGNIDAD"</f>
        <v>YQ. APRUEBO DIGNIDAD</v>
      </c>
      <c r="E35" s="1" t="str">
        <f>""</f>
        <v/>
      </c>
      <c r="F35" s="1" t="str">
        <f>"6.459"</f>
        <v>6.459</v>
      </c>
      <c r="G35" s="1">
        <v>16.53</v>
      </c>
      <c r="H35" s="1"/>
    </row>
    <row r="36" spans="1:8" ht="28.8" x14ac:dyDescent="0.3">
      <c r="A36" t="s">
        <v>8</v>
      </c>
      <c r="B36">
        <v>13111</v>
      </c>
      <c r="C36" s="1" t="str">
        <f t="shared" ref="C36:C43" si="6">"YQ. APRUEBO DIGNIDAD"</f>
        <v>YQ. APRUEBO DIGNIDAD</v>
      </c>
      <c r="D36" s="1" t="str">
        <f>"30. ALEJANDRA DEL PILAR JIMENEZ CASTRO (M)"</f>
        <v>30. ALEJANDRA DEL PILAR JIMENEZ CASTRO (M)</v>
      </c>
      <c r="E36" s="1" t="str">
        <f>"PCCH"</f>
        <v>PCCH</v>
      </c>
      <c r="F36" s="1" t="str">
        <f>"1.126"</f>
        <v>1.126</v>
      </c>
      <c r="G36" s="1">
        <v>2.88</v>
      </c>
      <c r="H36" s="1">
        <v>0</v>
      </c>
    </row>
    <row r="37" spans="1:8" x14ac:dyDescent="0.3">
      <c r="A37" t="s">
        <v>8</v>
      </c>
      <c r="B37">
        <v>13111</v>
      </c>
      <c r="C37" s="1" t="str">
        <f t="shared" si="6"/>
        <v>YQ. APRUEBO DIGNIDAD</v>
      </c>
      <c r="D37" s="1" t="str">
        <f>"31. FERNANDO ATRIA LEMAITRE (H)"</f>
        <v>31. FERNANDO ATRIA LEMAITRE (H)</v>
      </c>
      <c r="E37" s="1" t="str">
        <f>"IND-RD"</f>
        <v>IND-RD</v>
      </c>
      <c r="F37" s="1" t="str">
        <f>"2.821"</f>
        <v>2.821</v>
      </c>
      <c r="G37" s="1">
        <v>7.22</v>
      </c>
      <c r="H37" s="1">
        <v>1</v>
      </c>
    </row>
    <row r="38" spans="1:8" x14ac:dyDescent="0.3">
      <c r="A38" t="s">
        <v>8</v>
      </c>
      <c r="B38">
        <v>13111</v>
      </c>
      <c r="C38" s="1" t="str">
        <f t="shared" si="6"/>
        <v>YQ. APRUEBO DIGNIDAD</v>
      </c>
      <c r="D38" s="1" t="str">
        <f>"32. GIOVANNA ANGELA ROA CADIN (M)"</f>
        <v>32. GIOVANNA ANGELA ROA CADIN (M)</v>
      </c>
      <c r="E38" s="1" t="str">
        <f>"RD"</f>
        <v>RD</v>
      </c>
      <c r="F38" s="1" t="str">
        <f>"311"</f>
        <v>311</v>
      </c>
      <c r="G38" s="1">
        <v>0.8</v>
      </c>
      <c r="H38" s="1">
        <v>1</v>
      </c>
    </row>
    <row r="39" spans="1:8" x14ac:dyDescent="0.3">
      <c r="A39" t="s">
        <v>8</v>
      </c>
      <c r="B39">
        <v>13111</v>
      </c>
      <c r="C39" s="1" t="str">
        <f t="shared" si="6"/>
        <v>YQ. APRUEBO DIGNIDAD</v>
      </c>
      <c r="D39" s="1" t="str">
        <f>"33. PABLO GABRIEL SELLES FERRES (H)"</f>
        <v>33. PABLO GABRIEL SELLES FERRES (H)</v>
      </c>
      <c r="E39" s="1" t="str">
        <f>"CONVER."</f>
        <v>CONVER.</v>
      </c>
      <c r="F39" s="1" t="str">
        <f>"448"</f>
        <v>448</v>
      </c>
      <c r="G39" s="1">
        <v>1.1499999999999999</v>
      </c>
      <c r="H39" s="1">
        <v>0</v>
      </c>
    </row>
    <row r="40" spans="1:8" ht="28.8" x14ac:dyDescent="0.3">
      <c r="A40" t="s">
        <v>8</v>
      </c>
      <c r="B40">
        <v>13111</v>
      </c>
      <c r="C40" s="1" t="str">
        <f t="shared" si="6"/>
        <v>YQ. APRUEBO DIGNIDAD</v>
      </c>
      <c r="D40" s="1" t="str">
        <f>"34. ANTONIA COSMICA ORELLANA GUARELLO (M)"</f>
        <v>34. ANTONIA COSMICA ORELLANA GUARELLO (M)</v>
      </c>
      <c r="E40" s="1" t="str">
        <f>"CONVER."</f>
        <v>CONVER.</v>
      </c>
      <c r="F40" s="1" t="str">
        <f>"635"</f>
        <v>635</v>
      </c>
      <c r="G40" s="1">
        <v>1.6199999999999999</v>
      </c>
      <c r="H40" s="1">
        <v>0</v>
      </c>
    </row>
    <row r="41" spans="1:8" ht="28.8" x14ac:dyDescent="0.3">
      <c r="A41" t="s">
        <v>8</v>
      </c>
      <c r="B41">
        <v>13111</v>
      </c>
      <c r="C41" s="1" t="str">
        <f t="shared" si="6"/>
        <v>YQ. APRUEBO DIGNIDAD</v>
      </c>
      <c r="D41" s="1" t="str">
        <f>"35. RAFAEL HUMBERTO HARVEY VALDES (H)"</f>
        <v>35. RAFAEL HUMBERTO HARVEY VALDES (H)</v>
      </c>
      <c r="E41" s="1" t="str">
        <f>"IND-FREVS"</f>
        <v>IND-FREVS</v>
      </c>
      <c r="F41" s="1" t="str">
        <f>"194"</f>
        <v>194</v>
      </c>
      <c r="G41" s="1">
        <v>0.5</v>
      </c>
      <c r="H41" s="1">
        <v>0</v>
      </c>
    </row>
    <row r="42" spans="1:8" x14ac:dyDescent="0.3">
      <c r="A42" t="s">
        <v>8</v>
      </c>
      <c r="B42">
        <v>13111</v>
      </c>
      <c r="C42" s="1" t="str">
        <f t="shared" si="6"/>
        <v>YQ. APRUEBO DIGNIDAD</v>
      </c>
      <c r="D42" s="1" t="str">
        <f>"36. EMILIA SCHNEIDER VIDELA (M)"</f>
        <v>36. EMILIA SCHNEIDER VIDELA (M)</v>
      </c>
      <c r="E42" s="1" t="str">
        <f>"COMUNES"</f>
        <v>COMUNES</v>
      </c>
      <c r="F42" s="1" t="str">
        <f>"737"</f>
        <v>737</v>
      </c>
      <c r="G42" s="1">
        <v>1.8900000000000001</v>
      </c>
      <c r="H42" s="1">
        <v>0</v>
      </c>
    </row>
    <row r="43" spans="1:8" ht="28.8" x14ac:dyDescent="0.3">
      <c r="A43" t="s">
        <v>8</v>
      </c>
      <c r="B43">
        <v>13111</v>
      </c>
      <c r="C43" s="1" t="str">
        <f t="shared" si="6"/>
        <v>YQ. APRUEBO DIGNIDAD</v>
      </c>
      <c r="D43" s="1" t="str">
        <f>"37. CARLOS EDUARDO RUIZ ENCINA (H)"</f>
        <v>37. CARLOS EDUARDO RUIZ ENCINA (H)</v>
      </c>
      <c r="E43" s="1" t="str">
        <f>"IND-COMUNES"</f>
        <v>IND-COMUNES</v>
      </c>
      <c r="F43" s="1" t="str">
        <f>"187"</f>
        <v>187</v>
      </c>
      <c r="G43" s="1">
        <v>0.48</v>
      </c>
      <c r="H43" s="1">
        <v>0</v>
      </c>
    </row>
    <row r="44" spans="1:8" x14ac:dyDescent="0.3">
      <c r="A44" t="s">
        <v>8</v>
      </c>
      <c r="B44">
        <v>13111</v>
      </c>
      <c r="C44" s="1" t="str">
        <f>"ZB. UNION PATRIOTICA"</f>
        <v>ZB. UNION PATRIOTICA</v>
      </c>
      <c r="E44" s="1" t="str">
        <f>""</f>
        <v/>
      </c>
      <c r="F44" s="1" t="str">
        <f>"391"</f>
        <v>391</v>
      </c>
      <c r="G44" s="1">
        <v>1</v>
      </c>
      <c r="H44" s="1"/>
    </row>
    <row r="45" spans="1:8" x14ac:dyDescent="0.3">
      <c r="A45" t="s">
        <v>8</v>
      </c>
      <c r="B45">
        <v>13111</v>
      </c>
      <c r="C45" s="1" t="str">
        <f t="shared" ref="C45:C52" si="7">"ZB. UNION PATRIOTICA"</f>
        <v>ZB. UNION PATRIOTICA</v>
      </c>
      <c r="D45" s="1" t="str">
        <f>"38. SOFIA ANNEKE LARA GARRIDO (M)"</f>
        <v>38. SOFIA ANNEKE LARA GARRIDO (M)</v>
      </c>
      <c r="E45" s="1" t="str">
        <f t="shared" ref="E45:E52" si="8">"UPA"</f>
        <v>UPA</v>
      </c>
      <c r="F45" s="1" t="str">
        <f>"101"</f>
        <v>101</v>
      </c>
      <c r="G45" s="1">
        <v>0.26</v>
      </c>
      <c r="H45" s="1">
        <v>0</v>
      </c>
    </row>
    <row r="46" spans="1:8" ht="28.8" x14ac:dyDescent="0.3">
      <c r="A46" t="s">
        <v>8</v>
      </c>
      <c r="B46">
        <v>13111</v>
      </c>
      <c r="C46" s="1" t="str">
        <f t="shared" si="7"/>
        <v>ZB. UNION PATRIOTICA</v>
      </c>
      <c r="D46" s="1" t="str">
        <f>"39. JUAN PABLO MIGUEL SOTO VALDIVIA (H)"</f>
        <v>39. JUAN PABLO MIGUEL SOTO VALDIVIA (H)</v>
      </c>
      <c r="E46" s="1" t="str">
        <f t="shared" si="8"/>
        <v>UPA</v>
      </c>
      <c r="F46" s="1" t="str">
        <f>"38"</f>
        <v>38</v>
      </c>
      <c r="G46" s="1">
        <v>0.1</v>
      </c>
      <c r="H46" s="1">
        <v>0</v>
      </c>
    </row>
    <row r="47" spans="1:8" ht="28.8" x14ac:dyDescent="0.3">
      <c r="A47" t="s">
        <v>8</v>
      </c>
      <c r="B47">
        <v>13111</v>
      </c>
      <c r="C47" s="1" t="str">
        <f t="shared" si="7"/>
        <v>ZB. UNION PATRIOTICA</v>
      </c>
      <c r="D47" s="1" t="str">
        <f>"40. VALENTINA VARGAS LOWICK-RUSSELL (M)"</f>
        <v>40. VALENTINA VARGAS LOWICK-RUSSELL (M)</v>
      </c>
      <c r="E47" s="1" t="str">
        <f t="shared" si="8"/>
        <v>UPA</v>
      </c>
      <c r="F47" s="1" t="str">
        <f>"51"</f>
        <v>51</v>
      </c>
      <c r="G47" s="1">
        <v>0.13</v>
      </c>
      <c r="H47" s="1">
        <v>0</v>
      </c>
    </row>
    <row r="48" spans="1:8" ht="28.8" x14ac:dyDescent="0.3">
      <c r="A48" t="s">
        <v>8</v>
      </c>
      <c r="B48">
        <v>13111</v>
      </c>
      <c r="C48" s="1" t="str">
        <f t="shared" si="7"/>
        <v>ZB. UNION PATRIOTICA</v>
      </c>
      <c r="D48" s="1" t="str">
        <f>"41. HECTOR LEONARDO ARAVENA PEREZ (H)"</f>
        <v>41. HECTOR LEONARDO ARAVENA PEREZ (H)</v>
      </c>
      <c r="E48" s="1" t="str">
        <f t="shared" si="8"/>
        <v>UPA</v>
      </c>
      <c r="F48" s="1" t="str">
        <f>"80"</f>
        <v>80</v>
      </c>
      <c r="G48" s="1">
        <v>0.2</v>
      </c>
      <c r="H48" s="1">
        <v>0</v>
      </c>
    </row>
    <row r="49" spans="1:8" x14ac:dyDescent="0.3">
      <c r="A49" t="s">
        <v>8</v>
      </c>
      <c r="B49">
        <v>13111</v>
      </c>
      <c r="C49" s="1" t="str">
        <f t="shared" si="7"/>
        <v>ZB. UNION PATRIOTICA</v>
      </c>
      <c r="D49" s="1" t="str">
        <f>"42. NICOLL ADRIANA ROJAS LABRA (M)"</f>
        <v>42. NICOLL ADRIANA ROJAS LABRA (M)</v>
      </c>
      <c r="E49" s="1" t="str">
        <f t="shared" si="8"/>
        <v>UPA</v>
      </c>
      <c r="F49" s="1" t="str">
        <f>"35"</f>
        <v>35</v>
      </c>
      <c r="G49" s="1">
        <v>0.09</v>
      </c>
      <c r="H49" s="1">
        <v>0</v>
      </c>
    </row>
    <row r="50" spans="1:8" ht="28.8" x14ac:dyDescent="0.3">
      <c r="A50" t="s">
        <v>8</v>
      </c>
      <c r="B50">
        <v>13111</v>
      </c>
      <c r="C50" s="1" t="str">
        <f t="shared" si="7"/>
        <v>ZB. UNION PATRIOTICA</v>
      </c>
      <c r="D50" s="1" t="str">
        <f>"43. JOSUE ALBERT ORMAZABAL MORALES (H)"</f>
        <v>43. JOSUE ALBERT ORMAZABAL MORALES (H)</v>
      </c>
      <c r="E50" s="1" t="str">
        <f t="shared" si="8"/>
        <v>UPA</v>
      </c>
      <c r="F50" s="1" t="str">
        <f>"32"</f>
        <v>32</v>
      </c>
      <c r="G50" s="1">
        <v>0.08</v>
      </c>
      <c r="H50" s="1">
        <v>0</v>
      </c>
    </row>
    <row r="51" spans="1:8" ht="28.8" x14ac:dyDescent="0.3">
      <c r="A51" t="s">
        <v>8</v>
      </c>
      <c r="B51">
        <v>13111</v>
      </c>
      <c r="C51" s="1" t="str">
        <f t="shared" si="7"/>
        <v>ZB. UNION PATRIOTICA</v>
      </c>
      <c r="D51" s="1" t="str">
        <f>"44. CARMEN VERONICA CONTRERAS AROS (M)"</f>
        <v>44. CARMEN VERONICA CONTRERAS AROS (M)</v>
      </c>
      <c r="E51" s="1" t="str">
        <f t="shared" si="8"/>
        <v>UPA</v>
      </c>
      <c r="F51" s="1" t="str">
        <f>"25"</f>
        <v>25</v>
      </c>
      <c r="G51" s="1">
        <v>0.06</v>
      </c>
      <c r="H51" s="1">
        <v>0</v>
      </c>
    </row>
    <row r="52" spans="1:8" x14ac:dyDescent="0.3">
      <c r="A52" t="s">
        <v>8</v>
      </c>
      <c r="B52">
        <v>13111</v>
      </c>
      <c r="C52" s="1" t="str">
        <f t="shared" si="7"/>
        <v>ZB. UNION PATRIOTICA</v>
      </c>
      <c r="D52" s="1" t="str">
        <f>"45. JOSE ALBARO MORALES MORALES (H)"</f>
        <v>45. JOSE ALBARO MORALES MORALES (H)</v>
      </c>
      <c r="E52" s="1" t="str">
        <f t="shared" si="8"/>
        <v>UPA</v>
      </c>
      <c r="F52" s="1" t="str">
        <f>"29"</f>
        <v>29</v>
      </c>
      <c r="G52" s="1">
        <v>6.9999999999999993E-2</v>
      </c>
      <c r="H52" s="1">
        <v>0</v>
      </c>
    </row>
    <row r="53" spans="1:8" x14ac:dyDescent="0.3">
      <c r="A53" t="s">
        <v>8</v>
      </c>
      <c r="B53">
        <v>13111</v>
      </c>
      <c r="C53" s="1" t="str">
        <f>"ZL. MOVIMIENTOS SOCIALES : UNIDAD DE INDEPENDIENTES (D10)"</f>
        <v>ZL. MOVIMIENTOS SOCIALES : UNIDAD DE INDEPENDIENTES (D10)</v>
      </c>
      <c r="E53" s="1" t="str">
        <f>""</f>
        <v/>
      </c>
      <c r="F53" s="1" t="str">
        <f>"3.962"</f>
        <v>3.962</v>
      </c>
      <c r="G53" s="1">
        <v>10.14</v>
      </c>
      <c r="H53" s="1"/>
    </row>
    <row r="54" spans="1:8" x14ac:dyDescent="0.3">
      <c r="A54" t="s">
        <v>8</v>
      </c>
      <c r="B54">
        <v>13111</v>
      </c>
      <c r="C54" s="1" t="str">
        <f t="shared" ref="C54:C61" si="9">"ZL. MOVIMIENTOS SOCIALES : UNIDAD DE INDEPENDIENTES (D10)"</f>
        <v>ZL. MOVIMIENTOS SOCIALES : UNIDAD DE INDEPENDIENTES (D10)</v>
      </c>
      <c r="D54" s="1" t="str">
        <f>"46. KARINA NATASHA NOHALES PEÑA (M)"</f>
        <v>46. KARINA NATASHA NOHALES PEÑA (M)</v>
      </c>
      <c r="E54" s="1" t="str">
        <f t="shared" ref="E54:E61" si="10">"IND"</f>
        <v>IND</v>
      </c>
      <c r="F54" s="1" t="str">
        <f>"1.154"</f>
        <v>1.154</v>
      </c>
      <c r="G54" s="1">
        <v>2.9499999999999997</v>
      </c>
      <c r="H54" s="1">
        <v>0</v>
      </c>
    </row>
    <row r="55" spans="1:8" x14ac:dyDescent="0.3">
      <c r="A55" t="s">
        <v>8</v>
      </c>
      <c r="B55">
        <v>13111</v>
      </c>
      <c r="C55" s="1" t="str">
        <f t="shared" si="9"/>
        <v>ZL. MOVIMIENTOS SOCIALES : UNIDAD DE INDEPENDIENTES (D10)</v>
      </c>
      <c r="D55" s="1" t="str">
        <f>"47. LUIS FERNANDO MESINA MARIN (H)"</f>
        <v>47. LUIS FERNANDO MESINA MARIN (H)</v>
      </c>
      <c r="E55" s="1" t="str">
        <f t="shared" si="10"/>
        <v>IND</v>
      </c>
      <c r="F55" s="1" t="str">
        <f>"1.546"</f>
        <v>1.546</v>
      </c>
      <c r="G55" s="1">
        <v>3.9600000000000004</v>
      </c>
      <c r="H55" s="1">
        <v>0</v>
      </c>
    </row>
    <row r="56" spans="1:8" x14ac:dyDescent="0.3">
      <c r="A56" t="s">
        <v>8</v>
      </c>
      <c r="B56">
        <v>13111</v>
      </c>
      <c r="C56" s="1" t="str">
        <f t="shared" si="9"/>
        <v>ZL. MOVIMIENTOS SOCIALES : UNIDAD DE INDEPENDIENTES (D10)</v>
      </c>
      <c r="D56" s="1" t="str">
        <f>"48. ANDREA GUTIERREZ VASQUEZ (M)"</f>
        <v>48. ANDREA GUTIERREZ VASQUEZ (M)</v>
      </c>
      <c r="E56" s="1" t="str">
        <f t="shared" si="10"/>
        <v>IND</v>
      </c>
      <c r="F56" s="1" t="str">
        <f>"369"</f>
        <v>369</v>
      </c>
      <c r="G56" s="1">
        <v>0.94000000000000006</v>
      </c>
      <c r="H56" s="1">
        <v>0</v>
      </c>
    </row>
    <row r="57" spans="1:8" ht="28.8" x14ac:dyDescent="0.3">
      <c r="A57" t="s">
        <v>8</v>
      </c>
      <c r="B57">
        <v>13111</v>
      </c>
      <c r="C57" s="1" t="str">
        <f t="shared" si="9"/>
        <v>ZL. MOVIMIENTOS SOCIALES : UNIDAD DE INDEPENDIENTES (D10)</v>
      </c>
      <c r="D57" s="1" t="str">
        <f>"49. MANUEL JESUS HIDALGO VALDIVIA (H)"</f>
        <v>49. MANUEL JESUS HIDALGO VALDIVIA (H)</v>
      </c>
      <c r="E57" s="1" t="str">
        <f t="shared" si="10"/>
        <v>IND</v>
      </c>
      <c r="F57" s="1" t="str">
        <f>"77"</f>
        <v>77</v>
      </c>
      <c r="G57" s="1">
        <v>0.2</v>
      </c>
      <c r="H57" s="1">
        <v>0</v>
      </c>
    </row>
    <row r="58" spans="1:8" x14ac:dyDescent="0.3">
      <c r="A58" t="s">
        <v>8</v>
      </c>
      <c r="B58">
        <v>13111</v>
      </c>
      <c r="C58" s="1" t="str">
        <f t="shared" si="9"/>
        <v>ZL. MOVIMIENTOS SOCIALES : UNIDAD DE INDEPENDIENTES (D10)</v>
      </c>
      <c r="D58" s="1" t="str">
        <f>"50. PIA FERNANDA MEZA ILABACA (M)"</f>
        <v>50. PIA FERNANDA MEZA ILABACA (M)</v>
      </c>
      <c r="E58" s="1" t="str">
        <f t="shared" si="10"/>
        <v>IND</v>
      </c>
      <c r="F58" s="1" t="str">
        <f>"117"</f>
        <v>117</v>
      </c>
      <c r="G58" s="1">
        <v>0.3</v>
      </c>
      <c r="H58" s="1">
        <v>0</v>
      </c>
    </row>
    <row r="59" spans="1:8" ht="28.8" x14ac:dyDescent="0.3">
      <c r="A59" t="s">
        <v>8</v>
      </c>
      <c r="B59">
        <v>13111</v>
      </c>
      <c r="C59" s="1" t="str">
        <f t="shared" si="9"/>
        <v>ZL. MOVIMIENTOS SOCIALES : UNIDAD DE INDEPENDIENTES (D10)</v>
      </c>
      <c r="D59" s="1" t="str">
        <f>"51. PABLO SALVADOR LUIS SEPULVEDA ALLENDE (H)"</f>
        <v>51. PABLO SALVADOR LUIS SEPULVEDA ALLENDE (H)</v>
      </c>
      <c r="E59" s="1" t="str">
        <f t="shared" si="10"/>
        <v>IND</v>
      </c>
      <c r="F59" s="1" t="str">
        <f>"235"</f>
        <v>235</v>
      </c>
      <c r="G59" s="1">
        <v>0.6</v>
      </c>
      <c r="H59" s="1">
        <v>0</v>
      </c>
    </row>
    <row r="60" spans="1:8" ht="28.8" x14ac:dyDescent="0.3">
      <c r="A60" t="s">
        <v>8</v>
      </c>
      <c r="B60">
        <v>13111</v>
      </c>
      <c r="C60" s="1" t="str">
        <f t="shared" si="9"/>
        <v>ZL. MOVIMIENTOS SOCIALES : UNIDAD DE INDEPENDIENTES (D10)</v>
      </c>
      <c r="D60" s="1" t="str">
        <f>"52. FRANCISCA FERNANDEZ DROGUETT (M)"</f>
        <v>52. FRANCISCA FERNANDEZ DROGUETT (M)</v>
      </c>
      <c r="E60" s="1" t="str">
        <f t="shared" si="10"/>
        <v>IND</v>
      </c>
      <c r="F60" s="1" t="str">
        <f>"216"</f>
        <v>216</v>
      </c>
      <c r="G60" s="1">
        <v>0.54999999999999993</v>
      </c>
      <c r="H60" s="1">
        <v>0</v>
      </c>
    </row>
    <row r="61" spans="1:8" x14ac:dyDescent="0.3">
      <c r="A61" t="s">
        <v>8</v>
      </c>
      <c r="B61">
        <v>13111</v>
      </c>
      <c r="C61" s="1" t="str">
        <f t="shared" si="9"/>
        <v>ZL. MOVIMIENTOS SOCIALES : UNIDAD DE INDEPENDIENTES (D10)</v>
      </c>
      <c r="D61" s="1" t="str">
        <f>"53. JAVIER NICOLAS PINEDA OLCAY (H)"</f>
        <v>53. JAVIER NICOLAS PINEDA OLCAY (H)</v>
      </c>
      <c r="E61" s="1" t="str">
        <f t="shared" si="10"/>
        <v>IND</v>
      </c>
      <c r="F61" s="1" t="str">
        <f>"248"</f>
        <v>248</v>
      </c>
      <c r="G61" s="1">
        <v>0.63</v>
      </c>
      <c r="H61" s="1">
        <v>0</v>
      </c>
    </row>
    <row r="62" spans="1:8" x14ac:dyDescent="0.3">
      <c r="A62" t="s">
        <v>8</v>
      </c>
      <c r="B62">
        <v>13111</v>
      </c>
      <c r="C62" s="1" t="str">
        <f>"ZN. LA LISTA DEL PUEBLO (D10)"</f>
        <v>ZN. LA LISTA DEL PUEBLO (D10)</v>
      </c>
      <c r="E62" s="1" t="str">
        <f>""</f>
        <v/>
      </c>
      <c r="F62" s="1" t="str">
        <f>"8.721"</f>
        <v>8.721</v>
      </c>
      <c r="G62" s="1">
        <v>22.31</v>
      </c>
      <c r="H62" s="1"/>
    </row>
    <row r="63" spans="1:8" ht="28.8" x14ac:dyDescent="0.3">
      <c r="A63" t="s">
        <v>8</v>
      </c>
      <c r="B63">
        <v>13111</v>
      </c>
      <c r="C63" s="1" t="str">
        <f t="shared" ref="C63:C70" si="11">"ZN. LA LISTA DEL PUEBLO (D10)"</f>
        <v>ZN. LA LISTA DEL PUEBLO (D10)</v>
      </c>
      <c r="D63" s="1" t="str">
        <f>"54. JUANA VERONICA MILLAL SANDOVAL (M)"</f>
        <v>54. JUANA VERONICA MILLAL SANDOVAL (M)</v>
      </c>
      <c r="E63" s="1" t="str">
        <f t="shared" ref="E63:E70" si="12">"IND"</f>
        <v>IND</v>
      </c>
      <c r="F63" s="1" t="str">
        <f>"2.106"</f>
        <v>2.106</v>
      </c>
      <c r="G63" s="1">
        <v>5.3900000000000006</v>
      </c>
      <c r="H63" s="1">
        <v>0</v>
      </c>
    </row>
    <row r="64" spans="1:8" ht="28.8" x14ac:dyDescent="0.3">
      <c r="A64" t="s">
        <v>8</v>
      </c>
      <c r="B64">
        <v>13111</v>
      </c>
      <c r="C64" s="1" t="str">
        <f t="shared" si="11"/>
        <v>ZN. LA LISTA DEL PUEBLO (D10)</v>
      </c>
      <c r="D64" s="1" t="str">
        <f>"55. MANUEL MAURICIO WOLDARSKY GONZALEZ (H)"</f>
        <v>55. MANUEL MAURICIO WOLDARSKY GONZALEZ (H)</v>
      </c>
      <c r="E64" s="1" t="str">
        <f t="shared" si="12"/>
        <v>IND</v>
      </c>
      <c r="F64" s="1" t="str">
        <f>"1.712"</f>
        <v>1.712</v>
      </c>
      <c r="G64" s="1">
        <v>4.38</v>
      </c>
      <c r="H64" s="1">
        <v>1</v>
      </c>
    </row>
    <row r="65" spans="1:8" ht="28.8" x14ac:dyDescent="0.3">
      <c r="A65" t="s">
        <v>8</v>
      </c>
      <c r="B65">
        <v>13111</v>
      </c>
      <c r="C65" s="1" t="str">
        <f t="shared" si="11"/>
        <v>ZN. LA LISTA DEL PUEBLO (D10)</v>
      </c>
      <c r="D65" s="1" t="str">
        <f>"56. PATRICIA STEFANIA NAVARRETE CORTES (M)"</f>
        <v>56. PATRICIA STEFANIA NAVARRETE CORTES (M)</v>
      </c>
      <c r="E65" s="1" t="str">
        <f t="shared" si="12"/>
        <v>IND</v>
      </c>
      <c r="F65" s="1" t="str">
        <f>"944"</f>
        <v>944</v>
      </c>
      <c r="G65" s="1">
        <v>2.42</v>
      </c>
      <c r="H65" s="1">
        <v>0</v>
      </c>
    </row>
    <row r="66" spans="1:8" ht="28.8" x14ac:dyDescent="0.3">
      <c r="A66" t="s">
        <v>8</v>
      </c>
      <c r="B66">
        <v>13111</v>
      </c>
      <c r="C66" s="1" t="str">
        <f t="shared" si="11"/>
        <v>ZN. LA LISTA DEL PUEBLO (D10)</v>
      </c>
      <c r="D66" s="1" t="str">
        <f>"57. ANDRES MATIAS SALDIAS SALGADO (H)"</f>
        <v>57. ANDRES MATIAS SALDIAS SALGADO (H)</v>
      </c>
      <c r="E66" s="1" t="str">
        <f t="shared" si="12"/>
        <v>IND</v>
      </c>
      <c r="F66" s="1" t="str">
        <f>"534"</f>
        <v>534</v>
      </c>
      <c r="G66" s="1">
        <v>1.37</v>
      </c>
      <c r="H66" s="1">
        <v>0</v>
      </c>
    </row>
    <row r="67" spans="1:8" ht="28.8" x14ac:dyDescent="0.3">
      <c r="A67" t="s">
        <v>8</v>
      </c>
      <c r="B67">
        <v>13111</v>
      </c>
      <c r="C67" s="1" t="str">
        <f t="shared" si="11"/>
        <v>ZN. LA LISTA DEL PUEBLO (D10)</v>
      </c>
      <c r="D67" s="1" t="str">
        <f>"58. PAULINA ALEJANDRA ACEVEDO MENANTEAU (M)"</f>
        <v>58. PAULINA ALEJANDRA ACEVEDO MENANTEAU (M)</v>
      </c>
      <c r="E67" s="1" t="str">
        <f t="shared" si="12"/>
        <v>IND</v>
      </c>
      <c r="F67" s="1" t="str">
        <f>"710"</f>
        <v>710</v>
      </c>
      <c r="G67" s="1">
        <v>1.82</v>
      </c>
      <c r="H67" s="1">
        <v>0</v>
      </c>
    </row>
    <row r="68" spans="1:8" ht="28.8" x14ac:dyDescent="0.3">
      <c r="A68" t="s">
        <v>8</v>
      </c>
      <c r="B68">
        <v>13111</v>
      </c>
      <c r="C68" s="1" t="str">
        <f t="shared" si="11"/>
        <v>ZN. LA LISTA DEL PUEBLO (D10)</v>
      </c>
      <c r="D68" s="1" t="str">
        <f>"59. ALEXIS CRISTOPHER GARRIDO NUÑEZ (H)"</f>
        <v>59. ALEXIS CRISTOPHER GARRIDO NUÑEZ (H)</v>
      </c>
      <c r="E68" s="1" t="str">
        <f t="shared" si="12"/>
        <v>IND</v>
      </c>
      <c r="F68" s="1" t="str">
        <f>"1.457"</f>
        <v>1.457</v>
      </c>
      <c r="G68" s="1">
        <v>3.73</v>
      </c>
      <c r="H68" s="1">
        <v>0</v>
      </c>
    </row>
    <row r="69" spans="1:8" ht="28.8" x14ac:dyDescent="0.3">
      <c r="A69" t="s">
        <v>8</v>
      </c>
      <c r="B69">
        <v>13111</v>
      </c>
      <c r="C69" s="1" t="str">
        <f t="shared" si="11"/>
        <v>ZN. LA LISTA DEL PUEBLO (D10)</v>
      </c>
      <c r="D69" s="1" t="str">
        <f>"60. VERONICA MILITZA GUZMAN QUILAQUEO (M)"</f>
        <v>60. VERONICA MILITZA GUZMAN QUILAQUEO (M)</v>
      </c>
      <c r="E69" s="1" t="str">
        <f t="shared" si="12"/>
        <v>IND</v>
      </c>
      <c r="F69" s="1" t="str">
        <f>"962"</f>
        <v>962</v>
      </c>
      <c r="G69" s="1">
        <v>2.46</v>
      </c>
      <c r="H69" s="1">
        <v>0</v>
      </c>
    </row>
    <row r="70" spans="1:8" ht="28.8" x14ac:dyDescent="0.3">
      <c r="A70" t="s">
        <v>8</v>
      </c>
      <c r="B70">
        <v>13111</v>
      </c>
      <c r="C70" s="1" t="str">
        <f t="shared" si="11"/>
        <v>ZN. LA LISTA DEL PUEBLO (D10)</v>
      </c>
      <c r="D70" s="1" t="str">
        <f>"61. DANIEL ISAIAS MARTINEZ BARRERA (H)"</f>
        <v>61. DANIEL ISAIAS MARTINEZ BARRERA (H)</v>
      </c>
      <c r="E70" s="1" t="str">
        <f t="shared" si="12"/>
        <v>IND</v>
      </c>
      <c r="F70" s="1" t="str">
        <f>"296"</f>
        <v>296</v>
      </c>
      <c r="G70" s="1">
        <v>0.76</v>
      </c>
      <c r="H70" s="1">
        <v>0</v>
      </c>
    </row>
    <row r="71" spans="1:8" x14ac:dyDescent="0.3">
      <c r="A71" t="s">
        <v>8</v>
      </c>
      <c r="B71">
        <v>13111</v>
      </c>
      <c r="C71" s="1" t="str">
        <f>"ZR. PARTIDO DE TRABAJADORES REVOLUCIONARIOS"</f>
        <v>ZR. PARTIDO DE TRABAJADORES REVOLUCIONARIOS</v>
      </c>
      <c r="E71" s="1" t="str">
        <f>""</f>
        <v/>
      </c>
      <c r="F71" s="1" t="str">
        <f>"932"</f>
        <v>932</v>
      </c>
      <c r="G71" s="1">
        <v>2.3800000000000003</v>
      </c>
      <c r="H71" s="1"/>
    </row>
    <row r="72" spans="1:8" ht="28.8" x14ac:dyDescent="0.3">
      <c r="A72" t="s">
        <v>8</v>
      </c>
      <c r="B72">
        <v>13111</v>
      </c>
      <c r="C72" s="1" t="str">
        <f t="shared" ref="C72:C79" si="13">"ZR. PARTIDO DE TRABAJADORES REVOLUCIONARIOS"</f>
        <v>ZR. PARTIDO DE TRABAJADORES REVOLUCIONARIOS</v>
      </c>
      <c r="D72" s="1" t="str">
        <f>"62. SUELY CILEIDI ARANCIBIA BENICIO (M)"</f>
        <v>62. SUELY CILEIDI ARANCIBIA BENICIO (M)</v>
      </c>
      <c r="E72" s="1" t="str">
        <f t="shared" ref="E72:E79" si="14">"PTR"</f>
        <v>PTR</v>
      </c>
      <c r="F72" s="1" t="str">
        <f>"182"</f>
        <v>182</v>
      </c>
      <c r="G72" s="1">
        <v>0.47000000000000003</v>
      </c>
      <c r="H72" s="1">
        <v>0</v>
      </c>
    </row>
    <row r="73" spans="1:8" x14ac:dyDescent="0.3">
      <c r="A73" t="s">
        <v>8</v>
      </c>
      <c r="B73">
        <v>13111</v>
      </c>
      <c r="C73" s="1" t="str">
        <f t="shared" si="13"/>
        <v>ZR. PARTIDO DE TRABAJADORES REVOLUCIONARIOS</v>
      </c>
      <c r="D73" s="1" t="str">
        <f>"63. DAUNO TOTORO NAVARRO (H)"</f>
        <v>63. DAUNO TOTORO NAVARRO (H)</v>
      </c>
      <c r="E73" s="1" t="str">
        <f t="shared" si="14"/>
        <v>PTR</v>
      </c>
      <c r="F73" s="1" t="str">
        <f>"242"</f>
        <v>242</v>
      </c>
      <c r="G73" s="1">
        <v>0.62</v>
      </c>
      <c r="H73" s="1">
        <v>0</v>
      </c>
    </row>
    <row r="74" spans="1:8" ht="28.8" x14ac:dyDescent="0.3">
      <c r="A74" t="s">
        <v>8</v>
      </c>
      <c r="B74">
        <v>13111</v>
      </c>
      <c r="C74" s="1" t="str">
        <f t="shared" si="13"/>
        <v>ZR. PARTIDO DE TRABAJADORES REVOLUCIONARIOS</v>
      </c>
      <c r="D74" s="1" t="str">
        <f>"64. CAROLINA FERNANDA TOLEDO SARMIENTO (M)"</f>
        <v>64. CAROLINA FERNANDA TOLEDO SARMIENTO (M)</v>
      </c>
      <c r="E74" s="1" t="str">
        <f t="shared" si="14"/>
        <v>PTR</v>
      </c>
      <c r="F74" s="1" t="str">
        <f>"180"</f>
        <v>180</v>
      </c>
      <c r="G74" s="1">
        <v>0.45999999999999996</v>
      </c>
      <c r="H74" s="1">
        <v>0</v>
      </c>
    </row>
    <row r="75" spans="1:8" ht="28.8" x14ac:dyDescent="0.3">
      <c r="A75" t="s">
        <v>8</v>
      </c>
      <c r="B75">
        <v>13111</v>
      </c>
      <c r="C75" s="1" t="str">
        <f t="shared" si="13"/>
        <v>ZR. PARTIDO DE TRABAJADORES REVOLUCIONARIOS</v>
      </c>
      <c r="D75" s="1" t="str">
        <f>"65. JOSE JOAQUIN ROMERO PALACIOS (H)"</f>
        <v>65. JOSE JOAQUIN ROMERO PALACIOS (H)</v>
      </c>
      <c r="E75" s="1" t="str">
        <f t="shared" si="14"/>
        <v>PTR</v>
      </c>
      <c r="F75" s="1" t="str">
        <f>"88"</f>
        <v>88</v>
      </c>
      <c r="G75" s="1">
        <v>0.22999999999999998</v>
      </c>
      <c r="H75" s="1">
        <v>0</v>
      </c>
    </row>
    <row r="76" spans="1:8" ht="28.8" x14ac:dyDescent="0.3">
      <c r="A76" t="s">
        <v>8</v>
      </c>
      <c r="B76">
        <v>13111</v>
      </c>
      <c r="C76" s="1" t="str">
        <f t="shared" si="13"/>
        <v>ZR. PARTIDO DE TRABAJADORES REVOLUCIONARIOS</v>
      </c>
      <c r="D76" s="1" t="str">
        <f>"66. RAFAELLA ANTONIA RUILOVA TASSARA (M)"</f>
        <v>66. RAFAELLA ANTONIA RUILOVA TASSARA (M)</v>
      </c>
      <c r="E76" s="1" t="str">
        <f t="shared" si="14"/>
        <v>PTR</v>
      </c>
      <c r="F76" s="1" t="str">
        <f>"55"</f>
        <v>55</v>
      </c>
      <c r="G76" s="1">
        <v>0.13999999999999999</v>
      </c>
      <c r="H76" s="1">
        <v>0</v>
      </c>
    </row>
    <row r="77" spans="1:8" ht="28.8" x14ac:dyDescent="0.3">
      <c r="A77" t="s">
        <v>8</v>
      </c>
      <c r="B77">
        <v>13111</v>
      </c>
      <c r="C77" s="1" t="str">
        <f t="shared" si="13"/>
        <v>ZR. PARTIDO DE TRABAJADORES REVOLUCIONARIOS</v>
      </c>
      <c r="D77" s="1" t="str">
        <f>"67. JULIO HUMBERTO MANCILLA MARABOLI (H)"</f>
        <v>67. JULIO HUMBERTO MANCILLA MARABOLI (H)</v>
      </c>
      <c r="E77" s="1" t="str">
        <f t="shared" si="14"/>
        <v>PTR</v>
      </c>
      <c r="F77" s="1" t="str">
        <f>"55"</f>
        <v>55</v>
      </c>
      <c r="G77" s="1">
        <v>0.13999999999999999</v>
      </c>
      <c r="H77" s="1">
        <v>0</v>
      </c>
    </row>
    <row r="78" spans="1:8" ht="28.8" x14ac:dyDescent="0.3">
      <c r="A78" t="s">
        <v>8</v>
      </c>
      <c r="B78">
        <v>13111</v>
      </c>
      <c r="C78" s="1" t="str">
        <f t="shared" si="13"/>
        <v>ZR. PARTIDO DE TRABAJADORES REVOLUCIONARIOS</v>
      </c>
      <c r="D78" s="1" t="str">
        <f>"68. MARIA VICTORIA TORRES SANDOVAL (M)"</f>
        <v>68. MARIA VICTORIA TORRES SANDOVAL (M)</v>
      </c>
      <c r="E78" s="1" t="str">
        <f t="shared" si="14"/>
        <v>PTR</v>
      </c>
      <c r="F78" s="1" t="str">
        <f>"67"</f>
        <v>67</v>
      </c>
      <c r="G78" s="1">
        <v>0.16999999999999998</v>
      </c>
      <c r="H78" s="1">
        <v>0</v>
      </c>
    </row>
    <row r="79" spans="1:8" ht="28.8" x14ac:dyDescent="0.3">
      <c r="A79" t="s">
        <v>8</v>
      </c>
      <c r="B79">
        <v>13111</v>
      </c>
      <c r="C79" s="1" t="str">
        <f t="shared" si="13"/>
        <v>ZR. PARTIDO DE TRABAJADORES REVOLUCIONARIOS</v>
      </c>
      <c r="D79" s="1" t="str">
        <f>"69. JAVIER IGNACIO AYARZA GONZALEZ (H)"</f>
        <v>69. JAVIER IGNACIO AYARZA GONZALEZ (H)</v>
      </c>
      <c r="E79" s="1" t="str">
        <f t="shared" si="14"/>
        <v>PTR</v>
      </c>
      <c r="F79" s="1" t="str">
        <f>"63"</f>
        <v>63</v>
      </c>
      <c r="G79" s="1">
        <v>0.16</v>
      </c>
      <c r="H79" s="1">
        <v>0</v>
      </c>
    </row>
    <row r="80" spans="1:8" x14ac:dyDescent="0.3">
      <c r="A80" t="s">
        <v>8</v>
      </c>
      <c r="B80">
        <v>13111</v>
      </c>
      <c r="C80" s="1" t="str">
        <f>"ZT. INDEPENDIENTES POR LA NUEVA CONSTITUCION (D10)"</f>
        <v>ZT. INDEPENDIENTES POR LA NUEVA CONSTITUCION (D10)</v>
      </c>
      <c r="E80" s="1" t="str">
        <f>""</f>
        <v/>
      </c>
      <c r="F80" s="1" t="str">
        <f>"3.460"</f>
        <v>3.460</v>
      </c>
      <c r="G80" s="1">
        <v>8.85</v>
      </c>
      <c r="H80" s="1"/>
    </row>
    <row r="81" spans="1:8" x14ac:dyDescent="0.3">
      <c r="A81" t="s">
        <v>8</v>
      </c>
      <c r="B81">
        <v>13111</v>
      </c>
      <c r="C81" s="1" t="str">
        <f t="shared" ref="C81:C88" si="15">"ZT. INDEPENDIENTES POR LA NUEVA CONSTITUCION (D10)"</f>
        <v>ZT. INDEPENDIENTES POR LA NUEVA CONSTITUCION (D10)</v>
      </c>
      <c r="D81" s="1" t="str">
        <f>"70. PATRICIA POLITZER KEREKES (M)"</f>
        <v>70. PATRICIA POLITZER KEREKES (M)</v>
      </c>
      <c r="E81" s="1" t="str">
        <f t="shared" ref="E81:E88" si="16">"IND"</f>
        <v>IND</v>
      </c>
      <c r="F81" s="1" t="str">
        <f>"1.785"</f>
        <v>1.785</v>
      </c>
      <c r="G81" s="1">
        <v>4.5699999999999994</v>
      </c>
      <c r="H81" s="1">
        <v>1</v>
      </c>
    </row>
    <row r="82" spans="1:8" x14ac:dyDescent="0.3">
      <c r="A82" t="s">
        <v>8</v>
      </c>
      <c r="B82">
        <v>13111</v>
      </c>
      <c r="C82" s="1" t="str">
        <f t="shared" si="15"/>
        <v>ZT. INDEPENDIENTES POR LA NUEVA CONSTITUCION (D10)</v>
      </c>
      <c r="D82" s="1" t="str">
        <f>"71. JOSE ANDRES MURILLO URRUTIA (H)"</f>
        <v>71. JOSE ANDRES MURILLO URRUTIA (H)</v>
      </c>
      <c r="E82" s="1" t="str">
        <f t="shared" si="16"/>
        <v>IND</v>
      </c>
      <c r="F82" s="1" t="str">
        <f>"395"</f>
        <v>395</v>
      </c>
      <c r="G82" s="1">
        <v>1.01</v>
      </c>
      <c r="H82" s="1">
        <v>0</v>
      </c>
    </row>
    <row r="83" spans="1:8" x14ac:dyDescent="0.3">
      <c r="A83" t="s">
        <v>8</v>
      </c>
      <c r="B83">
        <v>13111</v>
      </c>
      <c r="C83" s="1" t="str">
        <f t="shared" si="15"/>
        <v>ZT. INDEPENDIENTES POR LA NUEVA CONSTITUCION (D10)</v>
      </c>
      <c r="D83" s="1" t="str">
        <f>"72. ROXANA ESPINOZA SALFATE (M)"</f>
        <v>72. ROXANA ESPINOZA SALFATE (M)</v>
      </c>
      <c r="E83" s="1" t="str">
        <f t="shared" si="16"/>
        <v>IND</v>
      </c>
      <c r="F83" s="1" t="str">
        <f>"308"</f>
        <v>308</v>
      </c>
      <c r="G83" s="1">
        <v>0.79</v>
      </c>
      <c r="H83" s="1">
        <v>0</v>
      </c>
    </row>
    <row r="84" spans="1:8" x14ac:dyDescent="0.3">
      <c r="A84" t="s">
        <v>8</v>
      </c>
      <c r="B84">
        <v>13111</v>
      </c>
      <c r="C84" s="1" t="str">
        <f t="shared" si="15"/>
        <v>ZT. INDEPENDIENTES POR LA NUEVA CONSTITUCION (D10)</v>
      </c>
      <c r="D84" s="1" t="str">
        <f>"73. GABRIEL GUROVICH STEINER (H)"</f>
        <v>73. GABRIEL GUROVICH STEINER (H)</v>
      </c>
      <c r="E84" s="1" t="str">
        <f t="shared" si="16"/>
        <v>IND</v>
      </c>
      <c r="F84" s="1" t="str">
        <f>"125"</f>
        <v>125</v>
      </c>
      <c r="G84" s="1">
        <v>0.32</v>
      </c>
      <c r="H84" s="1">
        <v>0</v>
      </c>
    </row>
    <row r="85" spans="1:8" x14ac:dyDescent="0.3">
      <c r="A85" t="s">
        <v>8</v>
      </c>
      <c r="B85">
        <v>13111</v>
      </c>
      <c r="C85" s="1" t="str">
        <f t="shared" si="15"/>
        <v>ZT. INDEPENDIENTES POR LA NUEVA CONSTITUCION (D10)</v>
      </c>
      <c r="D85" s="1" t="str">
        <f>"74. MACARENA LOBOS PALACIOS (M)"</f>
        <v>74. MACARENA LOBOS PALACIOS (M)</v>
      </c>
      <c r="E85" s="1" t="str">
        <f t="shared" si="16"/>
        <v>IND</v>
      </c>
      <c r="F85" s="1" t="str">
        <f>"225"</f>
        <v>225</v>
      </c>
      <c r="G85" s="1">
        <v>0.57999999999999996</v>
      </c>
      <c r="H85" s="1">
        <v>0</v>
      </c>
    </row>
    <row r="86" spans="1:8" x14ac:dyDescent="0.3">
      <c r="A86" t="s">
        <v>8</v>
      </c>
      <c r="B86">
        <v>13111</v>
      </c>
      <c r="C86" s="1" t="str">
        <f t="shared" si="15"/>
        <v>ZT. INDEPENDIENTES POR LA NUEVA CONSTITUCION (D10)</v>
      </c>
      <c r="D86" s="1" t="str">
        <f>"75. PABLO MORRIS KELLER (H)"</f>
        <v>75. PABLO MORRIS KELLER (H)</v>
      </c>
      <c r="E86" s="1" t="str">
        <f t="shared" si="16"/>
        <v>IND</v>
      </c>
      <c r="F86" s="1" t="str">
        <f>"128"</f>
        <v>128</v>
      </c>
      <c r="G86" s="1">
        <v>0.33</v>
      </c>
      <c r="H86" s="1">
        <v>0</v>
      </c>
    </row>
    <row r="87" spans="1:8" x14ac:dyDescent="0.3">
      <c r="A87" t="s">
        <v>8</v>
      </c>
      <c r="B87">
        <v>13111</v>
      </c>
      <c r="C87" s="1" t="str">
        <f t="shared" si="15"/>
        <v>ZT. INDEPENDIENTES POR LA NUEVA CONSTITUCION (D10)</v>
      </c>
      <c r="D87" s="1" t="str">
        <f>"76. CAROLINA ARENAS ORTIZ (M)"</f>
        <v>76. CAROLINA ARENAS ORTIZ (M)</v>
      </c>
      <c r="E87" s="1" t="str">
        <f t="shared" si="16"/>
        <v>IND</v>
      </c>
      <c r="F87" s="1" t="str">
        <f>"287"</f>
        <v>287</v>
      </c>
      <c r="G87" s="1">
        <v>0.73</v>
      </c>
      <c r="H87" s="1">
        <v>0</v>
      </c>
    </row>
    <row r="88" spans="1:8" x14ac:dyDescent="0.3">
      <c r="A88" t="s">
        <v>8</v>
      </c>
      <c r="B88">
        <v>13111</v>
      </c>
      <c r="C88" s="1" t="str">
        <f t="shared" si="15"/>
        <v>ZT. INDEPENDIENTES POR LA NUEVA CONSTITUCION (D10)</v>
      </c>
      <c r="D88" s="1" t="str">
        <f>"77. ANDRES PEREZ MUÑOZ (H)"</f>
        <v>77. ANDRES PEREZ MUÑOZ (H)</v>
      </c>
      <c r="E88" s="1" t="str">
        <f t="shared" si="16"/>
        <v>IND</v>
      </c>
      <c r="F88" s="1" t="str">
        <f>"207"</f>
        <v>207</v>
      </c>
      <c r="G88" s="1">
        <v>0.53</v>
      </c>
      <c r="H88" s="1">
        <v>0</v>
      </c>
    </row>
    <row r="89" spans="1:8" x14ac:dyDescent="0.3">
      <c r="A89" t="s">
        <v>8</v>
      </c>
      <c r="B89">
        <v>13111</v>
      </c>
      <c r="C89" s="1" t="str">
        <f>"CANDIDATURA INDEPENDIENTE"</f>
        <v>CANDIDATURA INDEPENDIENTE</v>
      </c>
      <c r="E89" s="1" t="str">
        <f>""</f>
        <v/>
      </c>
      <c r="F89" s="1" t="str">
        <f>"1.319"</f>
        <v>1.319</v>
      </c>
      <c r="G89" s="1">
        <v>3.37</v>
      </c>
      <c r="H89" s="1"/>
    </row>
    <row r="90" spans="1:8" x14ac:dyDescent="0.3">
      <c r="A90" t="s">
        <v>8</v>
      </c>
      <c r="B90">
        <v>13111</v>
      </c>
      <c r="C90" s="1" t="str">
        <f>"CANDIDATURA INDEPENDIENTE"</f>
        <v>CANDIDATURA INDEPENDIENTE</v>
      </c>
      <c r="D90" s="1" t="str">
        <f>"78. CAMILO PARADA ORTIZ (H)"</f>
        <v>78. CAMILO PARADA ORTIZ (H)</v>
      </c>
      <c r="E90" s="1" t="str">
        <f>"IND"</f>
        <v>IND</v>
      </c>
      <c r="F90" s="1" t="str">
        <f>"1.319"</f>
        <v>1.319</v>
      </c>
      <c r="G90" s="1">
        <v>3.37</v>
      </c>
      <c r="H90" s="1">
        <v>0</v>
      </c>
    </row>
  </sheetData>
  <autoFilter ref="A1:H90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2021-06-10T16:59:37Z</dcterms:created>
  <dcterms:modified xsi:type="dcterms:W3CDTF">2021-06-10T19:41:01Z</dcterms:modified>
</cp:coreProperties>
</file>