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 Leyton\Desktop\SERVEL - RM\"/>
    </mc:Choice>
  </mc:AlternateContent>
  <xr:revisionPtr revIDLastSave="0" documentId="8_{75EFF671-7596-42BB-9A72-6955099420BD}" xr6:coauthVersionLast="47" xr6:coauthVersionMax="47" xr10:uidLastSave="{00000000-0000-0000-0000-000000000000}"/>
  <bookViews>
    <workbookView xWindow="-108" yWindow="-108" windowWidth="23256" windowHeight="12576"/>
  </bookViews>
  <sheets>
    <sheet name="Hoja_0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0" i="1" l="1"/>
  <c r="C70" i="1"/>
  <c r="D69" i="1"/>
  <c r="C69" i="1"/>
  <c r="D68" i="1"/>
  <c r="C68" i="1"/>
  <c r="D67" i="1"/>
  <c r="C67" i="1"/>
  <c r="D66" i="1"/>
  <c r="C66" i="1"/>
  <c r="D65" i="1"/>
  <c r="C65" i="1"/>
  <c r="C64" i="1"/>
  <c r="D63" i="1"/>
  <c r="C63" i="1"/>
  <c r="D62" i="1"/>
  <c r="C62" i="1"/>
  <c r="D61" i="1"/>
  <c r="C61" i="1"/>
  <c r="D60" i="1"/>
  <c r="C60" i="1"/>
  <c r="D59" i="1"/>
  <c r="C59" i="1"/>
  <c r="D58" i="1"/>
  <c r="C58" i="1"/>
  <c r="D57" i="1"/>
  <c r="C57" i="1"/>
  <c r="D56" i="1"/>
  <c r="C56" i="1"/>
  <c r="C55" i="1"/>
  <c r="D54" i="1"/>
  <c r="C54" i="1"/>
  <c r="D53" i="1"/>
  <c r="C53" i="1"/>
  <c r="D52" i="1"/>
  <c r="C52" i="1"/>
  <c r="D51" i="1"/>
  <c r="C51" i="1"/>
  <c r="D50" i="1"/>
  <c r="C50" i="1"/>
  <c r="C49" i="1"/>
  <c r="D48" i="1"/>
  <c r="C48" i="1"/>
  <c r="D47" i="1"/>
  <c r="C47" i="1"/>
  <c r="D46" i="1"/>
  <c r="C46" i="1"/>
  <c r="D45" i="1"/>
  <c r="C45" i="1"/>
  <c r="D44" i="1"/>
  <c r="C44" i="1"/>
  <c r="D43" i="1"/>
  <c r="C43" i="1"/>
  <c r="D42" i="1"/>
  <c r="C42" i="1"/>
  <c r="D41" i="1"/>
  <c r="C41" i="1"/>
  <c r="C40" i="1"/>
  <c r="D39" i="1"/>
  <c r="C39" i="1"/>
  <c r="D38" i="1"/>
  <c r="C38" i="1"/>
  <c r="D37" i="1"/>
  <c r="C37" i="1"/>
  <c r="D36" i="1"/>
  <c r="C36" i="1"/>
  <c r="D35" i="1"/>
  <c r="C35" i="1"/>
  <c r="D34" i="1"/>
  <c r="C34" i="1"/>
  <c r="D33" i="1"/>
  <c r="C33" i="1"/>
  <c r="D32" i="1"/>
  <c r="C32" i="1"/>
  <c r="C31" i="1"/>
  <c r="D30" i="1"/>
  <c r="C30" i="1"/>
  <c r="D29" i="1"/>
  <c r="C29" i="1"/>
  <c r="D28" i="1"/>
  <c r="C28" i="1"/>
  <c r="D27" i="1"/>
  <c r="C27" i="1"/>
  <c r="D26" i="1"/>
  <c r="C26" i="1"/>
  <c r="D25" i="1"/>
  <c r="C25" i="1"/>
  <c r="D24" i="1"/>
  <c r="C24" i="1"/>
  <c r="C23" i="1"/>
  <c r="D22" i="1"/>
  <c r="C22" i="1"/>
  <c r="D21" i="1"/>
  <c r="C21" i="1"/>
  <c r="D20" i="1"/>
  <c r="C20" i="1"/>
  <c r="D19" i="1"/>
  <c r="C19" i="1"/>
  <c r="D18" i="1"/>
  <c r="C18" i="1"/>
  <c r="D17" i="1"/>
  <c r="C17" i="1"/>
  <c r="D16" i="1"/>
  <c r="C16" i="1"/>
  <c r="D15" i="1"/>
  <c r="C15" i="1"/>
  <c r="C14" i="1"/>
  <c r="D13" i="1"/>
  <c r="C13" i="1"/>
  <c r="D12" i="1"/>
  <c r="C12" i="1"/>
  <c r="D11" i="1"/>
  <c r="C11" i="1"/>
  <c r="D10" i="1"/>
  <c r="C10" i="1"/>
  <c r="C9" i="1"/>
  <c r="D8" i="1"/>
  <c r="C8" i="1"/>
  <c r="D7" i="1"/>
  <c r="C7" i="1"/>
  <c r="D6" i="1"/>
  <c r="C6" i="1"/>
  <c r="D5" i="1"/>
  <c r="C5" i="1"/>
  <c r="D4" i="1"/>
  <c r="C4" i="1"/>
  <c r="D3" i="1"/>
  <c r="C3" i="1"/>
  <c r="C2" i="1"/>
  <c r="F70" i="1"/>
  <c r="E70" i="1"/>
  <c r="F69" i="1"/>
  <c r="E69" i="1"/>
  <c r="F68" i="1"/>
  <c r="E68" i="1"/>
  <c r="F67" i="1"/>
  <c r="E67" i="1"/>
  <c r="F66" i="1"/>
  <c r="E66" i="1"/>
  <c r="F65" i="1"/>
  <c r="E65" i="1"/>
  <c r="F64" i="1"/>
  <c r="E64" i="1"/>
  <c r="F63" i="1"/>
  <c r="E63" i="1"/>
  <c r="F62" i="1"/>
  <c r="E62" i="1"/>
  <c r="F61" i="1"/>
  <c r="E61" i="1"/>
  <c r="F60" i="1"/>
  <c r="E60" i="1"/>
  <c r="F59" i="1"/>
  <c r="E59" i="1"/>
  <c r="F58" i="1"/>
  <c r="E58" i="1"/>
  <c r="F57" i="1"/>
  <c r="E57" i="1"/>
  <c r="F56" i="1"/>
  <c r="E56" i="1"/>
  <c r="F55" i="1"/>
  <c r="E55" i="1"/>
  <c r="F54" i="1"/>
  <c r="E54" i="1"/>
  <c r="F53" i="1"/>
  <c r="E53" i="1"/>
  <c r="F52" i="1"/>
  <c r="E52" i="1"/>
  <c r="F51" i="1"/>
  <c r="E51" i="1"/>
  <c r="F50" i="1"/>
  <c r="E50" i="1"/>
  <c r="F49" i="1"/>
  <c r="E49" i="1"/>
  <c r="F48" i="1"/>
  <c r="E48" i="1"/>
  <c r="F47" i="1"/>
  <c r="E47" i="1"/>
  <c r="F46" i="1"/>
  <c r="E46" i="1"/>
  <c r="F45" i="1"/>
  <c r="E45" i="1"/>
  <c r="F44" i="1"/>
  <c r="E44" i="1"/>
  <c r="F43" i="1"/>
  <c r="E43" i="1"/>
  <c r="F42" i="1"/>
  <c r="E42" i="1"/>
  <c r="F41" i="1"/>
  <c r="E41" i="1"/>
  <c r="F40" i="1"/>
  <c r="E40" i="1"/>
  <c r="F39" i="1"/>
  <c r="E39" i="1"/>
  <c r="F38" i="1"/>
  <c r="E38" i="1"/>
  <c r="F37" i="1"/>
  <c r="E37" i="1"/>
  <c r="F36" i="1"/>
  <c r="E36" i="1"/>
  <c r="F35" i="1"/>
  <c r="E35" i="1"/>
  <c r="F34" i="1"/>
  <c r="E34" i="1"/>
  <c r="F33" i="1"/>
  <c r="E33" i="1"/>
  <c r="F32" i="1"/>
  <c r="E32" i="1"/>
  <c r="F31" i="1"/>
  <c r="E31" i="1"/>
  <c r="F30" i="1"/>
  <c r="E30" i="1"/>
  <c r="F29" i="1"/>
  <c r="E29" i="1"/>
  <c r="F28" i="1"/>
  <c r="E28" i="1"/>
  <c r="F27" i="1"/>
  <c r="E27" i="1"/>
  <c r="F26" i="1"/>
  <c r="E26" i="1"/>
  <c r="F25" i="1"/>
  <c r="E25" i="1"/>
  <c r="F24" i="1"/>
  <c r="E24" i="1"/>
  <c r="F23" i="1"/>
  <c r="E23" i="1"/>
  <c r="F22" i="1"/>
  <c r="E22" i="1"/>
  <c r="F21" i="1"/>
  <c r="E21" i="1"/>
  <c r="F20" i="1"/>
  <c r="E20" i="1"/>
  <c r="F19" i="1"/>
  <c r="E19" i="1"/>
  <c r="F18" i="1"/>
  <c r="E18" i="1"/>
  <c r="F17" i="1"/>
  <c r="E17" i="1"/>
  <c r="F16" i="1"/>
  <c r="E16" i="1"/>
  <c r="F15" i="1"/>
  <c r="E15" i="1"/>
  <c r="F14" i="1"/>
  <c r="E14" i="1"/>
  <c r="F13" i="1"/>
  <c r="E13" i="1"/>
  <c r="F12" i="1"/>
  <c r="E12" i="1"/>
  <c r="F11" i="1"/>
  <c r="E11" i="1"/>
  <c r="F10" i="1"/>
  <c r="E10" i="1"/>
  <c r="F9" i="1"/>
  <c r="E9" i="1"/>
  <c r="F8" i="1"/>
  <c r="E8" i="1"/>
  <c r="F7" i="1"/>
  <c r="E7" i="1"/>
  <c r="F6" i="1"/>
  <c r="E6" i="1"/>
  <c r="F5" i="1"/>
  <c r="E5" i="1"/>
  <c r="F4" i="1"/>
  <c r="E4" i="1"/>
  <c r="F3" i="1"/>
  <c r="E3" i="1"/>
  <c r="F2" i="1"/>
  <c r="E2" i="1"/>
</calcChain>
</file>

<file path=xl/sharedStrings.xml><?xml version="1.0" encoding="utf-8"?>
<sst xmlns="http://schemas.openxmlformats.org/spreadsheetml/2006/main" count="77" uniqueCount="9">
  <si>
    <t>LISTA</t>
  </si>
  <si>
    <t>CANDIDATOS</t>
  </si>
  <si>
    <t>ELECTO</t>
  </si>
  <si>
    <t>COMUNA</t>
  </si>
  <si>
    <t>CODIGO</t>
  </si>
  <si>
    <t>PARTIDO</t>
  </si>
  <si>
    <t>VOTOS</t>
  </si>
  <si>
    <t>PORCENTAJE</t>
  </si>
  <si>
    <t>QUILICURA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</si>
</sst>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wrapText="1"/>
    </xf>
    <xf numFmtId="0" fontId="18" fillId="0" borderId="10" xfId="0" applyFont="1" applyBorder="1" applyAlignment="1">
      <alignment wrapText="1"/>
    </xf>
    <xf numFmtId="9" fontId="18" fillId="0" borderId="10" xfId="1" applyFont="1" applyBorder="1" applyAlignment="1">
      <alignment wrapText="1"/>
    </xf>
  </cellXfs>
  <cellStyles count="43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Incorrecto" xfId="8" builtinId="27" customBuiltin="1"/>
    <cellStyle name="Neutral" xfId="9" builtinId="28" customBuiltin="1"/>
    <cellStyle name="Normal" xfId="0" builtinId="0"/>
    <cellStyle name="Notas" xfId="16" builtinId="10" customBuiltin="1"/>
    <cellStyle name="Porcentaje" xfId="1" builtinId="5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0"/>
  <sheetViews>
    <sheetView tabSelected="1" topLeftCell="A22" workbookViewId="0">
      <selection activeCell="A2" sqref="A2:B70"/>
    </sheetView>
  </sheetViews>
  <sheetFormatPr baseColWidth="10" defaultColWidth="8.88671875" defaultRowHeight="14.4" x14ac:dyDescent="0.3"/>
  <cols>
    <col min="1" max="1" width="14.33203125" customWidth="1"/>
    <col min="3" max="3" width="72.77734375" customWidth="1"/>
    <col min="4" max="4" width="48.5546875" customWidth="1"/>
    <col min="5" max="5" width="11.77734375" customWidth="1"/>
    <col min="6" max="6" width="10.88671875" customWidth="1"/>
    <col min="7" max="7" width="16.88671875" customWidth="1"/>
    <col min="8" max="8" width="10.109375" customWidth="1"/>
  </cols>
  <sheetData>
    <row r="1" spans="1:8" x14ac:dyDescent="0.3">
      <c r="A1" s="2" t="s">
        <v>3</v>
      </c>
      <c r="B1" s="2" t="s">
        <v>4</v>
      </c>
      <c r="C1" s="2" t="s">
        <v>0</v>
      </c>
      <c r="D1" s="2" t="s">
        <v>1</v>
      </c>
      <c r="E1" s="2" t="s">
        <v>5</v>
      </c>
      <c r="F1" s="2" t="s">
        <v>6</v>
      </c>
      <c r="G1" s="3" t="s">
        <v>7</v>
      </c>
      <c r="H1" s="2" t="s">
        <v>2</v>
      </c>
    </row>
    <row r="2" spans="1:8" x14ac:dyDescent="0.3">
      <c r="A2" t="s">
        <v>8</v>
      </c>
      <c r="B2">
        <v>13125</v>
      </c>
      <c r="C2" s="1" t="str">
        <f>"XA. PARTIDO ECOLOGISTA VERDE"</f>
        <v>XA. PARTIDO ECOLOGISTA VERDE</v>
      </c>
      <c r="D2" s="1"/>
      <c r="E2" s="1" t="str">
        <f>""</f>
        <v/>
      </c>
      <c r="F2" s="1" t="str">
        <f>"2.703"</f>
        <v>2.703</v>
      </c>
      <c r="G2" s="1">
        <v>4.4400000000000004</v>
      </c>
      <c r="H2" s="1"/>
    </row>
    <row r="3" spans="1:8" x14ac:dyDescent="0.3">
      <c r="A3" t="s">
        <v>8</v>
      </c>
      <c r="B3">
        <v>13125</v>
      </c>
      <c r="C3" s="1" t="str">
        <f t="shared" ref="C3:C8" si="0">"XA. PARTIDO ECOLOGISTA VERDE"</f>
        <v>XA. PARTIDO ECOLOGISTA VERDE</v>
      </c>
      <c r="D3" s="1" t="str">
        <f>"1. CLAUDIA FUENTES LIZAMA (M)"</f>
        <v>1. CLAUDIA FUENTES LIZAMA (M)</v>
      </c>
      <c r="E3" s="1" t="str">
        <f>"PEV"</f>
        <v>PEV</v>
      </c>
      <c r="F3" s="1" t="str">
        <f>"1.104"</f>
        <v>1.104</v>
      </c>
      <c r="G3" s="1">
        <v>1.81</v>
      </c>
      <c r="H3" s="1">
        <v>0</v>
      </c>
    </row>
    <row r="4" spans="1:8" x14ac:dyDescent="0.3">
      <c r="A4" t="s">
        <v>8</v>
      </c>
      <c r="B4">
        <v>13125</v>
      </c>
      <c r="C4" s="1" t="str">
        <f t="shared" si="0"/>
        <v>XA. PARTIDO ECOLOGISTA VERDE</v>
      </c>
      <c r="D4" s="1" t="str">
        <f>"2. PEDRO TOMAS BUSTAMANTE PEREZ (H)"</f>
        <v>2. PEDRO TOMAS BUSTAMANTE PEREZ (H)</v>
      </c>
      <c r="E4" s="1" t="str">
        <f>"PEV"</f>
        <v>PEV</v>
      </c>
      <c r="F4" s="1" t="str">
        <f>"298"</f>
        <v>298</v>
      </c>
      <c r="G4" s="1">
        <v>0.49</v>
      </c>
      <c r="H4" s="1">
        <v>0</v>
      </c>
    </row>
    <row r="5" spans="1:8" x14ac:dyDescent="0.3">
      <c r="A5" t="s">
        <v>8</v>
      </c>
      <c r="B5">
        <v>13125</v>
      </c>
      <c r="C5" s="1" t="str">
        <f t="shared" si="0"/>
        <v>XA. PARTIDO ECOLOGISTA VERDE</v>
      </c>
      <c r="D5" s="1" t="str">
        <f>"3. MARIA ELIZABETH HERNANDEZ FIGUEROA (M)"</f>
        <v>3. MARIA ELIZABETH HERNANDEZ FIGUEROA (M)</v>
      </c>
      <c r="E5" s="1" t="str">
        <f>"PEV"</f>
        <v>PEV</v>
      </c>
      <c r="F5" s="1" t="str">
        <f>"740"</f>
        <v>740</v>
      </c>
      <c r="G5" s="1">
        <v>1.22</v>
      </c>
      <c r="H5" s="1">
        <v>0</v>
      </c>
    </row>
    <row r="6" spans="1:8" x14ac:dyDescent="0.3">
      <c r="A6" t="s">
        <v>8</v>
      </c>
      <c r="B6">
        <v>13125</v>
      </c>
      <c r="C6" s="1" t="str">
        <f t="shared" si="0"/>
        <v>XA. PARTIDO ECOLOGISTA VERDE</v>
      </c>
      <c r="D6" s="1" t="str">
        <f>"4. HECTOR HERNAN ORELLANA CORTES (H)"</f>
        <v>4. HECTOR HERNAN ORELLANA CORTES (H)</v>
      </c>
      <c r="E6" s="1" t="str">
        <f>"PEV"</f>
        <v>PEV</v>
      </c>
      <c r="F6" s="1" t="str">
        <f>"561"</f>
        <v>561</v>
      </c>
      <c r="G6" s="1">
        <v>0.91999999999999993</v>
      </c>
      <c r="H6" s="1">
        <v>0</v>
      </c>
    </row>
    <row r="7" spans="1:8" x14ac:dyDescent="0.3">
      <c r="A7" t="s">
        <v>8</v>
      </c>
      <c r="B7">
        <v>13125</v>
      </c>
      <c r="C7" s="1" t="str">
        <f t="shared" si="0"/>
        <v>XA. PARTIDO ECOLOGISTA VERDE</v>
      </c>
      <c r="D7" s="1" t="str">
        <f>"XG. PARTIDO HUMANISTA"</f>
        <v>XG. PARTIDO HUMANISTA</v>
      </c>
      <c r="E7" s="1" t="str">
        <f>""</f>
        <v/>
      </c>
      <c r="F7" s="1" t="str">
        <f>"1.809"</f>
        <v>1.809</v>
      </c>
      <c r="G7" s="1">
        <v>2.97</v>
      </c>
      <c r="H7" s="1"/>
    </row>
    <row r="8" spans="1:8" x14ac:dyDescent="0.3">
      <c r="A8" t="s">
        <v>8</v>
      </c>
      <c r="B8">
        <v>13125</v>
      </c>
      <c r="C8" s="1" t="str">
        <f t="shared" si="0"/>
        <v>XA. PARTIDO ECOLOGISTA VERDE</v>
      </c>
      <c r="D8" s="1" t="str">
        <f>"5. CAMILA PAZ CACERES FUENTES (M)"</f>
        <v>5. CAMILA PAZ CACERES FUENTES (M)</v>
      </c>
      <c r="E8" s="1" t="str">
        <f>"PH"</f>
        <v>PH</v>
      </c>
      <c r="F8" s="1" t="str">
        <f>"1.809"</f>
        <v>1.809</v>
      </c>
      <c r="G8" s="1">
        <v>2.97</v>
      </c>
      <c r="H8" s="1">
        <v>0</v>
      </c>
    </row>
    <row r="9" spans="1:8" x14ac:dyDescent="0.3">
      <c r="A9" t="s">
        <v>8</v>
      </c>
      <c r="B9">
        <v>13125</v>
      </c>
      <c r="C9" s="1" t="str">
        <f>"XL. COMUNIDAD INDEPENDIENTE VEN SEREMOS (D8)"</f>
        <v>XL. COMUNIDAD INDEPENDIENTE VEN SEREMOS (D8)</v>
      </c>
      <c r="D9" s="1"/>
      <c r="E9" s="1" t="str">
        <f>""</f>
        <v/>
      </c>
      <c r="F9" s="1" t="str">
        <f>"1.434"</f>
        <v>1.434</v>
      </c>
      <c r="G9" s="1">
        <v>2.36</v>
      </c>
      <c r="H9" s="1"/>
    </row>
    <row r="10" spans="1:8" x14ac:dyDescent="0.3">
      <c r="A10" t="s">
        <v>8</v>
      </c>
      <c r="B10">
        <v>13125</v>
      </c>
      <c r="C10" s="1" t="str">
        <f t="shared" ref="C10:C13" si="1">"XL. COMUNIDAD INDEPENDIENTE VEN SEREMOS (D8)"</f>
        <v>XL. COMUNIDAD INDEPENDIENTE VEN SEREMOS (D8)</v>
      </c>
      <c r="D10" s="1" t="str">
        <f>"6. NIDIA FERNANDA CANALES BUSTOS (M)"</f>
        <v>6. NIDIA FERNANDA CANALES BUSTOS (M)</v>
      </c>
      <c r="E10" s="1" t="str">
        <f>"IND"</f>
        <v>IND</v>
      </c>
      <c r="F10" s="1" t="str">
        <f>"361"</f>
        <v>361</v>
      </c>
      <c r="G10" s="1">
        <v>0.59</v>
      </c>
      <c r="H10" s="1">
        <v>0</v>
      </c>
    </row>
    <row r="11" spans="1:8" x14ac:dyDescent="0.3">
      <c r="A11" t="s">
        <v>8</v>
      </c>
      <c r="B11">
        <v>13125</v>
      </c>
      <c r="C11" s="1" t="str">
        <f t="shared" si="1"/>
        <v>XL. COMUNIDAD INDEPENDIENTE VEN SEREMOS (D8)</v>
      </c>
      <c r="D11" s="1" t="str">
        <f>"7. CRISTOBAL FERNANDO FERNANDEZ ALISTE (H)"</f>
        <v>7. CRISTOBAL FERNANDO FERNANDEZ ALISTE (H)</v>
      </c>
      <c r="E11" s="1" t="str">
        <f>"IND"</f>
        <v>IND</v>
      </c>
      <c r="F11" s="1" t="str">
        <f>"218"</f>
        <v>218</v>
      </c>
      <c r="G11" s="1">
        <v>0.36</v>
      </c>
      <c r="H11" s="1">
        <v>0</v>
      </c>
    </row>
    <row r="12" spans="1:8" x14ac:dyDescent="0.3">
      <c r="A12" t="s">
        <v>8</v>
      </c>
      <c r="B12">
        <v>13125</v>
      </c>
      <c r="C12" s="1" t="str">
        <f t="shared" si="1"/>
        <v>XL. COMUNIDAD INDEPENDIENTE VEN SEREMOS (D8)</v>
      </c>
      <c r="D12" s="1" t="str">
        <f>"8. CLAUDIA CAROLINA LATORRE ARAVENA (M)"</f>
        <v>8. CLAUDIA CAROLINA LATORRE ARAVENA (M)</v>
      </c>
      <c r="E12" s="1" t="str">
        <f>"IND"</f>
        <v>IND</v>
      </c>
      <c r="F12" s="1" t="str">
        <f>"461"</f>
        <v>461</v>
      </c>
      <c r="G12" s="1">
        <v>0.76</v>
      </c>
      <c r="H12" s="1">
        <v>0</v>
      </c>
    </row>
    <row r="13" spans="1:8" x14ac:dyDescent="0.3">
      <c r="A13" t="s">
        <v>8</v>
      </c>
      <c r="B13">
        <v>13125</v>
      </c>
      <c r="C13" s="1" t="str">
        <f t="shared" si="1"/>
        <v>XL. COMUNIDAD INDEPENDIENTE VEN SEREMOS (D8)</v>
      </c>
      <c r="D13" s="1" t="str">
        <f>"9. MARIO ANGEL BENITEZ FERNANDEZ (H)"</f>
        <v>9. MARIO ANGEL BENITEZ FERNANDEZ (H)</v>
      </c>
      <c r="E13" s="1" t="str">
        <f>"IND"</f>
        <v>IND</v>
      </c>
      <c r="F13" s="1" t="str">
        <f>"394"</f>
        <v>394</v>
      </c>
      <c r="G13" s="1">
        <v>0.65</v>
      </c>
      <c r="H13" s="1">
        <v>0</v>
      </c>
    </row>
    <row r="14" spans="1:8" x14ac:dyDescent="0.3">
      <c r="A14" t="s">
        <v>8</v>
      </c>
      <c r="B14">
        <v>13125</v>
      </c>
      <c r="C14" s="1" t="str">
        <f>"XP. VAMOS POR CHILE"</f>
        <v>XP. VAMOS POR CHILE</v>
      </c>
      <c r="E14" s="1" t="str">
        <f>""</f>
        <v/>
      </c>
      <c r="F14" s="1" t="str">
        <f>"6.623"</f>
        <v>6.623</v>
      </c>
      <c r="G14" s="1">
        <v>10.89</v>
      </c>
      <c r="H14" s="1"/>
    </row>
    <row r="15" spans="1:8" x14ac:dyDescent="0.3">
      <c r="A15" t="s">
        <v>8</v>
      </c>
      <c r="B15">
        <v>13125</v>
      </c>
      <c r="C15" s="1" t="str">
        <f t="shared" ref="C15:C22" si="2">"XP. VAMOS POR CHILE"</f>
        <v>XP. VAMOS POR CHILE</v>
      </c>
      <c r="D15" s="1" t="str">
        <f>"10. MACARENA BRAVO ROJAS (M)"</f>
        <v>10. MACARENA BRAVO ROJAS (M)</v>
      </c>
      <c r="E15" s="1" t="str">
        <f>"IND-UDI"</f>
        <v>IND-UDI</v>
      </c>
      <c r="F15" s="1" t="str">
        <f>"757"</f>
        <v>757</v>
      </c>
      <c r="G15" s="1">
        <v>1.24</v>
      </c>
      <c r="H15" s="1">
        <v>0</v>
      </c>
    </row>
    <row r="16" spans="1:8" x14ac:dyDescent="0.3">
      <c r="A16" t="s">
        <v>8</v>
      </c>
      <c r="B16">
        <v>13125</v>
      </c>
      <c r="C16" s="1" t="str">
        <f t="shared" si="2"/>
        <v>XP. VAMOS POR CHILE</v>
      </c>
      <c r="D16" s="1" t="str">
        <f>"11. FRANCISCO MORENO GUZMAN (H)"</f>
        <v>11. FRANCISCO MORENO GUZMAN (H)</v>
      </c>
      <c r="E16" s="1" t="str">
        <f>"UDI"</f>
        <v>UDI</v>
      </c>
      <c r="F16" s="1" t="str">
        <f>"604"</f>
        <v>604</v>
      </c>
      <c r="G16" s="1">
        <v>0.9900000000000001</v>
      </c>
      <c r="H16" s="1">
        <v>0</v>
      </c>
    </row>
    <row r="17" spans="1:8" x14ac:dyDescent="0.3">
      <c r="A17" t="s">
        <v>8</v>
      </c>
      <c r="B17">
        <v>13125</v>
      </c>
      <c r="C17" s="1" t="str">
        <f t="shared" si="2"/>
        <v>XP. VAMOS POR CHILE</v>
      </c>
      <c r="D17" s="1" t="str">
        <f>"12. KATERINE ALEJANDRA MEDEL BUENO (M)"</f>
        <v>12. KATERINE ALEJANDRA MEDEL BUENO (M)</v>
      </c>
      <c r="E17" s="1" t="str">
        <f>"IND-UDI"</f>
        <v>IND-UDI</v>
      </c>
      <c r="F17" s="1" t="str">
        <f>"204"</f>
        <v>204</v>
      </c>
      <c r="G17" s="1">
        <v>0.33999999999999997</v>
      </c>
      <c r="H17" s="1">
        <v>0</v>
      </c>
    </row>
    <row r="18" spans="1:8" x14ac:dyDescent="0.3">
      <c r="A18" t="s">
        <v>8</v>
      </c>
      <c r="B18">
        <v>13125</v>
      </c>
      <c r="C18" s="1" t="str">
        <f t="shared" si="2"/>
        <v>XP. VAMOS POR CHILE</v>
      </c>
      <c r="D18" s="1" t="str">
        <f>"13. MIGUEL ELIAS ESBIR BARCO (H)"</f>
        <v>13. MIGUEL ELIAS ESBIR BARCO (H)</v>
      </c>
      <c r="E18" s="1" t="str">
        <f>"IND-UDI"</f>
        <v>IND-UDI</v>
      </c>
      <c r="F18" s="1" t="str">
        <f>"171"</f>
        <v>171</v>
      </c>
      <c r="G18" s="1">
        <v>0.27999999999999997</v>
      </c>
      <c r="H18" s="1">
        <v>0</v>
      </c>
    </row>
    <row r="19" spans="1:8" x14ac:dyDescent="0.3">
      <c r="A19" t="s">
        <v>8</v>
      </c>
      <c r="B19">
        <v>13125</v>
      </c>
      <c r="C19" s="1" t="str">
        <f t="shared" si="2"/>
        <v>XP. VAMOS POR CHILE</v>
      </c>
      <c r="D19" s="1" t="str">
        <f>"14. ANDREA OJEDA MIRANDA (M)"</f>
        <v>14. ANDREA OJEDA MIRANDA (M)</v>
      </c>
      <c r="E19" s="1" t="str">
        <f>"RN"</f>
        <v>RN</v>
      </c>
      <c r="F19" s="1" t="str">
        <f>"987"</f>
        <v>987</v>
      </c>
      <c r="G19" s="1">
        <v>1.6199999999999999</v>
      </c>
      <c r="H19" s="1">
        <v>0</v>
      </c>
    </row>
    <row r="20" spans="1:8" x14ac:dyDescent="0.3">
      <c r="A20" t="s">
        <v>8</v>
      </c>
      <c r="B20">
        <v>13125</v>
      </c>
      <c r="C20" s="1" t="str">
        <f t="shared" si="2"/>
        <v>XP. VAMOS POR CHILE</v>
      </c>
      <c r="D20" s="1" t="str">
        <f>"15. TOMAS GUEVARA AGUERO (H)"</f>
        <v>15. TOMAS GUEVARA AGUERO (H)</v>
      </c>
      <c r="E20" s="1" t="str">
        <f>"IND-RN"</f>
        <v>IND-RN</v>
      </c>
      <c r="F20" s="1" t="str">
        <f>"767"</f>
        <v>767</v>
      </c>
      <c r="G20" s="1">
        <v>1.26</v>
      </c>
      <c r="H20" s="1">
        <v>0</v>
      </c>
    </row>
    <row r="21" spans="1:8" x14ac:dyDescent="0.3">
      <c r="A21" t="s">
        <v>8</v>
      </c>
      <c r="B21">
        <v>13125</v>
      </c>
      <c r="C21" s="1" t="str">
        <f t="shared" si="2"/>
        <v>XP. VAMOS POR CHILE</v>
      </c>
      <c r="D21" s="1" t="str">
        <f>"16. MACARENA CORNEJO FUENTES (M)"</f>
        <v>16. MACARENA CORNEJO FUENTES (M)</v>
      </c>
      <c r="E21" s="1" t="str">
        <f>"EVOPOLI"</f>
        <v>EVOPOLI</v>
      </c>
      <c r="F21" s="1" t="str">
        <f>"265"</f>
        <v>265</v>
      </c>
      <c r="G21" s="1">
        <v>0.44</v>
      </c>
      <c r="H21" s="1">
        <v>0</v>
      </c>
    </row>
    <row r="22" spans="1:8" ht="28.8" x14ac:dyDescent="0.3">
      <c r="A22" t="s">
        <v>8</v>
      </c>
      <c r="B22">
        <v>13125</v>
      </c>
      <c r="C22" s="1" t="str">
        <f t="shared" si="2"/>
        <v>XP. VAMOS POR CHILE</v>
      </c>
      <c r="D22" s="1" t="str">
        <f>"17. BERNARDO DE LA MAZA BAÑADOS (H)"</f>
        <v>17. BERNARDO DE LA MAZA BAÑADOS (H)</v>
      </c>
      <c r="E22" s="1" t="str">
        <f>"IND-EVOPOLI"</f>
        <v>IND-EVOPOLI</v>
      </c>
      <c r="F22" s="1" t="str">
        <f>"2.868"</f>
        <v>2.868</v>
      </c>
      <c r="G22" s="1">
        <v>4.71</v>
      </c>
      <c r="H22" s="1">
        <v>1</v>
      </c>
    </row>
    <row r="23" spans="1:8" x14ac:dyDescent="0.3">
      <c r="A23" t="s">
        <v>8</v>
      </c>
      <c r="B23">
        <v>13125</v>
      </c>
      <c r="C23" s="1" t="str">
        <f>"YB. LISTA DEL APRUEBO"</f>
        <v>YB. LISTA DEL APRUEBO</v>
      </c>
      <c r="E23" s="1" t="str">
        <f>""</f>
        <v/>
      </c>
      <c r="F23" s="1" t="str">
        <f>"5.522"</f>
        <v>5.522</v>
      </c>
      <c r="G23" s="1">
        <v>9.08</v>
      </c>
      <c r="H23" s="1"/>
    </row>
    <row r="24" spans="1:8" x14ac:dyDescent="0.3">
      <c r="A24" t="s">
        <v>8</v>
      </c>
      <c r="B24">
        <v>13125</v>
      </c>
      <c r="C24" s="1" t="str">
        <f t="shared" ref="C24:C30" si="3">"YB. LISTA DEL APRUEBO"</f>
        <v>YB. LISTA DEL APRUEBO</v>
      </c>
      <c r="D24" s="1" t="str">
        <f>"18. BESSY MIREYA DEL ROSARIO GALLARDO PRADO (M)"</f>
        <v>18. BESSY MIREYA DEL ROSARIO GALLARDO PRADO (M)</v>
      </c>
      <c r="E24" s="1" t="str">
        <f>"IND-PRO"</f>
        <v>IND-PRO</v>
      </c>
      <c r="F24" s="1" t="str">
        <f>"1.104"</f>
        <v>1.104</v>
      </c>
      <c r="G24" s="1">
        <v>1.81</v>
      </c>
      <c r="H24" s="1">
        <v>1</v>
      </c>
    </row>
    <row r="25" spans="1:8" x14ac:dyDescent="0.3">
      <c r="A25" t="s">
        <v>8</v>
      </c>
      <c r="B25">
        <v>13125</v>
      </c>
      <c r="C25" s="1" t="str">
        <f t="shared" si="3"/>
        <v>YB. LISTA DEL APRUEBO</v>
      </c>
      <c r="D25" s="1" t="str">
        <f>"19. CESAR ANTONIO BARRERA FUENZALIDA (H)"</f>
        <v>19. CESAR ANTONIO BARRERA FUENZALIDA (H)</v>
      </c>
      <c r="E25" s="1" t="str">
        <f>"IND-PRO"</f>
        <v>IND-PRO</v>
      </c>
      <c r="F25" s="1" t="str">
        <f>"294"</f>
        <v>294</v>
      </c>
      <c r="G25" s="1">
        <v>0.48</v>
      </c>
      <c r="H25" s="1">
        <v>0</v>
      </c>
    </row>
    <row r="26" spans="1:8" x14ac:dyDescent="0.3">
      <c r="A26" t="s">
        <v>8</v>
      </c>
      <c r="B26">
        <v>13125</v>
      </c>
      <c r="C26" s="1" t="str">
        <f t="shared" si="3"/>
        <v>YB. LISTA DEL APRUEBO</v>
      </c>
      <c r="D26" s="1" t="str">
        <f>"20. CAROLINA GARRIDO SILVA (M)"</f>
        <v>20. CAROLINA GARRIDO SILVA (M)</v>
      </c>
      <c r="E26" s="1" t="str">
        <f>"PS"</f>
        <v>PS</v>
      </c>
      <c r="F26" s="1" t="str">
        <f>"1.141"</f>
        <v>1.141</v>
      </c>
      <c r="G26" s="1">
        <v>1.8800000000000001</v>
      </c>
      <c r="H26" s="1">
        <v>0</v>
      </c>
    </row>
    <row r="27" spans="1:8" x14ac:dyDescent="0.3">
      <c r="A27" t="s">
        <v>8</v>
      </c>
      <c r="B27">
        <v>13125</v>
      </c>
      <c r="C27" s="1" t="str">
        <f t="shared" si="3"/>
        <v>YB. LISTA DEL APRUEBO</v>
      </c>
      <c r="D27" s="1" t="str">
        <f>"21. RENE CORTAZAR SANZ (H)"</f>
        <v>21. RENE CORTAZAR SANZ (H)</v>
      </c>
      <c r="E27" s="1" t="str">
        <f>"PDC"</f>
        <v>PDC</v>
      </c>
      <c r="F27" s="1" t="str">
        <f>"871"</f>
        <v>871</v>
      </c>
      <c r="G27" s="1">
        <v>1.43</v>
      </c>
      <c r="H27" s="1">
        <v>0</v>
      </c>
    </row>
    <row r="28" spans="1:8" x14ac:dyDescent="0.3">
      <c r="A28" t="s">
        <v>8</v>
      </c>
      <c r="B28">
        <v>13125</v>
      </c>
      <c r="C28" s="1" t="str">
        <f t="shared" si="3"/>
        <v>YB. LISTA DEL APRUEBO</v>
      </c>
      <c r="D28" s="1" t="str">
        <f>"22. CECILIA VALDES LEON (M)"</f>
        <v>22. CECILIA VALDES LEON (M)</v>
      </c>
      <c r="E28" s="1" t="str">
        <f>"PDC"</f>
        <v>PDC</v>
      </c>
      <c r="F28" s="1" t="str">
        <f>"375"</f>
        <v>375</v>
      </c>
      <c r="G28" s="1">
        <v>0.62</v>
      </c>
      <c r="H28" s="1">
        <v>0</v>
      </c>
    </row>
    <row r="29" spans="1:8" x14ac:dyDescent="0.3">
      <c r="A29" t="s">
        <v>8</v>
      </c>
      <c r="B29">
        <v>13125</v>
      </c>
      <c r="C29" s="1" t="str">
        <f t="shared" si="3"/>
        <v>YB. LISTA DEL APRUEBO</v>
      </c>
      <c r="D29" s="1" t="str">
        <f>"23. FRANCISCO REYES MORANDE (H)"</f>
        <v>23. FRANCISCO REYES MORANDE (H)</v>
      </c>
      <c r="E29" s="1" t="str">
        <f>"IND-PPD"</f>
        <v>IND-PPD</v>
      </c>
      <c r="F29" s="1" t="str">
        <f>"1.558"</f>
        <v>1.558</v>
      </c>
      <c r="G29" s="1">
        <v>2.56</v>
      </c>
      <c r="H29" s="1">
        <v>0</v>
      </c>
    </row>
    <row r="30" spans="1:8" x14ac:dyDescent="0.3">
      <c r="A30" t="s">
        <v>8</v>
      </c>
      <c r="B30">
        <v>13125</v>
      </c>
      <c r="C30" s="1" t="str">
        <f t="shared" si="3"/>
        <v>YB. LISTA DEL APRUEBO</v>
      </c>
      <c r="D30" s="1" t="str">
        <f>"24. JAIME TRONCOSO VALDES (H)"</f>
        <v>24. JAIME TRONCOSO VALDES (H)</v>
      </c>
      <c r="E30" s="1" t="str">
        <f>"PS"</f>
        <v>PS</v>
      </c>
      <c r="F30" s="1" t="str">
        <f>"179"</f>
        <v>179</v>
      </c>
      <c r="G30" s="1">
        <v>0.28999999999999998</v>
      </c>
      <c r="H30" s="1">
        <v>0</v>
      </c>
    </row>
    <row r="31" spans="1:8" x14ac:dyDescent="0.3">
      <c r="A31" t="s">
        <v>8</v>
      </c>
      <c r="B31">
        <v>13125</v>
      </c>
      <c r="C31" s="1" t="str">
        <f>"YQ. APRUEBO DIGNIDAD"</f>
        <v>YQ. APRUEBO DIGNIDAD</v>
      </c>
      <c r="E31" s="1" t="str">
        <f>""</f>
        <v/>
      </c>
      <c r="F31" s="1" t="str">
        <f>"20.976"</f>
        <v>20.976</v>
      </c>
      <c r="G31" s="1">
        <v>34.479999999999997</v>
      </c>
      <c r="H31" s="1"/>
    </row>
    <row r="32" spans="1:8" x14ac:dyDescent="0.3">
      <c r="A32" t="s">
        <v>8</v>
      </c>
      <c r="B32">
        <v>13125</v>
      </c>
      <c r="C32" s="1" t="str">
        <f t="shared" ref="C32:C39" si="4">"YQ. APRUEBO DIGNIDAD"</f>
        <v>YQ. APRUEBO DIGNIDAD</v>
      </c>
      <c r="D32" s="1" t="str">
        <f>"25. DORIS DAYANNA GONZALEZ LEMUNAO (M)"</f>
        <v>25. DORIS DAYANNA GONZALEZ LEMUNAO (M)</v>
      </c>
      <c r="E32" s="1" t="str">
        <f>"COMUNES"</f>
        <v>COMUNES</v>
      </c>
      <c r="F32" s="1" t="str">
        <f>"969"</f>
        <v>969</v>
      </c>
      <c r="G32" s="1">
        <v>1.59</v>
      </c>
      <c r="H32" s="1">
        <v>0</v>
      </c>
    </row>
    <row r="33" spans="1:8" ht="28.8" x14ac:dyDescent="0.3">
      <c r="A33" t="s">
        <v>8</v>
      </c>
      <c r="B33">
        <v>13125</v>
      </c>
      <c r="C33" s="1" t="str">
        <f t="shared" si="4"/>
        <v>YQ. APRUEBO DIGNIDAD</v>
      </c>
      <c r="D33" s="1" t="str">
        <f>"26. RENE LUIS NARANJO SOTOMAYOR (H)"</f>
        <v>26. RENE LUIS NARANJO SOTOMAYOR (H)</v>
      </c>
      <c r="E33" s="1" t="str">
        <f>"IND-COMUNES"</f>
        <v>IND-COMUNES</v>
      </c>
      <c r="F33" s="1" t="str">
        <f>"607"</f>
        <v>607</v>
      </c>
      <c r="G33" s="1">
        <v>1</v>
      </c>
      <c r="H33" s="1">
        <v>0</v>
      </c>
    </row>
    <row r="34" spans="1:8" x14ac:dyDescent="0.3">
      <c r="A34" t="s">
        <v>8</v>
      </c>
      <c r="B34">
        <v>13125</v>
      </c>
      <c r="C34" s="1" t="str">
        <f t="shared" si="4"/>
        <v>YQ. APRUEBO DIGNIDAD</v>
      </c>
      <c r="D34" s="1" t="str">
        <f>"27. VALENTINA ANDREA MIRANDA ARCE (M)"</f>
        <v>27. VALENTINA ANDREA MIRANDA ARCE (M)</v>
      </c>
      <c r="E34" s="1" t="str">
        <f>"PCCH"</f>
        <v>PCCH</v>
      </c>
      <c r="F34" s="1" t="str">
        <f>"1.459"</f>
        <v>1.459</v>
      </c>
      <c r="G34" s="1">
        <v>2.4</v>
      </c>
      <c r="H34" s="1">
        <v>1</v>
      </c>
    </row>
    <row r="35" spans="1:8" x14ac:dyDescent="0.3">
      <c r="A35" t="s">
        <v>8</v>
      </c>
      <c r="B35">
        <v>13125</v>
      </c>
      <c r="C35" s="1" t="str">
        <f t="shared" si="4"/>
        <v>YQ. APRUEBO DIGNIDAD</v>
      </c>
      <c r="D35" s="1" t="str">
        <f>"28. JUAN ANDRES LAGOS ESPINOZA (H)"</f>
        <v>28. JUAN ANDRES LAGOS ESPINOZA (H)</v>
      </c>
      <c r="E35" s="1" t="str">
        <f>"PCCH"</f>
        <v>PCCH</v>
      </c>
      <c r="F35" s="1" t="str">
        <f>"835"</f>
        <v>835</v>
      </c>
      <c r="G35" s="1">
        <v>1.37</v>
      </c>
      <c r="H35" s="1">
        <v>0</v>
      </c>
    </row>
    <row r="36" spans="1:8" x14ac:dyDescent="0.3">
      <c r="A36" t="s">
        <v>8</v>
      </c>
      <c r="B36">
        <v>13125</v>
      </c>
      <c r="C36" s="1" t="str">
        <f t="shared" si="4"/>
        <v>YQ. APRUEBO DIGNIDAD</v>
      </c>
      <c r="D36" s="1" t="str">
        <f>"29. PATRICIA JAVIERA LOPEZ MENADIER (M)"</f>
        <v>29. PATRICIA JAVIERA LOPEZ MENADIER (M)</v>
      </c>
      <c r="E36" s="1" t="str">
        <f>"IND-FREVS"</f>
        <v>IND-FREVS</v>
      </c>
      <c r="F36" s="1" t="str">
        <f>"438"</f>
        <v>438</v>
      </c>
      <c r="G36" s="1">
        <v>0.72</v>
      </c>
      <c r="H36" s="1">
        <v>0</v>
      </c>
    </row>
    <row r="37" spans="1:8" x14ac:dyDescent="0.3">
      <c r="A37" t="s">
        <v>8</v>
      </c>
      <c r="B37">
        <v>13125</v>
      </c>
      <c r="C37" s="1" t="str">
        <f t="shared" si="4"/>
        <v>YQ. APRUEBO DIGNIDAD</v>
      </c>
      <c r="D37" s="1" t="str">
        <f>"30. ANDRES SERGIO GIORDANO SALAZAR (H)"</f>
        <v>30. ANDRES SERGIO GIORDANO SALAZAR (H)</v>
      </c>
      <c r="E37" s="1" t="str">
        <f>"IND-FREVS"</f>
        <v>IND-FREVS</v>
      </c>
      <c r="F37" s="1" t="str">
        <f>"280"</f>
        <v>280</v>
      </c>
      <c r="G37" s="1">
        <v>0.45999999999999996</v>
      </c>
      <c r="H37" s="1">
        <v>0</v>
      </c>
    </row>
    <row r="38" spans="1:8" x14ac:dyDescent="0.3">
      <c r="A38" t="s">
        <v>8</v>
      </c>
      <c r="B38">
        <v>13125</v>
      </c>
      <c r="C38" s="1" t="str">
        <f t="shared" si="4"/>
        <v>YQ. APRUEBO DIGNIDAD</v>
      </c>
      <c r="D38" s="1" t="str">
        <f>"31. TATIANA KARINA URRUTIA HERRERA (M)"</f>
        <v>31. TATIANA KARINA URRUTIA HERRERA (M)</v>
      </c>
      <c r="E38" s="1" t="str">
        <f>"RD"</f>
        <v>RD</v>
      </c>
      <c r="F38" s="1" t="str">
        <f>"348"</f>
        <v>348</v>
      </c>
      <c r="G38" s="1">
        <v>0.57000000000000006</v>
      </c>
      <c r="H38" s="1">
        <v>1</v>
      </c>
    </row>
    <row r="39" spans="1:8" x14ac:dyDescent="0.3">
      <c r="A39" t="s">
        <v>8</v>
      </c>
      <c r="B39">
        <v>13125</v>
      </c>
      <c r="C39" s="1" t="str">
        <f t="shared" si="4"/>
        <v>YQ. APRUEBO DIGNIDAD</v>
      </c>
      <c r="D39" s="1" t="str">
        <f>"32. DANIEL RODRIGO STINGO CAMUS (H)"</f>
        <v>32. DANIEL RODRIGO STINGO CAMUS (H)</v>
      </c>
      <c r="E39" s="1" t="str">
        <f>"IND-RD"</f>
        <v>IND-RD</v>
      </c>
      <c r="F39" s="1" t="str">
        <f>"16.040"</f>
        <v>16.040</v>
      </c>
      <c r="G39" s="1">
        <v>26.36</v>
      </c>
      <c r="H39" s="1">
        <v>1</v>
      </c>
    </row>
    <row r="40" spans="1:8" x14ac:dyDescent="0.3">
      <c r="A40" t="s">
        <v>8</v>
      </c>
      <c r="B40">
        <v>13125</v>
      </c>
      <c r="C40" s="1" t="str">
        <f>"YU. INDEPENDIENTES Y MOVIMIENTOS SOCIALES DEL APRUEBO (D8)"</f>
        <v>YU. INDEPENDIENTES Y MOVIMIENTOS SOCIALES DEL APRUEBO (D8)</v>
      </c>
      <c r="E40" s="1" t="str">
        <f>""</f>
        <v/>
      </c>
      <c r="F40" s="1" t="str">
        <f>"3.933"</f>
        <v>3.933</v>
      </c>
      <c r="G40" s="1">
        <v>6.4600000000000009</v>
      </c>
      <c r="H40" s="1"/>
    </row>
    <row r="41" spans="1:8" x14ac:dyDescent="0.3">
      <c r="A41" t="s">
        <v>8</v>
      </c>
      <c r="B41">
        <v>13125</v>
      </c>
      <c r="C41" s="1" t="str">
        <f t="shared" ref="C41:C48" si="5">"YU. INDEPENDIENTES Y MOVIMIENTOS SOCIALES DEL APRUEBO (D8)"</f>
        <v>YU. INDEPENDIENTES Y MOVIMIENTOS SOCIALES DEL APRUEBO (D8)</v>
      </c>
      <c r="D41" s="1" t="str">
        <f>"33. PATRICIA ELIZABETH LILLO REYES (M)"</f>
        <v>33. PATRICIA ELIZABETH LILLO REYES (M)</v>
      </c>
      <c r="E41" s="1" t="str">
        <f t="shared" ref="E41:E48" si="6">"IND"</f>
        <v>IND</v>
      </c>
      <c r="F41" s="1" t="str">
        <f>"613"</f>
        <v>613</v>
      </c>
      <c r="G41" s="1">
        <v>1.01</v>
      </c>
      <c r="H41" s="1">
        <v>0</v>
      </c>
    </row>
    <row r="42" spans="1:8" x14ac:dyDescent="0.3">
      <c r="A42" t="s">
        <v>8</v>
      </c>
      <c r="B42">
        <v>13125</v>
      </c>
      <c r="C42" s="1" t="str">
        <f t="shared" si="5"/>
        <v>YU. INDEPENDIENTES Y MOVIMIENTOS SOCIALES DEL APRUEBO (D8)</v>
      </c>
      <c r="D42" s="1" t="str">
        <f>"34. MARIO AGUILAR AREVALO (H)"</f>
        <v>34. MARIO AGUILAR AREVALO (H)</v>
      </c>
      <c r="E42" s="1" t="str">
        <f t="shared" si="6"/>
        <v>IND</v>
      </c>
      <c r="F42" s="1" t="str">
        <f>"1.216"</f>
        <v>1.216</v>
      </c>
      <c r="G42" s="1">
        <v>2</v>
      </c>
      <c r="H42" s="1">
        <v>0</v>
      </c>
    </row>
    <row r="43" spans="1:8" x14ac:dyDescent="0.3">
      <c r="A43" t="s">
        <v>8</v>
      </c>
      <c r="B43">
        <v>13125</v>
      </c>
      <c r="C43" s="1" t="str">
        <f t="shared" si="5"/>
        <v>YU. INDEPENDIENTES Y MOVIMIENTOS SOCIALES DEL APRUEBO (D8)</v>
      </c>
      <c r="D43" s="1" t="str">
        <f>"35. JOCELYN DURAN HUAIQUIN (M)"</f>
        <v>35. JOCELYN DURAN HUAIQUIN (M)</v>
      </c>
      <c r="E43" s="1" t="str">
        <f t="shared" si="6"/>
        <v>IND</v>
      </c>
      <c r="F43" s="1" t="str">
        <f>"573"</f>
        <v>573</v>
      </c>
      <c r="G43" s="1">
        <v>0.94000000000000006</v>
      </c>
      <c r="H43" s="1">
        <v>0</v>
      </c>
    </row>
    <row r="44" spans="1:8" x14ac:dyDescent="0.3">
      <c r="A44" t="s">
        <v>8</v>
      </c>
      <c r="B44">
        <v>13125</v>
      </c>
      <c r="C44" s="1" t="str">
        <f t="shared" si="5"/>
        <v>YU. INDEPENDIENTES Y MOVIMIENTOS SOCIALES DEL APRUEBO (D8)</v>
      </c>
      <c r="D44" s="1" t="str">
        <f>"36. ESTEBAN ANDRES QUIROZ GONZALEZ (H)"</f>
        <v>36. ESTEBAN ANDRES QUIROZ GONZALEZ (H)</v>
      </c>
      <c r="E44" s="1" t="str">
        <f t="shared" si="6"/>
        <v>IND</v>
      </c>
      <c r="F44" s="1" t="str">
        <f>"527"</f>
        <v>527</v>
      </c>
      <c r="G44" s="1">
        <v>0.86999999999999988</v>
      </c>
      <c r="H44" s="1">
        <v>0</v>
      </c>
    </row>
    <row r="45" spans="1:8" x14ac:dyDescent="0.3">
      <c r="A45" t="s">
        <v>8</v>
      </c>
      <c r="B45">
        <v>13125</v>
      </c>
      <c r="C45" s="1" t="str">
        <f t="shared" si="5"/>
        <v>YU. INDEPENDIENTES Y MOVIMIENTOS SOCIALES DEL APRUEBO (D8)</v>
      </c>
      <c r="D45" s="1" t="str">
        <f>"37. NATALIE ALEJANDRA ARRIAGADA ACOSTA (M)"</f>
        <v>37. NATALIE ALEJANDRA ARRIAGADA ACOSTA (M)</v>
      </c>
      <c r="E45" s="1" t="str">
        <f t="shared" si="6"/>
        <v>IND</v>
      </c>
      <c r="F45" s="1" t="str">
        <f>"460"</f>
        <v>460</v>
      </c>
      <c r="G45" s="1">
        <v>0.76</v>
      </c>
      <c r="H45" s="1">
        <v>0</v>
      </c>
    </row>
    <row r="46" spans="1:8" x14ac:dyDescent="0.3">
      <c r="A46" t="s">
        <v>8</v>
      </c>
      <c r="B46">
        <v>13125</v>
      </c>
      <c r="C46" s="1" t="str">
        <f t="shared" si="5"/>
        <v>YU. INDEPENDIENTES Y MOVIMIENTOS SOCIALES DEL APRUEBO (D8)</v>
      </c>
      <c r="D46" s="1" t="str">
        <f>"38. MANUEL RODOLFO VALENCIA CHACON (H)"</f>
        <v>38. MANUEL RODOLFO VALENCIA CHACON (H)</v>
      </c>
      <c r="E46" s="1" t="str">
        <f t="shared" si="6"/>
        <v>IND</v>
      </c>
      <c r="F46" s="1" t="str">
        <f>"157"</f>
        <v>157</v>
      </c>
      <c r="G46" s="1">
        <v>0.26</v>
      </c>
      <c r="H46" s="1">
        <v>0</v>
      </c>
    </row>
    <row r="47" spans="1:8" x14ac:dyDescent="0.3">
      <c r="A47" t="s">
        <v>8</v>
      </c>
      <c r="B47">
        <v>13125</v>
      </c>
      <c r="C47" s="1" t="str">
        <f t="shared" si="5"/>
        <v>YU. INDEPENDIENTES Y MOVIMIENTOS SOCIALES DEL APRUEBO (D8)</v>
      </c>
      <c r="D47" s="1" t="str">
        <f>"39. TERESA ADRIANA POBLETE PINOCHET (M)"</f>
        <v>39. TERESA ADRIANA POBLETE PINOCHET (M)</v>
      </c>
      <c r="E47" s="1" t="str">
        <f t="shared" si="6"/>
        <v>IND</v>
      </c>
      <c r="F47" s="1" t="str">
        <f>"219"</f>
        <v>219</v>
      </c>
      <c r="G47" s="1">
        <v>0.36</v>
      </c>
      <c r="H47" s="1">
        <v>0</v>
      </c>
    </row>
    <row r="48" spans="1:8" x14ac:dyDescent="0.3">
      <c r="A48" t="s">
        <v>8</v>
      </c>
      <c r="B48">
        <v>13125</v>
      </c>
      <c r="C48" s="1" t="str">
        <f t="shared" si="5"/>
        <v>YU. INDEPENDIENTES Y MOVIMIENTOS SOCIALES DEL APRUEBO (D8)</v>
      </c>
      <c r="D48" s="1" t="str">
        <f>"40. ALEJANDRO ADRIAN CANTILLANA PARETTI (H)"</f>
        <v>40. ALEJANDRO ADRIAN CANTILLANA PARETTI (H)</v>
      </c>
      <c r="E48" s="1" t="str">
        <f t="shared" si="6"/>
        <v>IND</v>
      </c>
      <c r="F48" s="1" t="str">
        <f>"168"</f>
        <v>168</v>
      </c>
      <c r="G48" s="1">
        <v>0.27999999999999997</v>
      </c>
      <c r="H48" s="1">
        <v>0</v>
      </c>
    </row>
    <row r="49" spans="1:8" x14ac:dyDescent="0.3">
      <c r="A49" t="s">
        <v>8</v>
      </c>
      <c r="B49">
        <v>13125</v>
      </c>
      <c r="C49" s="1" t="str">
        <f>"ZB. UNION PATRIOTICA"</f>
        <v>ZB. UNION PATRIOTICA</v>
      </c>
      <c r="E49" s="1" t="str">
        <f>""</f>
        <v/>
      </c>
      <c r="F49" s="1" t="str">
        <f>"1.271"</f>
        <v>1.271</v>
      </c>
      <c r="G49" s="1">
        <v>2.09</v>
      </c>
      <c r="H49" s="1"/>
    </row>
    <row r="50" spans="1:8" x14ac:dyDescent="0.3">
      <c r="A50" t="s">
        <v>8</v>
      </c>
      <c r="B50">
        <v>13125</v>
      </c>
      <c r="C50" s="1" t="str">
        <f t="shared" ref="C50:C54" si="7">"ZB. UNION PATRIOTICA"</f>
        <v>ZB. UNION PATRIOTICA</v>
      </c>
      <c r="D50" s="1" t="str">
        <f>"41. DANIELA BELEN ACEVEDO VERDUGO (M)"</f>
        <v>41. DANIELA BELEN ACEVEDO VERDUGO (M)</v>
      </c>
      <c r="E50" s="1" t="str">
        <f>"UPA"</f>
        <v>UPA</v>
      </c>
      <c r="F50" s="1" t="str">
        <f>"269"</f>
        <v>269</v>
      </c>
      <c r="G50" s="1">
        <v>0.44</v>
      </c>
      <c r="H50" s="1">
        <v>0</v>
      </c>
    </row>
    <row r="51" spans="1:8" x14ac:dyDescent="0.3">
      <c r="A51" t="s">
        <v>8</v>
      </c>
      <c r="B51">
        <v>13125</v>
      </c>
      <c r="C51" s="1" t="str">
        <f t="shared" si="7"/>
        <v>ZB. UNION PATRIOTICA</v>
      </c>
      <c r="D51" s="1" t="str">
        <f>"42. ARTURO ELIAS PEREZ VALENZUELA (H)"</f>
        <v>42. ARTURO ELIAS PEREZ VALENZUELA (H)</v>
      </c>
      <c r="E51" s="1" t="str">
        <f>"UPA"</f>
        <v>UPA</v>
      </c>
      <c r="F51" s="1" t="str">
        <f>"761"</f>
        <v>761</v>
      </c>
      <c r="G51" s="1">
        <v>1.25</v>
      </c>
      <c r="H51" s="1">
        <v>0</v>
      </c>
    </row>
    <row r="52" spans="1:8" x14ac:dyDescent="0.3">
      <c r="A52" t="s">
        <v>8</v>
      </c>
      <c r="B52">
        <v>13125</v>
      </c>
      <c r="C52" s="1" t="str">
        <f t="shared" si="7"/>
        <v>ZB. UNION PATRIOTICA</v>
      </c>
      <c r="D52" s="1" t="str">
        <f>"43. JOHANNA ESTHEFANIE MUÑOZ PAJARITO (M)"</f>
        <v>43. JOHANNA ESTHEFANIE MUÑOZ PAJARITO (M)</v>
      </c>
      <c r="E52" s="1" t="str">
        <f>"UPA"</f>
        <v>UPA</v>
      </c>
      <c r="F52" s="1" t="str">
        <f>"67"</f>
        <v>67</v>
      </c>
      <c r="G52" s="1">
        <v>0.11</v>
      </c>
      <c r="H52" s="1">
        <v>0</v>
      </c>
    </row>
    <row r="53" spans="1:8" x14ac:dyDescent="0.3">
      <c r="A53" t="s">
        <v>8</v>
      </c>
      <c r="B53">
        <v>13125</v>
      </c>
      <c r="C53" s="1" t="str">
        <f t="shared" si="7"/>
        <v>ZB. UNION PATRIOTICA</v>
      </c>
      <c r="D53" s="1" t="str">
        <f>"44. FABIAN JOSE CABALLERO VERGARA (H)"</f>
        <v>44. FABIAN JOSE CABALLERO VERGARA (H)</v>
      </c>
      <c r="E53" s="1" t="str">
        <f>"UPA"</f>
        <v>UPA</v>
      </c>
      <c r="F53" s="1" t="str">
        <f>"83"</f>
        <v>83</v>
      </c>
      <c r="G53" s="1">
        <v>0.13999999999999999</v>
      </c>
      <c r="H53" s="1">
        <v>0</v>
      </c>
    </row>
    <row r="54" spans="1:8" x14ac:dyDescent="0.3">
      <c r="A54" t="s">
        <v>8</v>
      </c>
      <c r="B54">
        <v>13125</v>
      </c>
      <c r="C54" s="1" t="str">
        <f t="shared" si="7"/>
        <v>ZB. UNION PATRIOTICA</v>
      </c>
      <c r="D54" s="1" t="str">
        <f>"45. MIGUEL ANGEL FONSECA CARRILLO (H)"</f>
        <v>45. MIGUEL ANGEL FONSECA CARRILLO (H)</v>
      </c>
      <c r="E54" s="1" t="str">
        <f>"UPA"</f>
        <v>UPA</v>
      </c>
      <c r="F54" s="1" t="str">
        <f>"91"</f>
        <v>91</v>
      </c>
      <c r="G54" s="1">
        <v>0.15</v>
      </c>
      <c r="H54" s="1">
        <v>0</v>
      </c>
    </row>
    <row r="55" spans="1:8" x14ac:dyDescent="0.3">
      <c r="A55" t="s">
        <v>8</v>
      </c>
      <c r="B55">
        <v>13125</v>
      </c>
      <c r="C55" s="1" t="str">
        <f>"ZN. LA LISTA DEL PUEBLO (D8)"</f>
        <v>ZN. LA LISTA DEL PUEBLO (D8)</v>
      </c>
      <c r="E55" s="1" t="str">
        <f>""</f>
        <v/>
      </c>
      <c r="F55" s="1" t="str">
        <f>"15.817"</f>
        <v>15.817</v>
      </c>
      <c r="G55" s="1">
        <v>26</v>
      </c>
      <c r="H55" s="1"/>
    </row>
    <row r="56" spans="1:8" x14ac:dyDescent="0.3">
      <c r="A56" t="s">
        <v>8</v>
      </c>
      <c r="B56">
        <v>13125</v>
      </c>
      <c r="C56" s="1" t="str">
        <f t="shared" ref="C56:C63" si="8">"ZN. LA LISTA DEL PUEBLO (D8)"</f>
        <v>ZN. LA LISTA DEL PUEBLO (D8)</v>
      </c>
      <c r="D56" s="1" t="str">
        <f>"46. MARIA MAGDALENA RIVERA IRIBARREN (M)"</f>
        <v>46. MARIA MAGDALENA RIVERA IRIBARREN (M)</v>
      </c>
      <c r="E56" s="1" t="str">
        <f t="shared" ref="E56:E63" si="9">"IND"</f>
        <v>IND</v>
      </c>
      <c r="F56" s="1" t="str">
        <f>"2.329"</f>
        <v>2.329</v>
      </c>
      <c r="G56" s="1">
        <v>3.83</v>
      </c>
      <c r="H56" s="1">
        <v>1</v>
      </c>
    </row>
    <row r="57" spans="1:8" x14ac:dyDescent="0.3">
      <c r="A57" t="s">
        <v>8</v>
      </c>
      <c r="B57">
        <v>13125</v>
      </c>
      <c r="C57" s="1" t="str">
        <f t="shared" si="8"/>
        <v>ZN. LA LISTA DEL PUEBLO (D8)</v>
      </c>
      <c r="D57" s="1" t="str">
        <f>"47. MARCO ANTONIO ARELLANO ORTEGA (H)"</f>
        <v>47. MARCO ANTONIO ARELLANO ORTEGA (H)</v>
      </c>
      <c r="E57" s="1" t="str">
        <f t="shared" si="9"/>
        <v>IND</v>
      </c>
      <c r="F57" s="1" t="str">
        <f>"6.641"</f>
        <v>6.641</v>
      </c>
      <c r="G57" s="1">
        <v>10.91</v>
      </c>
      <c r="H57" s="1">
        <v>1</v>
      </c>
    </row>
    <row r="58" spans="1:8" x14ac:dyDescent="0.3">
      <c r="A58" t="s">
        <v>8</v>
      </c>
      <c r="B58">
        <v>13125</v>
      </c>
      <c r="C58" s="1" t="str">
        <f t="shared" si="8"/>
        <v>ZN. LA LISTA DEL PUEBLO (D8)</v>
      </c>
      <c r="D58" s="1" t="str">
        <f>"48. PALOMBA JAEL ALBARRACIN MORI (M)"</f>
        <v>48. PALOMBA JAEL ALBARRACIN MORI (M)</v>
      </c>
      <c r="E58" s="1" t="str">
        <f t="shared" si="9"/>
        <v>IND</v>
      </c>
      <c r="F58" s="1" t="str">
        <f>"1.103"</f>
        <v>1.103</v>
      </c>
      <c r="G58" s="1">
        <v>1.81</v>
      </c>
      <c r="H58" s="1">
        <v>0</v>
      </c>
    </row>
    <row r="59" spans="1:8" x14ac:dyDescent="0.3">
      <c r="A59" t="s">
        <v>8</v>
      </c>
      <c r="B59">
        <v>13125</v>
      </c>
      <c r="C59" s="1" t="str">
        <f t="shared" si="8"/>
        <v>ZN. LA LISTA DEL PUEBLO (D8)</v>
      </c>
      <c r="D59" s="1" t="str">
        <f>"49. DANIEL TRUJILLO RIVAS (H)"</f>
        <v>49. DANIEL TRUJILLO RIVAS (H)</v>
      </c>
      <c r="E59" s="1" t="str">
        <f t="shared" si="9"/>
        <v>IND</v>
      </c>
      <c r="F59" s="1" t="str">
        <f>"1.073"</f>
        <v>1.073</v>
      </c>
      <c r="G59" s="1">
        <v>1.76</v>
      </c>
      <c r="H59" s="1">
        <v>0</v>
      </c>
    </row>
    <row r="60" spans="1:8" x14ac:dyDescent="0.3">
      <c r="A60" t="s">
        <v>8</v>
      </c>
      <c r="B60">
        <v>13125</v>
      </c>
      <c r="C60" s="1" t="str">
        <f t="shared" si="8"/>
        <v>ZN. LA LISTA DEL PUEBLO (D8)</v>
      </c>
      <c r="D60" s="1" t="str">
        <f>"50. CLAUDIA SOLEDAD FIGUEROA SEPULVEDA (M)"</f>
        <v>50. CLAUDIA SOLEDAD FIGUEROA SEPULVEDA (M)</v>
      </c>
      <c r="E60" s="1" t="str">
        <f t="shared" si="9"/>
        <v>IND</v>
      </c>
      <c r="F60" s="1" t="str">
        <f>"2.171"</f>
        <v>2.171</v>
      </c>
      <c r="G60" s="1">
        <v>3.5700000000000003</v>
      </c>
      <c r="H60" s="1">
        <v>0</v>
      </c>
    </row>
    <row r="61" spans="1:8" x14ac:dyDescent="0.3">
      <c r="A61" t="s">
        <v>8</v>
      </c>
      <c r="B61">
        <v>13125</v>
      </c>
      <c r="C61" s="1" t="str">
        <f t="shared" si="8"/>
        <v>ZN. LA LISTA DEL PUEBLO (D8)</v>
      </c>
      <c r="D61" s="1" t="str">
        <f>"51. PABLO ANDRES CRUZ RAMIREZ (H)"</f>
        <v>51. PABLO ANDRES CRUZ RAMIREZ (H)</v>
      </c>
      <c r="E61" s="1" t="str">
        <f t="shared" si="9"/>
        <v>IND</v>
      </c>
      <c r="F61" s="1" t="str">
        <f>"405"</f>
        <v>405</v>
      </c>
      <c r="G61" s="1">
        <v>0.67</v>
      </c>
      <c r="H61" s="1">
        <v>0</v>
      </c>
    </row>
    <row r="62" spans="1:8" x14ac:dyDescent="0.3">
      <c r="A62" t="s">
        <v>8</v>
      </c>
      <c r="B62">
        <v>13125</v>
      </c>
      <c r="C62" s="1" t="str">
        <f t="shared" si="8"/>
        <v>ZN. LA LISTA DEL PUEBLO (D8)</v>
      </c>
      <c r="D62" s="1" t="str">
        <f>"52. KAREN FRANCISCA ORELLANA SULLIVAN (M)"</f>
        <v>52. KAREN FRANCISCA ORELLANA SULLIVAN (M)</v>
      </c>
      <c r="E62" s="1" t="str">
        <f t="shared" si="9"/>
        <v>IND</v>
      </c>
      <c r="F62" s="1" t="str">
        <f>"1.656"</f>
        <v>1.656</v>
      </c>
      <c r="G62" s="1">
        <v>2.7199999999999998</v>
      </c>
      <c r="H62" s="1">
        <v>0</v>
      </c>
    </row>
    <row r="63" spans="1:8" x14ac:dyDescent="0.3">
      <c r="A63" t="s">
        <v>8</v>
      </c>
      <c r="B63">
        <v>13125</v>
      </c>
      <c r="C63" s="1" t="str">
        <f t="shared" si="8"/>
        <v>ZN. LA LISTA DEL PUEBLO (D8)</v>
      </c>
      <c r="D63" s="1" t="str">
        <f>"53. GERARDO ANTONIO ITURRA GARCIA (H)"</f>
        <v>53. GERARDO ANTONIO ITURRA GARCIA (H)</v>
      </c>
      <c r="E63" s="1" t="str">
        <f t="shared" si="9"/>
        <v>IND</v>
      </c>
      <c r="F63" s="1" t="str">
        <f>"439"</f>
        <v>439</v>
      </c>
      <c r="G63" s="1">
        <v>0.72</v>
      </c>
      <c r="H63" s="1">
        <v>0</v>
      </c>
    </row>
    <row r="64" spans="1:8" x14ac:dyDescent="0.3">
      <c r="A64" t="s">
        <v>8</v>
      </c>
      <c r="B64">
        <v>13125</v>
      </c>
      <c r="C64" s="1" t="str">
        <f>"ZR. PARTIDO DE TRABAJADORES REVOLUCIONARIOS"</f>
        <v>ZR. PARTIDO DE TRABAJADORES REVOLUCIONARIOS</v>
      </c>
      <c r="E64" s="1" t="str">
        <f>""</f>
        <v/>
      </c>
      <c r="F64" s="1" t="str">
        <f>"756"</f>
        <v>756</v>
      </c>
      <c r="G64" s="1">
        <v>1.24</v>
      </c>
      <c r="H64" s="1"/>
    </row>
    <row r="65" spans="1:8" x14ac:dyDescent="0.3">
      <c r="A65" t="s">
        <v>8</v>
      </c>
      <c r="B65">
        <v>13125</v>
      </c>
      <c r="C65" s="1" t="str">
        <f t="shared" ref="C65:C70" si="10">"ZR. PARTIDO DE TRABAJADORES REVOLUCIONARIOS"</f>
        <v>ZR. PARTIDO DE TRABAJADORES REVOLUCIONARIOS</v>
      </c>
      <c r="D65" s="1" t="str">
        <f>"54. BEATRIZ ALEJANDRA BRAVO VACA (M)"</f>
        <v>54. BEATRIZ ALEJANDRA BRAVO VACA (M)</v>
      </c>
      <c r="E65" s="1" t="str">
        <f t="shared" ref="E65:E70" si="11">"PTR"</f>
        <v>PTR</v>
      </c>
      <c r="F65" s="1" t="str">
        <f>"311"</f>
        <v>311</v>
      </c>
      <c r="G65" s="1">
        <v>0.51</v>
      </c>
      <c r="H65" s="1">
        <v>0</v>
      </c>
    </row>
    <row r="66" spans="1:8" x14ac:dyDescent="0.3">
      <c r="A66" t="s">
        <v>8</v>
      </c>
      <c r="B66">
        <v>13125</v>
      </c>
      <c r="C66" s="1" t="str">
        <f t="shared" si="10"/>
        <v>ZR. PARTIDO DE TRABAJADORES REVOLUCIONARIOS</v>
      </c>
      <c r="D66" s="1" t="str">
        <f>"55. SEBASTIAN ALEXIS AVILES TAPIA (H)"</f>
        <v>55. SEBASTIAN ALEXIS AVILES TAPIA (H)</v>
      </c>
      <c r="E66" s="1" t="str">
        <f t="shared" si="11"/>
        <v>PTR</v>
      </c>
      <c r="F66" s="1" t="str">
        <f>"104"</f>
        <v>104</v>
      </c>
      <c r="G66" s="1">
        <v>0.16999999999999998</v>
      </c>
      <c r="H66" s="1">
        <v>0</v>
      </c>
    </row>
    <row r="67" spans="1:8" x14ac:dyDescent="0.3">
      <c r="A67" t="s">
        <v>8</v>
      </c>
      <c r="B67">
        <v>13125</v>
      </c>
      <c r="C67" s="1" t="str">
        <f t="shared" si="10"/>
        <v>ZR. PARTIDO DE TRABAJADORES REVOLUCIONARIOS</v>
      </c>
      <c r="D67" s="1" t="str">
        <f>"56. JAVIERA CONSTANZA MARQUEZ BASUALTO (M)"</f>
        <v>56. JAVIERA CONSTANZA MARQUEZ BASUALTO (M)</v>
      </c>
      <c r="E67" s="1" t="str">
        <f t="shared" si="11"/>
        <v>PTR</v>
      </c>
      <c r="F67" s="1" t="str">
        <f>"132"</f>
        <v>132</v>
      </c>
      <c r="G67" s="1">
        <v>0.22</v>
      </c>
      <c r="H67" s="1">
        <v>0</v>
      </c>
    </row>
    <row r="68" spans="1:8" x14ac:dyDescent="0.3">
      <c r="A68" t="s">
        <v>8</v>
      </c>
      <c r="B68">
        <v>13125</v>
      </c>
      <c r="C68" s="1" t="str">
        <f t="shared" si="10"/>
        <v>ZR. PARTIDO DE TRABAJADORES REVOLUCIONARIOS</v>
      </c>
      <c r="D68" s="1" t="str">
        <f>"57. LEONARDO CLAUDIO CABEZAS ZUÑIGA (H)"</f>
        <v>57. LEONARDO CLAUDIO CABEZAS ZUÑIGA (H)</v>
      </c>
      <c r="E68" s="1" t="str">
        <f t="shared" si="11"/>
        <v>PTR</v>
      </c>
      <c r="F68" s="1" t="str">
        <f>"72"</f>
        <v>72</v>
      </c>
      <c r="G68" s="1">
        <v>0.12</v>
      </c>
      <c r="H68" s="1">
        <v>0</v>
      </c>
    </row>
    <row r="69" spans="1:8" x14ac:dyDescent="0.3">
      <c r="A69" t="s">
        <v>8</v>
      </c>
      <c r="B69">
        <v>13125</v>
      </c>
      <c r="C69" s="1" t="str">
        <f t="shared" si="10"/>
        <v>ZR. PARTIDO DE TRABAJADORES REVOLUCIONARIOS</v>
      </c>
      <c r="D69" s="1" t="str">
        <f>"58. MARIA ISABEL MARGARITA MARTINEZ LIZAMA (M)"</f>
        <v>58. MARIA ISABEL MARGARITA MARTINEZ LIZAMA (M)</v>
      </c>
      <c r="E69" s="1" t="str">
        <f t="shared" si="11"/>
        <v>PTR</v>
      </c>
      <c r="F69" s="1" t="str">
        <f>"73"</f>
        <v>73</v>
      </c>
      <c r="G69" s="1">
        <v>0.12</v>
      </c>
      <c r="H69" s="1">
        <v>0</v>
      </c>
    </row>
    <row r="70" spans="1:8" x14ac:dyDescent="0.3">
      <c r="A70" t="s">
        <v>8</v>
      </c>
      <c r="B70">
        <v>13125</v>
      </c>
      <c r="C70" s="1" t="str">
        <f t="shared" si="10"/>
        <v>ZR. PARTIDO DE TRABAJADORES REVOLUCIONARIOS</v>
      </c>
      <c r="D70" s="1" t="str">
        <f>"59. FRANCISCO VLADIMIR FLORES COBO (H)"</f>
        <v>59. FRANCISCO VLADIMIR FLORES COBO (H)</v>
      </c>
      <c r="E70" s="1" t="str">
        <f t="shared" si="11"/>
        <v>PTR</v>
      </c>
      <c r="F70" s="1" t="str">
        <f>"64"</f>
        <v>64</v>
      </c>
      <c r="G70" s="1">
        <v>0.11</v>
      </c>
      <c r="H70" s="1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Hoja_01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 Leyton Núñez</cp:lastModifiedBy>
  <dcterms:created xsi:type="dcterms:W3CDTF">2021-06-10T19:29:51Z</dcterms:created>
  <dcterms:modified xsi:type="dcterms:W3CDTF">2021-06-10T19:29:51Z</dcterms:modified>
</cp:coreProperties>
</file>