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03BEFC67-8348-4BC6-A91F-F7EF3A270EB6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1" l="1"/>
  <c r="C76" i="1"/>
  <c r="C75" i="1"/>
  <c r="D74" i="1"/>
  <c r="C74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C20" i="1"/>
  <c r="D19" i="1"/>
  <c r="C19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<sst xmlns="http://schemas.openxmlformats.org/spreadsheetml/2006/main" count="83" uniqueCount="9">
  <si>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</si>
  <si>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</si>
  <si>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</si>
  <si>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</si>
  <si>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</si>
  <si>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</si>
  <si>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</si>
  <si>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</si>
  <si>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SANJOSEDEMAPIO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</si>
</sst>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topLeftCell="A67" workbookViewId="0">
      <selection activeCell="A2" sqref="A2:B76"/>
    </sheetView>
  </sheetViews>
  <sheetFormatPr baseColWidth="10" defaultColWidth="8.88671875" defaultRowHeight="14.4" x14ac:dyDescent="0.3"/>
  <cols>
    <col min="1" max="1" width="19.21875" customWidth="1"/>
    <col min="3" max="3" width="29.6640625" customWidth="1"/>
    <col min="4" max="4" width="35.5546875" bestFit="1" customWidth="1"/>
    <col min="5" max="5" width="12" customWidth="1"/>
    <col min="6" max="6" width="9.88671875" customWidth="1"/>
    <col min="7" max="7" width="17.109375" customWidth="1"/>
    <col min="8" max="8" width="9.886718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13203</v>
      </c>
      <c r="C2" s="1" t="str">
        <f>"T. VOCES CONSTITUYENTES (D12)"</f>
        <v>T. VOCES CONSTITUYENTES (D12)</v>
      </c>
      <c r="E2" s="1" t="str">
        <f>""</f>
        <v/>
      </c>
      <c r="F2" s="1" t="str">
        <f>"937"</f>
        <v>937</v>
      </c>
      <c r="G2" s="1">
        <v>12.18</v>
      </c>
      <c r="H2" s="1"/>
    </row>
    <row r="3" spans="1:8" x14ac:dyDescent="0.3">
      <c r="A3" t="s">
        <v>8</v>
      </c>
      <c r="B3">
        <v>13203</v>
      </c>
      <c r="C3" s="1" t="str">
        <f t="shared" ref="C3:C9" si="0">"T. VOCES CONSTITUYENTES (D12)"</f>
        <v>T. VOCES CONSTITUYENTES (D12)</v>
      </c>
      <c r="D3" s="1" t="str">
        <f>"1. ALONDRA CARRILLO VIDAL (M)"</f>
        <v>1. ALONDRA CARRILLO VIDAL (M)</v>
      </c>
      <c r="E3" s="1" t="str">
        <f t="shared" ref="E3:E9" si="1">"IND"</f>
        <v>IND</v>
      </c>
      <c r="F3" s="1" t="str">
        <f>"497"</f>
        <v>497</v>
      </c>
      <c r="G3" s="1">
        <v>6.4600000000000009</v>
      </c>
      <c r="H3" s="1">
        <v>1</v>
      </c>
    </row>
    <row r="4" spans="1:8" x14ac:dyDescent="0.3">
      <c r="A4" t="s">
        <v>8</v>
      </c>
      <c r="B4">
        <v>13203</v>
      </c>
      <c r="C4" s="1" t="str">
        <f t="shared" si="0"/>
        <v>T. VOCES CONSTITUYENTES (D12)</v>
      </c>
      <c r="D4" s="1" t="str">
        <f>"2. LUCIO FAVIO CUENCA BERGER (H)"</f>
        <v>2. LUCIO FAVIO CUENCA BERGER (H)</v>
      </c>
      <c r="E4" s="1" t="str">
        <f t="shared" si="1"/>
        <v>IND</v>
      </c>
      <c r="F4" s="1" t="str">
        <f>"235"</f>
        <v>235</v>
      </c>
      <c r="G4" s="1">
        <v>3.06</v>
      </c>
      <c r="H4" s="1">
        <v>0</v>
      </c>
    </row>
    <row r="5" spans="1:8" ht="28.8" x14ac:dyDescent="0.3">
      <c r="A5" t="s">
        <v>8</v>
      </c>
      <c r="B5">
        <v>13203</v>
      </c>
      <c r="C5" s="1" t="str">
        <f t="shared" si="0"/>
        <v>T. VOCES CONSTITUYENTES (D12)</v>
      </c>
      <c r="D5" s="1" t="str">
        <f>"3. VALERIA ISIDORA ORTEGA CONTRERAS (M)"</f>
        <v>3. VALERIA ISIDORA ORTEGA CONTRERAS (M)</v>
      </c>
      <c r="E5" s="1" t="str">
        <f t="shared" si="1"/>
        <v>IND</v>
      </c>
      <c r="F5" s="1" t="str">
        <f>"59"</f>
        <v>59</v>
      </c>
      <c r="G5" s="1">
        <v>0.77</v>
      </c>
      <c r="H5" s="1">
        <v>0</v>
      </c>
    </row>
    <row r="6" spans="1:8" ht="28.8" x14ac:dyDescent="0.3">
      <c r="A6" t="s">
        <v>8</v>
      </c>
      <c r="B6">
        <v>13203</v>
      </c>
      <c r="C6" s="1" t="str">
        <f t="shared" si="0"/>
        <v>T. VOCES CONSTITUYENTES (D12)</v>
      </c>
      <c r="D6" s="1" t="str">
        <f>"4. EDUARDO ENRIQUE GUTIERREZ GONZALEZ (H)"</f>
        <v>4. EDUARDO ENRIQUE GUTIERREZ GONZALEZ (H)</v>
      </c>
      <c r="E6" s="1" t="str">
        <f t="shared" si="1"/>
        <v>IND</v>
      </c>
      <c r="F6" s="1" t="str">
        <f>"28"</f>
        <v>28</v>
      </c>
      <c r="G6" s="1">
        <v>0.36</v>
      </c>
      <c r="H6" s="1">
        <v>0</v>
      </c>
    </row>
    <row r="7" spans="1:8" x14ac:dyDescent="0.3">
      <c r="A7" t="s">
        <v>8</v>
      </c>
      <c r="B7">
        <v>13203</v>
      </c>
      <c r="C7" s="1" t="str">
        <f t="shared" si="0"/>
        <v>T. VOCES CONSTITUYENTES (D12)</v>
      </c>
      <c r="D7" s="1" t="str">
        <f>"5. TANIA ALFARO CAMPUSANO (M)"</f>
        <v>5. TANIA ALFARO CAMPUSANO (M)</v>
      </c>
      <c r="E7" s="1" t="str">
        <f t="shared" si="1"/>
        <v>IND</v>
      </c>
      <c r="F7" s="1" t="str">
        <f>"25"</f>
        <v>25</v>
      </c>
      <c r="G7" s="1">
        <v>0.33</v>
      </c>
      <c r="H7" s="1">
        <v>0</v>
      </c>
    </row>
    <row r="8" spans="1:8" x14ac:dyDescent="0.3">
      <c r="A8" t="s">
        <v>8</v>
      </c>
      <c r="B8">
        <v>13203</v>
      </c>
      <c r="C8" s="1" t="str">
        <f t="shared" si="0"/>
        <v>T. VOCES CONSTITUYENTES (D12)</v>
      </c>
      <c r="D8" s="1" t="str">
        <f>"6. EDGAR EMILIO ESPERGUEL GARCIA (H)"</f>
        <v>6. EDGAR EMILIO ESPERGUEL GARCIA (H)</v>
      </c>
      <c r="E8" s="1" t="str">
        <f t="shared" si="1"/>
        <v>IND</v>
      </c>
      <c r="F8" s="1" t="str">
        <f>"25"</f>
        <v>25</v>
      </c>
      <c r="G8" s="1">
        <v>0.33</v>
      </c>
      <c r="H8" s="1">
        <v>0</v>
      </c>
    </row>
    <row r="9" spans="1:8" x14ac:dyDescent="0.3">
      <c r="A9" t="s">
        <v>8</v>
      </c>
      <c r="B9">
        <v>13203</v>
      </c>
      <c r="C9" s="1" t="str">
        <f t="shared" si="0"/>
        <v>T. VOCES CONSTITUYENTES (D12)</v>
      </c>
      <c r="D9" s="1" t="str">
        <f>"7. MAITE DURAN MASSARDO (M)"</f>
        <v>7. MAITE DURAN MASSARDO (M)</v>
      </c>
      <c r="E9" s="1" t="str">
        <f t="shared" si="1"/>
        <v>IND</v>
      </c>
      <c r="F9" s="1" t="str">
        <f>"68"</f>
        <v>68</v>
      </c>
      <c r="G9" s="1">
        <v>0.88</v>
      </c>
      <c r="H9" s="1">
        <v>0</v>
      </c>
    </row>
    <row r="10" spans="1:8" x14ac:dyDescent="0.3">
      <c r="A10" t="s">
        <v>8</v>
      </c>
      <c r="B10">
        <v>13203</v>
      </c>
      <c r="C10" s="1" t="str">
        <f>"XA. PARTIDO ECOLOGISTA VERDE"</f>
        <v>XA. PARTIDO ECOLOGISTA VERDE</v>
      </c>
      <c r="E10" s="1" t="str">
        <f>""</f>
        <v/>
      </c>
      <c r="F10" s="1" t="str">
        <f>"274"</f>
        <v>274</v>
      </c>
      <c r="G10" s="1">
        <v>3.56</v>
      </c>
      <c r="H10" s="1"/>
    </row>
    <row r="11" spans="1:8" x14ac:dyDescent="0.3">
      <c r="A11" t="s">
        <v>8</v>
      </c>
      <c r="B11">
        <v>13203</v>
      </c>
      <c r="C11" s="1" t="str">
        <f t="shared" ref="C11:C17" si="2">"XA. PARTIDO ECOLOGISTA VERDE"</f>
        <v>XA. PARTIDO ECOLOGISTA VERDE</v>
      </c>
      <c r="D11" s="1" t="str">
        <f>"8. MONSERRAT CANDIA ROCHA (M)"</f>
        <v>8. MONSERRAT CANDIA ROCHA (M)</v>
      </c>
      <c r="E11" s="1" t="str">
        <f t="shared" ref="E11:E17" si="3">"PEV"</f>
        <v>PEV</v>
      </c>
      <c r="F11" s="1" t="str">
        <f>"76"</f>
        <v>76</v>
      </c>
      <c r="G11" s="1">
        <v>0.9900000000000001</v>
      </c>
      <c r="H11" s="1">
        <v>0</v>
      </c>
    </row>
    <row r="12" spans="1:8" x14ac:dyDescent="0.3">
      <c r="A12" t="s">
        <v>8</v>
      </c>
      <c r="B12">
        <v>13203</v>
      </c>
      <c r="C12" s="1" t="str">
        <f t="shared" si="2"/>
        <v>XA. PARTIDO ECOLOGISTA VERDE</v>
      </c>
      <c r="D12" s="1" t="str">
        <f>"9. RONALD LEBLEBICI GARO (H)"</f>
        <v>9. RONALD LEBLEBICI GARO (H)</v>
      </c>
      <c r="E12" s="1" t="str">
        <f t="shared" si="3"/>
        <v>PEV</v>
      </c>
      <c r="F12" s="1" t="str">
        <f>"16"</f>
        <v>16</v>
      </c>
      <c r="G12" s="1">
        <v>0.21</v>
      </c>
      <c r="H12" s="1">
        <v>0</v>
      </c>
    </row>
    <row r="13" spans="1:8" x14ac:dyDescent="0.3">
      <c r="A13" t="s">
        <v>8</v>
      </c>
      <c r="B13">
        <v>13203</v>
      </c>
      <c r="C13" s="1" t="str">
        <f t="shared" si="2"/>
        <v>XA. PARTIDO ECOLOGISTA VERDE</v>
      </c>
      <c r="D13" s="1" t="str">
        <f>"10. ROCIO MIRANDA CASTILLO (M)"</f>
        <v>10. ROCIO MIRANDA CASTILLO (M)</v>
      </c>
      <c r="E13" s="1" t="str">
        <f t="shared" si="3"/>
        <v>PEV</v>
      </c>
      <c r="F13" s="1" t="str">
        <f>"35"</f>
        <v>35</v>
      </c>
      <c r="G13" s="1">
        <v>0.45999999999999996</v>
      </c>
      <c r="H13" s="1">
        <v>0</v>
      </c>
    </row>
    <row r="14" spans="1:8" x14ac:dyDescent="0.3">
      <c r="A14" t="s">
        <v>8</v>
      </c>
      <c r="B14">
        <v>13203</v>
      </c>
      <c r="C14" s="1" t="str">
        <f t="shared" si="2"/>
        <v>XA. PARTIDO ECOLOGISTA VERDE</v>
      </c>
      <c r="D14" s="1" t="str">
        <f>"11. RONALD EMILIO VARGAS DIAZ (H)"</f>
        <v>11. RONALD EMILIO VARGAS DIAZ (H)</v>
      </c>
      <c r="E14" s="1" t="str">
        <f t="shared" si="3"/>
        <v>PEV</v>
      </c>
      <c r="F14" s="1" t="str">
        <f>"17"</f>
        <v>17</v>
      </c>
      <c r="G14" s="1">
        <v>0.22</v>
      </c>
      <c r="H14" s="1">
        <v>0</v>
      </c>
    </row>
    <row r="15" spans="1:8" x14ac:dyDescent="0.3">
      <c r="A15" t="s">
        <v>8</v>
      </c>
      <c r="B15">
        <v>13203</v>
      </c>
      <c r="C15" s="1" t="str">
        <f t="shared" si="2"/>
        <v>XA. PARTIDO ECOLOGISTA VERDE</v>
      </c>
      <c r="D15" s="1" t="str">
        <f>"12. CAROLINA LEIVA GARCIA (M)"</f>
        <v>12. CAROLINA LEIVA GARCIA (M)</v>
      </c>
      <c r="E15" s="1" t="str">
        <f t="shared" si="3"/>
        <v>PEV</v>
      </c>
      <c r="F15" s="1" t="str">
        <f>"47"</f>
        <v>47</v>
      </c>
      <c r="G15" s="1">
        <v>0.61</v>
      </c>
      <c r="H15" s="1">
        <v>0</v>
      </c>
    </row>
    <row r="16" spans="1:8" x14ac:dyDescent="0.3">
      <c r="A16" t="s">
        <v>8</v>
      </c>
      <c r="B16">
        <v>13203</v>
      </c>
      <c r="C16" s="1" t="str">
        <f t="shared" si="2"/>
        <v>XA. PARTIDO ECOLOGISTA VERDE</v>
      </c>
      <c r="D16" s="1" t="str">
        <f>"13. RENE ORLANDO VALDES LOPEZ (H)"</f>
        <v>13. RENE ORLANDO VALDES LOPEZ (H)</v>
      </c>
      <c r="E16" s="1" t="str">
        <f t="shared" si="3"/>
        <v>PEV</v>
      </c>
      <c r="F16" s="1" t="str">
        <f>"16"</f>
        <v>16</v>
      </c>
      <c r="G16" s="1">
        <v>0.21</v>
      </c>
      <c r="H16" s="1">
        <v>0</v>
      </c>
    </row>
    <row r="17" spans="1:8" x14ac:dyDescent="0.3">
      <c r="A17" t="s">
        <v>8</v>
      </c>
      <c r="B17">
        <v>13203</v>
      </c>
      <c r="C17" s="1" t="str">
        <f t="shared" si="2"/>
        <v>XA. PARTIDO ECOLOGISTA VERDE</v>
      </c>
      <c r="D17" s="1" t="str">
        <f>"14. CAMILA BUSTAMANTE ALVAREZ (M)"</f>
        <v>14. CAMILA BUSTAMANTE ALVAREZ (M)</v>
      </c>
      <c r="E17" s="1" t="str">
        <f t="shared" si="3"/>
        <v>PEV</v>
      </c>
      <c r="F17" s="1" t="str">
        <f>"67"</f>
        <v>67</v>
      </c>
      <c r="G17" s="1">
        <v>0.86999999999999988</v>
      </c>
      <c r="H17" s="1">
        <v>0</v>
      </c>
    </row>
    <row r="18" spans="1:8" x14ac:dyDescent="0.3">
      <c r="A18" t="s">
        <v>8</v>
      </c>
      <c r="B18">
        <v>13203</v>
      </c>
      <c r="C18" s="1" t="str">
        <f>"XG. PARTIDO HUMANISTA"</f>
        <v>XG. PARTIDO HUMANISTA</v>
      </c>
      <c r="E18" s="1" t="str">
        <f>""</f>
        <v/>
      </c>
      <c r="F18" s="1" t="str">
        <f>"93"</f>
        <v>93</v>
      </c>
      <c r="G18" s="1">
        <v>1.21</v>
      </c>
      <c r="H18" s="1"/>
    </row>
    <row r="19" spans="1:8" x14ac:dyDescent="0.3">
      <c r="A19" t="s">
        <v>8</v>
      </c>
      <c r="B19">
        <v>13203</v>
      </c>
      <c r="C19" s="1" t="str">
        <f>"XG. PARTIDO HUMANISTA"</f>
        <v>XG. PARTIDO HUMANISTA</v>
      </c>
      <c r="D19" s="1" t="str">
        <f>"15. HERNAN PALMA PEREZ (H)"</f>
        <v>15. HERNAN PALMA PEREZ (H)</v>
      </c>
      <c r="E19" s="1" t="str">
        <f>"PH"</f>
        <v>PH</v>
      </c>
      <c r="F19" s="1" t="str">
        <f>"93"</f>
        <v>93</v>
      </c>
      <c r="G19" s="1">
        <v>1.21</v>
      </c>
      <c r="H19" s="1">
        <v>0</v>
      </c>
    </row>
    <row r="20" spans="1:8" x14ac:dyDescent="0.3">
      <c r="A20" t="s">
        <v>8</v>
      </c>
      <c r="B20">
        <v>13203</v>
      </c>
      <c r="C20" s="1" t="str">
        <f>"XP. VAMOS POR CHILE"</f>
        <v>XP. VAMOS POR CHILE</v>
      </c>
      <c r="E20" s="1" t="str">
        <f>""</f>
        <v/>
      </c>
      <c r="F20" s="1" t="str">
        <f>"1.358"</f>
        <v>1.358</v>
      </c>
      <c r="G20" s="1">
        <v>17.66</v>
      </c>
      <c r="H20" s="1"/>
    </row>
    <row r="21" spans="1:8" x14ac:dyDescent="0.3">
      <c r="A21" t="s">
        <v>8</v>
      </c>
      <c r="B21">
        <v>13203</v>
      </c>
      <c r="C21" s="1" t="str">
        <f t="shared" ref="C21:C27" si="4">"XP. VAMOS POR CHILE"</f>
        <v>XP. VAMOS POR CHILE</v>
      </c>
      <c r="D21" s="1" t="str">
        <f>"16. BERNARDITA PAUL OSSANDON (M)"</f>
        <v>16. BERNARDITA PAUL OSSANDON (M)</v>
      </c>
      <c r="E21" s="1" t="str">
        <f>"RN"</f>
        <v>RN</v>
      </c>
      <c r="F21" s="1" t="str">
        <f>"279"</f>
        <v>279</v>
      </c>
      <c r="G21" s="1">
        <v>3.63</v>
      </c>
      <c r="H21" s="1">
        <v>0</v>
      </c>
    </row>
    <row r="22" spans="1:8" x14ac:dyDescent="0.3">
      <c r="A22" t="s">
        <v>8</v>
      </c>
      <c r="B22">
        <v>13203</v>
      </c>
      <c r="C22" s="1" t="str">
        <f t="shared" si="4"/>
        <v>XP. VAMOS POR CHILE</v>
      </c>
      <c r="D22" s="1" t="str">
        <f>"17. MANUEL JOSE OSSANDON LIRA (H)"</f>
        <v>17. MANUEL JOSE OSSANDON LIRA (H)</v>
      </c>
      <c r="E22" s="1" t="str">
        <f>"IND-RN"</f>
        <v>IND-RN</v>
      </c>
      <c r="F22" s="1" t="str">
        <f>"364"</f>
        <v>364</v>
      </c>
      <c r="G22" s="1">
        <v>4.7300000000000004</v>
      </c>
      <c r="H22" s="1">
        <v>1</v>
      </c>
    </row>
    <row r="23" spans="1:8" x14ac:dyDescent="0.3">
      <c r="A23" t="s">
        <v>8</v>
      </c>
      <c r="B23">
        <v>13203</v>
      </c>
      <c r="C23" s="1" t="str">
        <f t="shared" si="4"/>
        <v>XP. VAMOS POR CHILE</v>
      </c>
      <c r="D23" s="1" t="str">
        <f>"18. CAROL ESPINAZA ASCHIERI (M)"</f>
        <v>18. CAROL ESPINAZA ASCHIERI (M)</v>
      </c>
      <c r="E23" s="1" t="str">
        <f>"IND-RN"</f>
        <v>IND-RN</v>
      </c>
      <c r="F23" s="1" t="str">
        <f>"26"</f>
        <v>26</v>
      </c>
      <c r="G23" s="1">
        <v>0.33999999999999997</v>
      </c>
      <c r="H23" s="1">
        <v>0</v>
      </c>
    </row>
    <row r="24" spans="1:8" x14ac:dyDescent="0.3">
      <c r="A24" t="s">
        <v>8</v>
      </c>
      <c r="B24">
        <v>13203</v>
      </c>
      <c r="C24" s="1" t="str">
        <f t="shared" si="4"/>
        <v>XP. VAMOS POR CHILE</v>
      </c>
      <c r="D24" s="1" t="str">
        <f>"19. MARCELO ALONSO HEREDIA (H)"</f>
        <v>19. MARCELO ALONSO HEREDIA (H)</v>
      </c>
      <c r="E24" s="1" t="str">
        <f>"UDI"</f>
        <v>UDI</v>
      </c>
      <c r="F24" s="1" t="str">
        <f>"179"</f>
        <v>179</v>
      </c>
      <c r="G24" s="1">
        <v>2.33</v>
      </c>
      <c r="H24" s="1">
        <v>0</v>
      </c>
    </row>
    <row r="25" spans="1:8" ht="28.8" x14ac:dyDescent="0.3">
      <c r="A25" t="s">
        <v>8</v>
      </c>
      <c r="B25">
        <v>13203</v>
      </c>
      <c r="C25" s="1" t="str">
        <f t="shared" si="4"/>
        <v>XP. VAMOS POR CHILE</v>
      </c>
      <c r="D25" s="1" t="str">
        <f>"20. MARIA LUISA CORDERO VELASQUEZ (M)"</f>
        <v>20. MARIA LUISA CORDERO VELASQUEZ (M)</v>
      </c>
      <c r="E25" s="1" t="str">
        <f>"IND-UDI"</f>
        <v>IND-UDI</v>
      </c>
      <c r="F25" s="1" t="str">
        <f>"309"</f>
        <v>309</v>
      </c>
      <c r="G25" s="1">
        <v>4.0199999999999996</v>
      </c>
      <c r="H25" s="1">
        <v>0</v>
      </c>
    </row>
    <row r="26" spans="1:8" x14ac:dyDescent="0.3">
      <c r="A26" t="s">
        <v>8</v>
      </c>
      <c r="B26">
        <v>13203</v>
      </c>
      <c r="C26" s="1" t="str">
        <f t="shared" si="4"/>
        <v>XP. VAMOS POR CHILE</v>
      </c>
      <c r="D26" s="1" t="str">
        <f>"21. SHAI AGOSIN WEISZ (H)"</f>
        <v>21. SHAI AGOSIN WEISZ (H)</v>
      </c>
      <c r="E26" s="1" t="str">
        <f>"EVOPOLI"</f>
        <v>EVOPOLI</v>
      </c>
      <c r="F26" s="1" t="str">
        <f>"41"</f>
        <v>41</v>
      </c>
      <c r="G26" s="1">
        <v>0.53</v>
      </c>
      <c r="H26" s="1">
        <v>0</v>
      </c>
    </row>
    <row r="27" spans="1:8" x14ac:dyDescent="0.3">
      <c r="A27" t="s">
        <v>8</v>
      </c>
      <c r="B27">
        <v>13203</v>
      </c>
      <c r="C27" s="1" t="str">
        <f t="shared" si="4"/>
        <v>XP. VAMOS POR CHILE</v>
      </c>
      <c r="D27" s="1" t="str">
        <f>"22. MACARENA VENEGAS TASSARA (M)"</f>
        <v>22. MACARENA VENEGAS TASSARA (M)</v>
      </c>
      <c r="E27" s="1" t="str">
        <f>"IND-EVOPOLI"</f>
        <v>IND-EVOPOLI</v>
      </c>
      <c r="F27" s="1" t="str">
        <f>"160"</f>
        <v>160</v>
      </c>
      <c r="G27" s="1">
        <v>2.08</v>
      </c>
      <c r="H27" s="1">
        <v>0</v>
      </c>
    </row>
    <row r="28" spans="1:8" x14ac:dyDescent="0.3">
      <c r="A28" t="s">
        <v>8</v>
      </c>
      <c r="B28">
        <v>13203</v>
      </c>
      <c r="C28" s="1" t="str">
        <f>"YB. LISTA DEL APRUEBO"</f>
        <v>YB. LISTA DEL APRUEBO</v>
      </c>
      <c r="E28" s="1" t="str">
        <f>""</f>
        <v/>
      </c>
      <c r="F28" s="1" t="str">
        <f>"545"</f>
        <v>545</v>
      </c>
      <c r="G28" s="1">
        <v>7.0900000000000007</v>
      </c>
      <c r="H28" s="1"/>
    </row>
    <row r="29" spans="1:8" ht="28.8" x14ac:dyDescent="0.3">
      <c r="A29" t="s">
        <v>8</v>
      </c>
      <c r="B29">
        <v>13203</v>
      </c>
      <c r="C29" s="1" t="str">
        <f t="shared" ref="C29:C35" si="5">"YB. LISTA DEL APRUEBO"</f>
        <v>YB. LISTA DEL APRUEBO</v>
      </c>
      <c r="D29" s="1" t="str">
        <f>"23. PAULINA DEL ROSARIO MUÑOZ URETA (M)"</f>
        <v>23. PAULINA DEL ROSARIO MUÑOZ URETA (M)</v>
      </c>
      <c r="E29" s="1" t="str">
        <f>"IND-PL"</f>
        <v>IND-PL</v>
      </c>
      <c r="F29" s="1" t="str">
        <f>"89"</f>
        <v>89</v>
      </c>
      <c r="G29" s="1">
        <v>1.1599999999999999</v>
      </c>
      <c r="H29" s="1">
        <v>0</v>
      </c>
    </row>
    <row r="30" spans="1:8" x14ac:dyDescent="0.3">
      <c r="A30" t="s">
        <v>8</v>
      </c>
      <c r="B30">
        <v>13203</v>
      </c>
      <c r="C30" s="1" t="str">
        <f t="shared" si="5"/>
        <v>YB. LISTA DEL APRUEBO</v>
      </c>
      <c r="D30" s="1" t="str">
        <f>"24. GUILLERMO LARRAIN RIOS (H)"</f>
        <v>24. GUILLERMO LARRAIN RIOS (H)</v>
      </c>
      <c r="E30" s="1" t="str">
        <f>"PDC"</f>
        <v>PDC</v>
      </c>
      <c r="F30" s="1" t="str">
        <f>"49"</f>
        <v>49</v>
      </c>
      <c r="G30" s="1">
        <v>0.64</v>
      </c>
      <c r="H30" s="1">
        <v>0</v>
      </c>
    </row>
    <row r="31" spans="1:8" x14ac:dyDescent="0.3">
      <c r="A31" t="s">
        <v>8</v>
      </c>
      <c r="B31">
        <v>13203</v>
      </c>
      <c r="C31" s="1" t="str">
        <f t="shared" si="5"/>
        <v>YB. LISTA DEL APRUEBO</v>
      </c>
      <c r="D31" s="1" t="str">
        <f>"25. PIA CASTELLI FENICK (M)"</f>
        <v>25. PIA CASTELLI FENICK (M)</v>
      </c>
      <c r="E31" s="1" t="str">
        <f>"PPD"</f>
        <v>PPD</v>
      </c>
      <c r="F31" s="1" t="str">
        <f>"48"</f>
        <v>48</v>
      </c>
      <c r="G31" s="1">
        <v>0.62</v>
      </c>
      <c r="H31" s="1">
        <v>0</v>
      </c>
    </row>
    <row r="32" spans="1:8" ht="28.8" x14ac:dyDescent="0.3">
      <c r="A32" t="s">
        <v>8</v>
      </c>
      <c r="B32">
        <v>13203</v>
      </c>
      <c r="C32" s="1" t="str">
        <f t="shared" si="5"/>
        <v>YB. LISTA DEL APRUEBO</v>
      </c>
      <c r="D32" s="1" t="str">
        <f>"26. CHRISTIAN ALEJANDRO MUÑOZ PAREDES (H)"</f>
        <v>26. CHRISTIAN ALEJANDRO MUÑOZ PAREDES (H)</v>
      </c>
      <c r="E32" s="1" t="str">
        <f>"PR"</f>
        <v>PR</v>
      </c>
      <c r="F32" s="1" t="str">
        <f>"69"</f>
        <v>69</v>
      </c>
      <c r="G32" s="1">
        <v>0.89999999999999991</v>
      </c>
      <c r="H32" s="1">
        <v>0</v>
      </c>
    </row>
    <row r="33" spans="1:8" x14ac:dyDescent="0.3">
      <c r="A33" t="s">
        <v>8</v>
      </c>
      <c r="B33">
        <v>13203</v>
      </c>
      <c r="C33" s="1" t="str">
        <f t="shared" si="5"/>
        <v>YB. LISTA DEL APRUEBO</v>
      </c>
      <c r="D33" s="1" t="str">
        <f>"27. ROMANINA MORALES BALTRA (M)"</f>
        <v>27. ROMANINA MORALES BALTRA (M)</v>
      </c>
      <c r="E33" s="1" t="str">
        <f>"PS"</f>
        <v>PS</v>
      </c>
      <c r="F33" s="1" t="str">
        <f>"216"</f>
        <v>216</v>
      </c>
      <c r="G33" s="1">
        <v>2.81</v>
      </c>
      <c r="H33" s="1">
        <v>0</v>
      </c>
    </row>
    <row r="34" spans="1:8" ht="28.8" x14ac:dyDescent="0.3">
      <c r="A34" t="s">
        <v>8</v>
      </c>
      <c r="B34">
        <v>13203</v>
      </c>
      <c r="C34" s="1" t="str">
        <f t="shared" si="5"/>
        <v>YB. LISTA DEL APRUEBO</v>
      </c>
      <c r="D34" s="1" t="str">
        <f>"28. RODRIGO ALFONSO RETTIG VARGAS (H)"</f>
        <v>28. RODRIGO ALFONSO RETTIG VARGAS (H)</v>
      </c>
      <c r="E34" s="1" t="str">
        <f>"CIUDADANOS"</f>
        <v>CIUDADANOS</v>
      </c>
      <c r="F34" s="1" t="str">
        <f>"43"</f>
        <v>43</v>
      </c>
      <c r="G34" s="1">
        <v>0.55999999999999994</v>
      </c>
      <c r="H34" s="1">
        <v>0</v>
      </c>
    </row>
    <row r="35" spans="1:8" ht="28.8" x14ac:dyDescent="0.3">
      <c r="A35" t="s">
        <v>8</v>
      </c>
      <c r="B35">
        <v>13203</v>
      </c>
      <c r="C35" s="1" t="str">
        <f t="shared" si="5"/>
        <v>YB. LISTA DEL APRUEBO</v>
      </c>
      <c r="D35" s="1" t="str">
        <f>"29. CAROLA PIA NARANJO INOSTROZA (M)"</f>
        <v>29. CAROLA PIA NARANJO INOSTROZA (M)</v>
      </c>
      <c r="E35" s="1" t="str">
        <f>"IND-PRO"</f>
        <v>IND-PRO</v>
      </c>
      <c r="F35" s="1" t="str">
        <f>"31"</f>
        <v>31</v>
      </c>
      <c r="G35" s="1">
        <v>0.4</v>
      </c>
      <c r="H35" s="1">
        <v>0</v>
      </c>
    </row>
    <row r="36" spans="1:8" ht="28.8" x14ac:dyDescent="0.3">
      <c r="A36" t="s">
        <v>8</v>
      </c>
      <c r="B36">
        <v>13203</v>
      </c>
      <c r="C36" s="1" t="str">
        <f>"YL. LA LISTA DEL PUEBLO DISTRITO 12 (D12)"</f>
        <v>YL. LA LISTA DEL PUEBLO DISTRITO 12 (D12)</v>
      </c>
      <c r="E36" s="1" t="str">
        <f>""</f>
        <v/>
      </c>
      <c r="F36" s="1" t="str">
        <f>"668"</f>
        <v>668</v>
      </c>
      <c r="G36" s="1">
        <v>8.6900000000000013</v>
      </c>
      <c r="H36" s="1"/>
    </row>
    <row r="37" spans="1:8" ht="28.8" x14ac:dyDescent="0.3">
      <c r="A37" t="s">
        <v>8</v>
      </c>
      <c r="B37">
        <v>13203</v>
      </c>
      <c r="C37" s="1" t="str">
        <f t="shared" ref="C37:C42" si="6">"YL. LA LISTA DEL PUEBLO DISTRITO 12 (D12)"</f>
        <v>YL. LA LISTA DEL PUEBLO DISTRITO 12 (D12)</v>
      </c>
      <c r="D37" s="1" t="str">
        <f>"30. GIOVANNA JAZMIN GRANDON CARO (M)"</f>
        <v>30. GIOVANNA JAZMIN GRANDON CARO (M)</v>
      </c>
      <c r="E37" s="1" t="str">
        <f t="shared" ref="E37:E42" si="7">"IND"</f>
        <v>IND</v>
      </c>
      <c r="F37" s="1" t="str">
        <f>"211"</f>
        <v>211</v>
      </c>
      <c r="G37" s="1">
        <v>2.74</v>
      </c>
      <c r="H37" s="1">
        <v>1</v>
      </c>
    </row>
    <row r="38" spans="1:8" ht="28.8" x14ac:dyDescent="0.3">
      <c r="A38" t="s">
        <v>8</v>
      </c>
      <c r="B38">
        <v>13203</v>
      </c>
      <c r="C38" s="1" t="str">
        <f t="shared" si="6"/>
        <v>YL. LA LISTA DEL PUEBLO DISTRITO 12 (D12)</v>
      </c>
      <c r="D38" s="1" t="str">
        <f>"31. RAFAEL IGNACIO SOTOMAYOR NARBONA (H)"</f>
        <v>31. RAFAEL IGNACIO SOTOMAYOR NARBONA (H)</v>
      </c>
      <c r="E38" s="1" t="str">
        <f t="shared" si="7"/>
        <v>IND</v>
      </c>
      <c r="F38" s="1" t="str">
        <f>"185"</f>
        <v>185</v>
      </c>
      <c r="G38" s="1">
        <v>2.41</v>
      </c>
      <c r="H38" s="1">
        <v>0</v>
      </c>
    </row>
    <row r="39" spans="1:8" ht="28.8" x14ac:dyDescent="0.3">
      <c r="A39" t="s">
        <v>8</v>
      </c>
      <c r="B39">
        <v>13203</v>
      </c>
      <c r="C39" s="1" t="str">
        <f t="shared" si="6"/>
        <v>YL. LA LISTA DEL PUEBLO DISTRITO 12 (D12)</v>
      </c>
      <c r="D39" s="1" t="str">
        <f>"32. CAMILA VANESSA CARTES CORDERO (M)"</f>
        <v>32. CAMILA VANESSA CARTES CORDERO (M)</v>
      </c>
      <c r="E39" s="1" t="str">
        <f t="shared" si="7"/>
        <v>IND</v>
      </c>
      <c r="F39" s="1" t="str">
        <f>"119"</f>
        <v>119</v>
      </c>
      <c r="G39" s="1">
        <v>1.55</v>
      </c>
      <c r="H39" s="1">
        <v>0</v>
      </c>
    </row>
    <row r="40" spans="1:8" ht="28.8" x14ac:dyDescent="0.3">
      <c r="A40" t="s">
        <v>8</v>
      </c>
      <c r="B40">
        <v>13203</v>
      </c>
      <c r="C40" s="1" t="str">
        <f t="shared" si="6"/>
        <v>YL. LA LISTA DEL PUEBLO DISTRITO 12 (D12)</v>
      </c>
      <c r="D40" s="1" t="str">
        <f>"33. ALEX EDUARDO FLORES ESPINOZA (H)"</f>
        <v>33. ALEX EDUARDO FLORES ESPINOZA (H)</v>
      </c>
      <c r="E40" s="1" t="str">
        <f t="shared" si="7"/>
        <v>IND</v>
      </c>
      <c r="F40" s="1" t="str">
        <f>"62"</f>
        <v>62</v>
      </c>
      <c r="G40" s="1">
        <v>0.80999999999999994</v>
      </c>
      <c r="H40" s="1">
        <v>0</v>
      </c>
    </row>
    <row r="41" spans="1:8" ht="28.8" x14ac:dyDescent="0.3">
      <c r="A41" t="s">
        <v>8</v>
      </c>
      <c r="B41">
        <v>13203</v>
      </c>
      <c r="C41" s="1" t="str">
        <f t="shared" si="6"/>
        <v>YL. LA LISTA DEL PUEBLO DISTRITO 12 (D12)</v>
      </c>
      <c r="D41" s="1" t="str">
        <f>"34. TAMARA GRISELDA AVELLO VASQUEZ (M)"</f>
        <v>34. TAMARA GRISELDA AVELLO VASQUEZ (M)</v>
      </c>
      <c r="E41" s="1" t="str">
        <f t="shared" si="7"/>
        <v>IND</v>
      </c>
      <c r="F41" s="1" t="str">
        <f>"54"</f>
        <v>54</v>
      </c>
      <c r="G41" s="1">
        <v>0.70000000000000007</v>
      </c>
      <c r="H41" s="1">
        <v>0</v>
      </c>
    </row>
    <row r="42" spans="1:8" ht="28.8" x14ac:dyDescent="0.3">
      <c r="A42" t="s">
        <v>8</v>
      </c>
      <c r="B42">
        <v>13203</v>
      </c>
      <c r="C42" s="1" t="str">
        <f t="shared" si="6"/>
        <v>YL. LA LISTA DEL PUEBLO DISTRITO 12 (D12)</v>
      </c>
      <c r="D42" s="1" t="str">
        <f>"35. DIEGO ALFONSO INFANTE SCHKOLNIK (H)"</f>
        <v>35. DIEGO ALFONSO INFANTE SCHKOLNIK (H)</v>
      </c>
      <c r="E42" s="1" t="str">
        <f t="shared" si="7"/>
        <v>IND</v>
      </c>
      <c r="F42" s="1" t="str">
        <f>"37"</f>
        <v>37</v>
      </c>
      <c r="G42" s="1">
        <v>0.48</v>
      </c>
      <c r="H42" s="1">
        <v>0</v>
      </c>
    </row>
    <row r="43" spans="1:8" x14ac:dyDescent="0.3">
      <c r="A43" t="s">
        <v>8</v>
      </c>
      <c r="B43">
        <v>13203</v>
      </c>
      <c r="C43" s="1" t="str">
        <f>"YQ. APRUEBO DIGNIDAD"</f>
        <v>YQ. APRUEBO DIGNIDAD</v>
      </c>
      <c r="E43" s="1" t="str">
        <f>""</f>
        <v/>
      </c>
      <c r="F43" s="1" t="str">
        <f>"1.716"</f>
        <v>1.716</v>
      </c>
      <c r="G43" s="1">
        <v>22.31</v>
      </c>
      <c r="H43" s="1"/>
    </row>
    <row r="44" spans="1:8" ht="28.8" x14ac:dyDescent="0.3">
      <c r="A44" t="s">
        <v>8</v>
      </c>
      <c r="B44">
        <v>13203</v>
      </c>
      <c r="C44" s="1" t="str">
        <f t="shared" ref="C44:C50" si="8">"YQ. APRUEBO DIGNIDAD"</f>
        <v>YQ. APRUEBO DIGNIDAD</v>
      </c>
      <c r="D44" s="1" t="str">
        <f>"36. BEATRIZ DE JESUS SANCHEZ MUÑOZ (M)"</f>
        <v>36. BEATRIZ DE JESUS SANCHEZ MUÑOZ (M)</v>
      </c>
      <c r="E44" s="1" t="str">
        <f>"IND-RD"</f>
        <v>IND-RD</v>
      </c>
      <c r="F44" s="1" t="str">
        <f>"426"</f>
        <v>426</v>
      </c>
      <c r="G44" s="1">
        <v>5.54</v>
      </c>
      <c r="H44" s="1">
        <v>1</v>
      </c>
    </row>
    <row r="45" spans="1:8" ht="28.8" x14ac:dyDescent="0.3">
      <c r="A45" t="s">
        <v>8</v>
      </c>
      <c r="B45">
        <v>13203</v>
      </c>
      <c r="C45" s="1" t="str">
        <f t="shared" si="8"/>
        <v>YQ. APRUEBO DIGNIDAD</v>
      </c>
      <c r="D45" s="1" t="str">
        <f>"37. LEONARDO PARRAGUEZ GALLARDO (H)"</f>
        <v>37. LEONARDO PARRAGUEZ GALLARDO (H)</v>
      </c>
      <c r="E45" s="1" t="str">
        <f>"RD"</f>
        <v>RD</v>
      </c>
      <c r="F45" s="1" t="str">
        <f>"42"</f>
        <v>42</v>
      </c>
      <c r="G45" s="1">
        <v>0.54999999999999993</v>
      </c>
      <c r="H45" s="1">
        <v>0</v>
      </c>
    </row>
    <row r="46" spans="1:8" ht="28.8" x14ac:dyDescent="0.3">
      <c r="A46" t="s">
        <v>8</v>
      </c>
      <c r="B46">
        <v>13203</v>
      </c>
      <c r="C46" s="1" t="str">
        <f t="shared" si="8"/>
        <v>YQ. APRUEBO DIGNIDAD</v>
      </c>
      <c r="D46" s="1" t="str">
        <f>"38. BARBARA CATHERINE FIGUEROA SANDOVAL (M)"</f>
        <v>38. BARBARA CATHERINE FIGUEROA SANDOVAL (M)</v>
      </c>
      <c r="E46" s="1" t="str">
        <f>"PCCH"</f>
        <v>PCCH</v>
      </c>
      <c r="F46" s="1" t="str">
        <f>"180"</f>
        <v>180</v>
      </c>
      <c r="G46" s="1">
        <v>2.34</v>
      </c>
      <c r="H46" s="1">
        <v>0</v>
      </c>
    </row>
    <row r="47" spans="1:8" ht="28.8" x14ac:dyDescent="0.3">
      <c r="A47" t="s">
        <v>8</v>
      </c>
      <c r="B47">
        <v>13203</v>
      </c>
      <c r="C47" s="1" t="str">
        <f t="shared" si="8"/>
        <v>YQ. APRUEBO DIGNIDAD</v>
      </c>
      <c r="D47" s="1" t="str">
        <f>"39. BASTIAN BODENHOFER ALEXANDER (H)"</f>
        <v>39. BASTIAN BODENHOFER ALEXANDER (H)</v>
      </c>
      <c r="E47" s="1" t="str">
        <f>"IND-PCCH"</f>
        <v>IND-PCCH</v>
      </c>
      <c r="F47" s="1" t="str">
        <f>"346"</f>
        <v>346</v>
      </c>
      <c r="G47" s="1">
        <v>4.5</v>
      </c>
      <c r="H47" s="1">
        <v>0</v>
      </c>
    </row>
    <row r="48" spans="1:8" ht="28.8" x14ac:dyDescent="0.3">
      <c r="A48" t="s">
        <v>8</v>
      </c>
      <c r="B48">
        <v>13203</v>
      </c>
      <c r="C48" s="1" t="str">
        <f t="shared" si="8"/>
        <v>YQ. APRUEBO DIGNIDAD</v>
      </c>
      <c r="D48" s="1" t="str">
        <f>"40. PAOLA MARIA VILLEGAS DELGADO (M)"</f>
        <v>40. PAOLA MARIA VILLEGAS DELGADO (M)</v>
      </c>
      <c r="E48" s="1" t="str">
        <f>"IND-FREVS"</f>
        <v>IND-FREVS</v>
      </c>
      <c r="F48" s="1" t="str">
        <f>"19"</f>
        <v>19</v>
      </c>
      <c r="G48" s="1">
        <v>0.25</v>
      </c>
      <c r="H48" s="1">
        <v>0</v>
      </c>
    </row>
    <row r="49" spans="1:8" ht="28.8" x14ac:dyDescent="0.3">
      <c r="A49" t="s">
        <v>8</v>
      </c>
      <c r="B49">
        <v>13203</v>
      </c>
      <c r="C49" s="1" t="str">
        <f t="shared" si="8"/>
        <v>YQ. APRUEBO DIGNIDAD</v>
      </c>
      <c r="D49" s="1" t="str">
        <f>"41. CESAR ANTONIO PIZARRO PIZARRO (H)"</f>
        <v>41. CESAR ANTONIO PIZARRO PIZARRO (H)</v>
      </c>
      <c r="E49" s="1" t="str">
        <f>"IND-IGUALDAD"</f>
        <v>IND-IGUALDAD</v>
      </c>
      <c r="F49" s="1" t="str">
        <f>"14"</f>
        <v>14</v>
      </c>
      <c r="G49" s="1">
        <v>0.18</v>
      </c>
      <c r="H49" s="1">
        <v>0</v>
      </c>
    </row>
    <row r="50" spans="1:8" ht="28.8" x14ac:dyDescent="0.3">
      <c r="A50" t="s">
        <v>8</v>
      </c>
      <c r="B50">
        <v>13203</v>
      </c>
      <c r="C50" s="1" t="str">
        <f t="shared" si="8"/>
        <v>YQ. APRUEBO DIGNIDAD</v>
      </c>
      <c r="D50" s="1" t="str">
        <f>"42. MARCELA ALEJANDRA MELLA ORTIZ (M)"</f>
        <v>42. MARCELA ALEJANDRA MELLA ORTIZ (M)</v>
      </c>
      <c r="E50" s="1" t="str">
        <f>"IND-IGUALDAD"</f>
        <v>IND-IGUALDAD</v>
      </c>
      <c r="F50" s="1" t="str">
        <f>"689"</f>
        <v>689</v>
      </c>
      <c r="G50" s="1">
        <v>8.9599999999999991</v>
      </c>
      <c r="H50" s="1">
        <v>0</v>
      </c>
    </row>
    <row r="51" spans="1:8" ht="28.8" x14ac:dyDescent="0.3">
      <c r="A51" t="s">
        <v>8</v>
      </c>
      <c r="B51">
        <v>13203</v>
      </c>
      <c r="C51" s="1" t="str">
        <f>"YV. INDEPENDIENTES POR UNA NUEVA CONSTITUCION (D12)"</f>
        <v>YV. INDEPENDIENTES POR UNA NUEVA CONSTITUCION (D12)</v>
      </c>
      <c r="E51" s="1" t="str">
        <f>""</f>
        <v/>
      </c>
      <c r="F51" s="1" t="str">
        <f>"1.662"</f>
        <v>1.662</v>
      </c>
      <c r="G51" s="1">
        <v>21.61</v>
      </c>
      <c r="H51" s="1"/>
    </row>
    <row r="52" spans="1:8" ht="28.8" x14ac:dyDescent="0.3">
      <c r="A52" t="s">
        <v>8</v>
      </c>
      <c r="B52">
        <v>13203</v>
      </c>
      <c r="C52" s="1" t="str">
        <f t="shared" ref="C52:C58" si="9">"YV. INDEPENDIENTES POR UNA NUEVA CONSTITUCION (D12)"</f>
        <v>YV. INDEPENDIENTES POR UNA NUEVA CONSTITUCION (D12)</v>
      </c>
      <c r="D52" s="1" t="str">
        <f>"43. MARIA SOLEDAD CISTERNAS REYES (M)"</f>
        <v>43. MARIA SOLEDAD CISTERNAS REYES (M)</v>
      </c>
      <c r="E52" s="1" t="str">
        <f t="shared" ref="E52:E58" si="10">"IND"</f>
        <v>IND</v>
      </c>
      <c r="F52" s="1" t="str">
        <f>"652"</f>
        <v>652</v>
      </c>
      <c r="G52" s="1">
        <v>8.48</v>
      </c>
      <c r="H52" s="1">
        <v>0</v>
      </c>
    </row>
    <row r="53" spans="1:8" ht="28.8" x14ac:dyDescent="0.3">
      <c r="A53" t="s">
        <v>8</v>
      </c>
      <c r="B53">
        <v>13203</v>
      </c>
      <c r="C53" s="1" t="str">
        <f t="shared" si="9"/>
        <v>YV. INDEPENDIENTES POR UNA NUEVA CONSTITUCION (D12)</v>
      </c>
      <c r="D53" s="1" t="str">
        <f>"44. BENITO JOSE BARANDA FERRAN (H)"</f>
        <v>44. BENITO JOSE BARANDA FERRAN (H)</v>
      </c>
      <c r="E53" s="1" t="str">
        <f t="shared" si="10"/>
        <v>IND</v>
      </c>
      <c r="F53" s="1" t="str">
        <f>"836"</f>
        <v>836</v>
      </c>
      <c r="G53" s="1">
        <v>10.870000000000001</v>
      </c>
      <c r="H53" s="1">
        <v>1</v>
      </c>
    </row>
    <row r="54" spans="1:8" ht="28.8" x14ac:dyDescent="0.3">
      <c r="A54" t="s">
        <v>8</v>
      </c>
      <c r="B54">
        <v>13203</v>
      </c>
      <c r="C54" s="1" t="str">
        <f t="shared" si="9"/>
        <v>YV. INDEPENDIENTES POR UNA NUEVA CONSTITUCION (D12)</v>
      </c>
      <c r="D54" s="1" t="str">
        <f>"45. PAOLA ROMERO LLANOS (M)"</f>
        <v>45. PAOLA ROMERO LLANOS (M)</v>
      </c>
      <c r="E54" s="1" t="str">
        <f t="shared" si="10"/>
        <v>IND</v>
      </c>
      <c r="F54" s="1" t="str">
        <f>"53"</f>
        <v>53</v>
      </c>
      <c r="G54" s="1">
        <v>0.69</v>
      </c>
      <c r="H54" s="1">
        <v>0</v>
      </c>
    </row>
    <row r="55" spans="1:8" ht="28.8" x14ac:dyDescent="0.3">
      <c r="A55" t="s">
        <v>8</v>
      </c>
      <c r="B55">
        <v>13203</v>
      </c>
      <c r="C55" s="1" t="str">
        <f t="shared" si="9"/>
        <v>YV. INDEPENDIENTES POR UNA NUEVA CONSTITUCION (D12)</v>
      </c>
      <c r="D55" s="1" t="str">
        <f>"46. JUAN JOSE MARTIN BRAVO (H)"</f>
        <v>46. JUAN JOSE MARTIN BRAVO (H)</v>
      </c>
      <c r="E55" s="1" t="str">
        <f t="shared" si="10"/>
        <v>IND</v>
      </c>
      <c r="F55" s="1" t="str">
        <f>"52"</f>
        <v>52</v>
      </c>
      <c r="G55" s="1">
        <v>0.67999999999999994</v>
      </c>
      <c r="H55" s="1">
        <v>1</v>
      </c>
    </row>
    <row r="56" spans="1:8" ht="28.8" x14ac:dyDescent="0.3">
      <c r="A56" t="s">
        <v>8</v>
      </c>
      <c r="B56">
        <v>13203</v>
      </c>
      <c r="C56" s="1" t="str">
        <f t="shared" si="9"/>
        <v>YV. INDEPENDIENTES POR UNA NUEVA CONSTITUCION (D12)</v>
      </c>
      <c r="D56" s="1" t="str">
        <f>"47. IONA RONIT ROTHFELD BASCOLI (M)"</f>
        <v>47. IONA RONIT ROTHFELD BASCOLI (M)</v>
      </c>
      <c r="E56" s="1" t="str">
        <f t="shared" si="10"/>
        <v>IND</v>
      </c>
      <c r="F56" s="1" t="str">
        <f>"42"</f>
        <v>42</v>
      </c>
      <c r="G56" s="1">
        <v>0.54999999999999993</v>
      </c>
      <c r="H56" s="1">
        <v>0</v>
      </c>
    </row>
    <row r="57" spans="1:8" ht="28.8" x14ac:dyDescent="0.3">
      <c r="A57" t="s">
        <v>8</v>
      </c>
      <c r="B57">
        <v>13203</v>
      </c>
      <c r="C57" s="1" t="str">
        <f t="shared" si="9"/>
        <v>YV. INDEPENDIENTES POR UNA NUEVA CONSTITUCION (D12)</v>
      </c>
      <c r="D57" s="1" t="str">
        <f>"48. PAVEL ALEJANDRO AYALA LIENQUEO (H)"</f>
        <v>48. PAVEL ALEJANDRO AYALA LIENQUEO (H)</v>
      </c>
      <c r="E57" s="1" t="str">
        <f t="shared" si="10"/>
        <v>IND</v>
      </c>
      <c r="F57" s="1" t="str">
        <f>"19"</f>
        <v>19</v>
      </c>
      <c r="G57" s="1">
        <v>0.25</v>
      </c>
      <c r="H57" s="1">
        <v>0</v>
      </c>
    </row>
    <row r="58" spans="1:8" ht="28.8" x14ac:dyDescent="0.3">
      <c r="A58" t="s">
        <v>8</v>
      </c>
      <c r="B58">
        <v>13203</v>
      </c>
      <c r="C58" s="1" t="str">
        <f t="shared" si="9"/>
        <v>YV. INDEPENDIENTES POR UNA NUEVA CONSTITUCION (D12)</v>
      </c>
      <c r="D58" s="1" t="str">
        <f>"49. CESAR ANTONIO BARCENAS CATALAN (H)"</f>
        <v>49. CESAR ANTONIO BARCENAS CATALAN (H)</v>
      </c>
      <c r="E58" s="1" t="str">
        <f t="shared" si="10"/>
        <v>IND</v>
      </c>
      <c r="F58" s="1" t="str">
        <f>"8"</f>
        <v>8</v>
      </c>
      <c r="G58" s="1">
        <v>0.1</v>
      </c>
      <c r="H58" s="1">
        <v>0</v>
      </c>
    </row>
    <row r="59" spans="1:8" x14ac:dyDescent="0.3">
      <c r="A59" t="s">
        <v>8</v>
      </c>
      <c r="B59">
        <v>13203</v>
      </c>
      <c r="C59" s="1" t="str">
        <f>"ZB. UNION PATRIOTICA"</f>
        <v>ZB. UNION PATRIOTICA</v>
      </c>
      <c r="E59" s="1" t="str">
        <f>""</f>
        <v/>
      </c>
      <c r="F59" s="1" t="str">
        <f>"51"</f>
        <v>51</v>
      </c>
      <c r="G59" s="1">
        <v>0.66</v>
      </c>
      <c r="H59" s="1"/>
    </row>
    <row r="60" spans="1:8" ht="28.8" x14ac:dyDescent="0.3">
      <c r="A60" t="s">
        <v>8</v>
      </c>
      <c r="B60">
        <v>13203</v>
      </c>
      <c r="C60" s="1" t="str">
        <f t="shared" ref="C60:C65" si="11">"ZB. UNION PATRIOTICA"</f>
        <v>ZB. UNION PATRIOTICA</v>
      </c>
      <c r="D60" s="1" t="str">
        <f>"50. ROSSANA PATRICIA JORQUERA GEROLDI (M)"</f>
        <v>50. ROSSANA PATRICIA JORQUERA GEROLDI (M)</v>
      </c>
      <c r="E60" s="1" t="str">
        <f t="shared" ref="E60:E65" si="12">"UPA"</f>
        <v>UPA</v>
      </c>
      <c r="F60" s="1" t="str">
        <f>"13"</f>
        <v>13</v>
      </c>
      <c r="G60" s="1">
        <v>0.16999999999999998</v>
      </c>
      <c r="H60" s="1">
        <v>0</v>
      </c>
    </row>
    <row r="61" spans="1:8" ht="28.8" x14ac:dyDescent="0.3">
      <c r="A61" t="s">
        <v>8</v>
      </c>
      <c r="B61">
        <v>13203</v>
      </c>
      <c r="C61" s="1" t="str">
        <f t="shared" si="11"/>
        <v>ZB. UNION PATRIOTICA</v>
      </c>
      <c r="D61" s="1" t="str">
        <f>"51. MATIA IGNACIO NAVARRETE MOLINA (H)"</f>
        <v>51. MATIA IGNACIO NAVARRETE MOLINA (H)</v>
      </c>
      <c r="E61" s="1" t="str">
        <f t="shared" si="12"/>
        <v>UPA</v>
      </c>
      <c r="F61" s="1" t="str">
        <f>"5"</f>
        <v>5</v>
      </c>
      <c r="G61" s="1">
        <v>6.9999999999999993E-2</v>
      </c>
      <c r="H61" s="1">
        <v>0</v>
      </c>
    </row>
    <row r="62" spans="1:8" x14ac:dyDescent="0.3">
      <c r="A62" t="s">
        <v>8</v>
      </c>
      <c r="B62">
        <v>13203</v>
      </c>
      <c r="C62" s="1" t="str">
        <f t="shared" si="11"/>
        <v>ZB. UNION PATRIOTICA</v>
      </c>
      <c r="D62" s="1" t="str">
        <f>"52. PAULA IGNACIA CEA FUENTES (M)"</f>
        <v>52. PAULA IGNACIA CEA FUENTES (M)</v>
      </c>
      <c r="E62" s="1" t="str">
        <f t="shared" si="12"/>
        <v>UPA</v>
      </c>
      <c r="F62" s="1" t="str">
        <f>"14"</f>
        <v>14</v>
      </c>
      <c r="G62" s="1">
        <v>0.18</v>
      </c>
      <c r="H62" s="1">
        <v>0</v>
      </c>
    </row>
    <row r="63" spans="1:8" ht="28.8" x14ac:dyDescent="0.3">
      <c r="A63" t="s">
        <v>8</v>
      </c>
      <c r="B63">
        <v>13203</v>
      </c>
      <c r="C63" s="1" t="str">
        <f t="shared" si="11"/>
        <v>ZB. UNION PATRIOTICA</v>
      </c>
      <c r="D63" s="1" t="str">
        <f>"53. SERGIO NICOLAS ALEJANDRO ARAVENA PEREZ (H)"</f>
        <v>53. SERGIO NICOLAS ALEJANDRO ARAVENA PEREZ (H)</v>
      </c>
      <c r="E63" s="1" t="str">
        <f t="shared" si="12"/>
        <v>UPA</v>
      </c>
      <c r="F63" s="1" t="str">
        <f>"8"</f>
        <v>8</v>
      </c>
      <c r="G63" s="1">
        <v>0.1</v>
      </c>
      <c r="H63" s="1">
        <v>0</v>
      </c>
    </row>
    <row r="64" spans="1:8" x14ac:dyDescent="0.3">
      <c r="A64" t="s">
        <v>8</v>
      </c>
      <c r="B64">
        <v>13203</v>
      </c>
      <c r="C64" s="1" t="str">
        <f t="shared" si="11"/>
        <v>ZB. UNION PATRIOTICA</v>
      </c>
      <c r="D64" s="1" t="str">
        <f>"54. MONICA GLORIA REYES RIFFO (M)"</f>
        <v>54. MONICA GLORIA REYES RIFFO (M)</v>
      </c>
      <c r="E64" s="1" t="str">
        <f t="shared" si="12"/>
        <v>UPA</v>
      </c>
      <c r="F64" s="1" t="str">
        <f>"5"</f>
        <v>5</v>
      </c>
      <c r="G64" s="1">
        <v>6.9999999999999993E-2</v>
      </c>
      <c r="H64" s="1">
        <v>0</v>
      </c>
    </row>
    <row r="65" spans="1:8" x14ac:dyDescent="0.3">
      <c r="A65" t="s">
        <v>8</v>
      </c>
      <c r="B65">
        <v>13203</v>
      </c>
      <c r="C65" s="1" t="str">
        <f t="shared" si="11"/>
        <v>ZB. UNION PATRIOTICA</v>
      </c>
      <c r="D65" s="1" t="str">
        <f>"55. IGNACIO ROBERTO COFRE REYES (H)"</f>
        <v>55. IGNACIO ROBERTO COFRE REYES (H)</v>
      </c>
      <c r="E65" s="1" t="str">
        <f t="shared" si="12"/>
        <v>UPA</v>
      </c>
      <c r="F65" s="1" t="str">
        <f>"6"</f>
        <v>6</v>
      </c>
      <c r="G65" s="1">
        <v>0.08</v>
      </c>
      <c r="H65" s="1">
        <v>0</v>
      </c>
    </row>
    <row r="66" spans="1:8" ht="28.8" x14ac:dyDescent="0.3">
      <c r="A66" t="s">
        <v>8</v>
      </c>
      <c r="B66">
        <v>13203</v>
      </c>
      <c r="C66" s="1" t="str">
        <f>"ZR. PARTIDO DE TRABAJADORES REVOLUCIONARIOS"</f>
        <v>ZR. PARTIDO DE TRABAJADORES REVOLUCIONARIOS</v>
      </c>
      <c r="E66" s="1" t="str">
        <f>""</f>
        <v/>
      </c>
      <c r="F66" s="1" t="str">
        <f>"86"</f>
        <v>86</v>
      </c>
      <c r="G66" s="1">
        <v>1.1199999999999999</v>
      </c>
      <c r="H66" s="1"/>
    </row>
    <row r="67" spans="1:8" ht="28.8" x14ac:dyDescent="0.3">
      <c r="A67" t="s">
        <v>8</v>
      </c>
      <c r="B67">
        <v>13203</v>
      </c>
      <c r="C67" s="1" t="str">
        <f t="shared" ref="C67:C72" si="13">"ZR. PARTIDO DE TRABAJADORES REVOLUCIONARIOS"</f>
        <v>ZR. PARTIDO DE TRABAJADORES REVOLUCIONARIOS</v>
      </c>
      <c r="D67" s="1" t="str">
        <f>"56. JOSEFFE TAMARA CACERES TORRES (M)"</f>
        <v>56. JOSEFFE TAMARA CACERES TORRES (M)</v>
      </c>
      <c r="E67" s="1" t="str">
        <f t="shared" ref="E67:E72" si="14">"PTR"</f>
        <v>PTR</v>
      </c>
      <c r="F67" s="1" t="str">
        <f>"38"</f>
        <v>38</v>
      </c>
      <c r="G67" s="1">
        <v>0.49</v>
      </c>
      <c r="H67" s="1">
        <v>0</v>
      </c>
    </row>
    <row r="68" spans="1:8" ht="28.8" x14ac:dyDescent="0.3">
      <c r="A68" t="s">
        <v>8</v>
      </c>
      <c r="B68">
        <v>13203</v>
      </c>
      <c r="C68" s="1" t="str">
        <f t="shared" si="13"/>
        <v>ZR. PARTIDO DE TRABAJADORES REVOLUCIONARIOS</v>
      </c>
      <c r="D68" s="1" t="str">
        <f>"57. RAINIER ENRIQUE RIOS PUEBLA (H)"</f>
        <v>57. RAINIER ENRIQUE RIOS PUEBLA (H)</v>
      </c>
      <c r="E68" s="1" t="str">
        <f t="shared" si="14"/>
        <v>PTR</v>
      </c>
      <c r="F68" s="1" t="str">
        <f>"7"</f>
        <v>7</v>
      </c>
      <c r="G68" s="1">
        <v>0.09</v>
      </c>
      <c r="H68" s="1">
        <v>0</v>
      </c>
    </row>
    <row r="69" spans="1:8" ht="28.8" x14ac:dyDescent="0.3">
      <c r="A69" t="s">
        <v>8</v>
      </c>
      <c r="B69">
        <v>13203</v>
      </c>
      <c r="C69" s="1" t="str">
        <f t="shared" si="13"/>
        <v>ZR. PARTIDO DE TRABAJADORES REVOLUCIONARIOS</v>
      </c>
      <c r="D69" s="1" t="str">
        <f>"58. CAMILA CRISTINA MEZA HERRERA (M)"</f>
        <v>58. CAMILA CRISTINA MEZA HERRERA (M)</v>
      </c>
      <c r="E69" s="1" t="str">
        <f t="shared" si="14"/>
        <v>PTR</v>
      </c>
      <c r="F69" s="1" t="str">
        <f>"22"</f>
        <v>22</v>
      </c>
      <c r="G69" s="1">
        <v>0.28999999999999998</v>
      </c>
      <c r="H69" s="1">
        <v>0</v>
      </c>
    </row>
    <row r="70" spans="1:8" ht="28.8" x14ac:dyDescent="0.3">
      <c r="A70" t="s">
        <v>8</v>
      </c>
      <c r="B70">
        <v>13203</v>
      </c>
      <c r="C70" s="1" t="str">
        <f t="shared" si="13"/>
        <v>ZR. PARTIDO DE TRABAJADORES REVOLUCIONARIOS</v>
      </c>
      <c r="D70" s="1" t="str">
        <f>"59. VICTOR ALEJANDRO IBAÑEZ DE LA HOZ (H)"</f>
        <v>59. VICTOR ALEJANDRO IBAÑEZ DE LA HOZ (H)</v>
      </c>
      <c r="E70" s="1" t="str">
        <f t="shared" si="14"/>
        <v>PTR</v>
      </c>
      <c r="F70" s="1" t="str">
        <f>"5"</f>
        <v>5</v>
      </c>
      <c r="G70" s="1">
        <v>6.9999999999999993E-2</v>
      </c>
      <c r="H70" s="1">
        <v>0</v>
      </c>
    </row>
    <row r="71" spans="1:8" ht="28.8" x14ac:dyDescent="0.3">
      <c r="A71" t="s">
        <v>8</v>
      </c>
      <c r="B71">
        <v>13203</v>
      </c>
      <c r="C71" s="1" t="str">
        <f t="shared" si="13"/>
        <v>ZR. PARTIDO DE TRABAJADORES REVOLUCIONARIOS</v>
      </c>
      <c r="D71" s="1" t="str">
        <f>"60. ANITA PAZ JARAMILLO GALLARDO (M)"</f>
        <v>60. ANITA PAZ JARAMILLO GALLARDO (M)</v>
      </c>
      <c r="E71" s="1" t="str">
        <f t="shared" si="14"/>
        <v>PTR</v>
      </c>
      <c r="F71" s="1" t="str">
        <f>"7"</f>
        <v>7</v>
      </c>
      <c r="G71" s="1">
        <v>0.09</v>
      </c>
      <c r="H71" s="1">
        <v>0</v>
      </c>
    </row>
    <row r="72" spans="1:8" ht="28.8" x14ac:dyDescent="0.3">
      <c r="A72" t="s">
        <v>8</v>
      </c>
      <c r="B72">
        <v>13203</v>
      </c>
      <c r="C72" s="1" t="str">
        <f t="shared" si="13"/>
        <v>ZR. PARTIDO DE TRABAJADORES REVOLUCIONARIOS</v>
      </c>
      <c r="D72" s="1" t="str">
        <f>"61. JULIO ENRIQUE HERNANDEZ PRADO (H)"</f>
        <v>61. JULIO ENRIQUE HERNANDEZ PRADO (H)</v>
      </c>
      <c r="E72" s="1" t="str">
        <f t="shared" si="14"/>
        <v>PTR</v>
      </c>
      <c r="F72" s="1" t="str">
        <f>"7"</f>
        <v>7</v>
      </c>
      <c r="G72" s="1">
        <v>0.09</v>
      </c>
      <c r="H72" s="1">
        <v>0</v>
      </c>
    </row>
    <row r="73" spans="1:8" x14ac:dyDescent="0.3">
      <c r="A73" t="s">
        <v>8</v>
      </c>
      <c r="B73">
        <v>13203</v>
      </c>
      <c r="C73" s="1" t="str">
        <f>"CANDIDATURA INDEPENDIENTE"</f>
        <v>CANDIDATURA INDEPENDIENTE</v>
      </c>
      <c r="E73" s="1" t="str">
        <f>""</f>
        <v/>
      </c>
      <c r="F73" s="1" t="str">
        <f>"164"</f>
        <v>164</v>
      </c>
      <c r="G73" s="1">
        <v>2.13</v>
      </c>
      <c r="H73" s="1"/>
    </row>
    <row r="74" spans="1:8" x14ac:dyDescent="0.3">
      <c r="A74" t="s">
        <v>8</v>
      </c>
      <c r="B74">
        <v>13203</v>
      </c>
      <c r="C74" s="1" t="str">
        <f>"CANDIDATURA INDEPENDIENTE"</f>
        <v>CANDIDATURA INDEPENDIENTE</v>
      </c>
      <c r="D74" s="1" t="str">
        <f>"62. MAURA FAJARDO GALVEZ (M)"</f>
        <v>62. MAURA FAJARDO GALVEZ (M)</v>
      </c>
      <c r="E74" s="1" t="str">
        <f>"IND"</f>
        <v>IND</v>
      </c>
      <c r="F74" s="1" t="str">
        <f>"164"</f>
        <v>164</v>
      </c>
      <c r="G74" s="1">
        <v>2.13</v>
      </c>
      <c r="H74" s="1">
        <v>0</v>
      </c>
    </row>
    <row r="75" spans="1:8" x14ac:dyDescent="0.3">
      <c r="A75" t="s">
        <v>8</v>
      </c>
      <c r="B75">
        <v>13203</v>
      </c>
      <c r="C75" s="1" t="str">
        <f>"CANDIDATURA INDEPENDIENTE"</f>
        <v>CANDIDATURA INDEPENDIENTE</v>
      </c>
      <c r="E75" s="1" t="str">
        <f>""</f>
        <v/>
      </c>
      <c r="F75" s="1" t="str">
        <f>"136"</f>
        <v>136</v>
      </c>
      <c r="G75" s="1">
        <v>1.77</v>
      </c>
      <c r="H75" s="1"/>
    </row>
    <row r="76" spans="1:8" x14ac:dyDescent="0.3">
      <c r="A76" t="s">
        <v>8</v>
      </c>
      <c r="B76">
        <v>13203</v>
      </c>
      <c r="C76" s="1" t="str">
        <f>"CANDIDATURA INDEPENDIENTE"</f>
        <v>CANDIDATURA INDEPENDIENTE</v>
      </c>
      <c r="D76" s="1" t="str">
        <f>"63. GABRIEL MOLINA VILLANUEVA (H)"</f>
        <v>63. GABRIEL MOLINA VILLANUEVA (H)</v>
      </c>
      <c r="E76" s="1" t="str">
        <f>"IND"</f>
        <v>IND</v>
      </c>
      <c r="F76" s="1" t="str">
        <f>"136"</f>
        <v>136</v>
      </c>
      <c r="G76" s="1">
        <v>1.77</v>
      </c>
      <c r="H76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2021-06-10T19:05:28Z</dcterms:created>
  <dcterms:modified xsi:type="dcterms:W3CDTF">2021-06-10T19:05:28Z</dcterms:modified>
</cp:coreProperties>
</file>