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E0237F62-9A05-4200-B453-33FC395F87E6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C73" i="1"/>
  <c r="C72" i="1"/>
  <c r="D71" i="1"/>
  <c r="C71" i="1"/>
  <c r="C70" i="1"/>
  <c r="D69" i="1"/>
  <c r="C69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C52" i="1"/>
  <c r="D51" i="1"/>
  <c r="C51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C18" i="1"/>
  <c r="D17" i="1"/>
  <c r="C17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C8" i="1"/>
  <c r="D7" i="1"/>
  <c r="C7" i="1"/>
  <c r="D6" i="1"/>
  <c r="C6" i="1"/>
  <c r="D5" i="1"/>
  <c r="C5" i="1"/>
  <c r="D4" i="1"/>
  <c r="C4" i="1"/>
  <c r="D3" i="1"/>
  <c r="C3" i="1"/>
  <c r="C2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<sst xmlns="http://schemas.openxmlformats.org/spreadsheetml/2006/main" count="80" uniqueCount="9">
  <si>
    <t>ELECTO</t>
  </si>
  <si>
    <t>COMUNA</t>
  </si>
  <si>
    <t>CODIGO</t>
  </si>
  <si>
    <t>LISTA</t>
  </si>
  <si>
    <t>CANDIDATOS</t>
  </si>
  <si>
    <t>PARTIDO</t>
  </si>
  <si>
    <t>VOTOS</t>
  </si>
  <si>
    <t>PORCENTAJE</t>
  </si>
  <si>
    <t>VITACURA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</si>
</sst>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A19" workbookViewId="0">
      <selection activeCell="A2" sqref="A2:B73"/>
    </sheetView>
  </sheetViews>
  <sheetFormatPr baseColWidth="10" defaultColWidth="8.88671875" defaultRowHeight="14.4" x14ac:dyDescent="0.3"/>
  <cols>
    <col min="1" max="1" width="14.77734375" customWidth="1"/>
    <col min="3" max="3" width="65.109375" customWidth="1"/>
    <col min="4" max="4" width="54.3320312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0</v>
      </c>
    </row>
    <row r="2" spans="1:8" x14ac:dyDescent="0.3">
      <c r="A2" t="s">
        <v>8</v>
      </c>
      <c r="B2">
        <v>13132</v>
      </c>
      <c r="C2" s="1" t="str">
        <f>"XA. PARTIDO ECOLOGISTA VERDE"</f>
        <v>XA. PARTIDO ECOLOGISTA VERDE</v>
      </c>
      <c r="E2" s="1" t="str">
        <f>""</f>
        <v/>
      </c>
      <c r="F2" s="1" t="str">
        <f>"809"</f>
        <v>809</v>
      </c>
      <c r="G2" s="1">
        <v>1.4500000000000002</v>
      </c>
      <c r="H2" s="1"/>
    </row>
    <row r="3" spans="1:8" x14ac:dyDescent="0.3">
      <c r="A3" t="s">
        <v>8</v>
      </c>
      <c r="B3">
        <v>13132</v>
      </c>
      <c r="C3" s="1" t="str">
        <f t="shared" ref="C3:C7" si="0">"XA. PARTIDO ECOLOGISTA VERDE"</f>
        <v>XA. PARTIDO ECOLOGISTA VERDE</v>
      </c>
      <c r="D3" s="1" t="str">
        <f>"1. CELESTE JIMENEZ RIVEROS (M)"</f>
        <v>1. CELESTE JIMENEZ RIVEROS (M)</v>
      </c>
      <c r="E3" s="1" t="str">
        <f>"PEV"</f>
        <v>PEV</v>
      </c>
      <c r="F3" s="1" t="str">
        <f>"241"</f>
        <v>241</v>
      </c>
      <c r="G3" s="1">
        <v>0.43</v>
      </c>
      <c r="H3" s="1">
        <v>0</v>
      </c>
    </row>
    <row r="4" spans="1:8" x14ac:dyDescent="0.3">
      <c r="A4" t="s">
        <v>8</v>
      </c>
      <c r="B4">
        <v>13132</v>
      </c>
      <c r="C4" s="1" t="str">
        <f t="shared" si="0"/>
        <v>XA. PARTIDO ECOLOGISTA VERDE</v>
      </c>
      <c r="D4" s="1" t="str">
        <f>"2. PABLO AMAT TRUJILLO (H)"</f>
        <v>2. PABLO AMAT TRUJILLO (H)</v>
      </c>
      <c r="E4" s="1" t="str">
        <f>"PEV"</f>
        <v>PEV</v>
      </c>
      <c r="F4" s="1" t="str">
        <f>"173"</f>
        <v>173</v>
      </c>
      <c r="G4" s="1">
        <v>0.31</v>
      </c>
      <c r="H4" s="1">
        <v>0</v>
      </c>
    </row>
    <row r="5" spans="1:8" x14ac:dyDescent="0.3">
      <c r="A5" t="s">
        <v>8</v>
      </c>
      <c r="B5">
        <v>13132</v>
      </c>
      <c r="C5" s="1" t="str">
        <f t="shared" si="0"/>
        <v>XA. PARTIDO ECOLOGISTA VERDE</v>
      </c>
      <c r="D5" s="1" t="str">
        <f>"3. NICOLE PEÑALOZA MORALES (M)"</f>
        <v>3. NICOLE PEÑALOZA MORALES (M)</v>
      </c>
      <c r="E5" s="1" t="str">
        <f>"PEV"</f>
        <v>PEV</v>
      </c>
      <c r="F5" s="1" t="str">
        <f>"162"</f>
        <v>162</v>
      </c>
      <c r="G5" s="1">
        <v>0.28999999999999998</v>
      </c>
      <c r="H5" s="1">
        <v>0</v>
      </c>
    </row>
    <row r="6" spans="1:8" x14ac:dyDescent="0.3">
      <c r="A6" t="s">
        <v>8</v>
      </c>
      <c r="B6">
        <v>13132</v>
      </c>
      <c r="C6" s="1" t="str">
        <f t="shared" si="0"/>
        <v>XA. PARTIDO ECOLOGISTA VERDE</v>
      </c>
      <c r="D6" s="1" t="str">
        <f>"4. IVO TOMISLAV VUKUSICH CIFUENTES (H)"</f>
        <v>4. IVO TOMISLAV VUKUSICH CIFUENTES (H)</v>
      </c>
      <c r="E6" s="1" t="str">
        <f>"PEV"</f>
        <v>PEV</v>
      </c>
      <c r="F6" s="1" t="str">
        <f>"158"</f>
        <v>158</v>
      </c>
      <c r="G6" s="1">
        <v>0.27999999999999997</v>
      </c>
      <c r="H6" s="1">
        <v>0</v>
      </c>
    </row>
    <row r="7" spans="1:8" x14ac:dyDescent="0.3">
      <c r="A7" t="s">
        <v>8</v>
      </c>
      <c r="B7">
        <v>13132</v>
      </c>
      <c r="C7" s="1" t="str">
        <f t="shared" si="0"/>
        <v>XA. PARTIDO ECOLOGISTA VERDE</v>
      </c>
      <c r="D7" s="1" t="str">
        <f>"5. CRISTINA FEMENIAS SALAS (M)"</f>
        <v>5. CRISTINA FEMENIAS SALAS (M)</v>
      </c>
      <c r="E7" s="1" t="str">
        <f>"PEV"</f>
        <v>PEV</v>
      </c>
      <c r="F7" s="1" t="str">
        <f>"75"</f>
        <v>75</v>
      </c>
      <c r="G7" s="1">
        <v>0.13</v>
      </c>
      <c r="H7" s="1">
        <v>0</v>
      </c>
    </row>
    <row r="8" spans="1:8" x14ac:dyDescent="0.3">
      <c r="A8" t="s">
        <v>8</v>
      </c>
      <c r="B8">
        <v>13132</v>
      </c>
      <c r="C8" s="1" t="str">
        <f>"XF. ENERGIA INDEPENDIENTE (D11)"</f>
        <v>XF. ENERGIA INDEPENDIENTE (D11)</v>
      </c>
      <c r="E8" s="1" t="str">
        <f>""</f>
        <v/>
      </c>
      <c r="F8" s="1" t="str">
        <f>"306"</f>
        <v>306</v>
      </c>
      <c r="G8" s="1">
        <v>0.54999999999999993</v>
      </c>
      <c r="H8" s="1"/>
    </row>
    <row r="9" spans="1:8" x14ac:dyDescent="0.3">
      <c r="A9" t="s">
        <v>8</v>
      </c>
      <c r="B9">
        <v>13132</v>
      </c>
      <c r="C9" s="1" t="str">
        <f t="shared" ref="C9:C15" si="1">"XF. ENERGIA INDEPENDIENTE (D11)"</f>
        <v>XF. ENERGIA INDEPENDIENTE (D11)</v>
      </c>
      <c r="D9" s="1" t="str">
        <f>"6. PATRICIA ELEAN ARRIAGADA CARDENAS (M)"</f>
        <v>6. PATRICIA ELEAN ARRIAGADA CARDENAS (M)</v>
      </c>
      <c r="E9" s="1" t="str">
        <f t="shared" ref="E9:E15" si="2">"IND"</f>
        <v>IND</v>
      </c>
      <c r="F9" s="1" t="str">
        <f>"80"</f>
        <v>80</v>
      </c>
      <c r="G9" s="1">
        <v>0.13999999999999999</v>
      </c>
      <c r="H9" s="1">
        <v>0</v>
      </c>
    </row>
    <row r="10" spans="1:8" x14ac:dyDescent="0.3">
      <c r="A10" t="s">
        <v>8</v>
      </c>
      <c r="B10">
        <v>13132</v>
      </c>
      <c r="C10" s="1" t="str">
        <f t="shared" si="1"/>
        <v>XF. ENERGIA INDEPENDIENTE (D11)</v>
      </c>
      <c r="D10" s="1" t="str">
        <f>"7. JORGE EDUARDO ROJAS RIVEROS (H)"</f>
        <v>7. JORGE EDUARDO ROJAS RIVEROS (H)</v>
      </c>
      <c r="E10" s="1" t="str">
        <f t="shared" si="2"/>
        <v>IND</v>
      </c>
      <c r="F10" s="1" t="str">
        <f>"85"</f>
        <v>85</v>
      </c>
      <c r="G10" s="1">
        <v>0.15</v>
      </c>
      <c r="H10" s="1">
        <v>0</v>
      </c>
    </row>
    <row r="11" spans="1:8" x14ac:dyDescent="0.3">
      <c r="A11" t="s">
        <v>8</v>
      </c>
      <c r="B11">
        <v>13132</v>
      </c>
      <c r="C11" s="1" t="str">
        <f t="shared" si="1"/>
        <v>XF. ENERGIA INDEPENDIENTE (D11)</v>
      </c>
      <c r="D11" s="1" t="str">
        <f>"8. PAULA ANDREA SALAMANCA ALCAIDE (M)"</f>
        <v>8. PAULA ANDREA SALAMANCA ALCAIDE (M)</v>
      </c>
      <c r="E11" s="1" t="str">
        <f t="shared" si="2"/>
        <v>IND</v>
      </c>
      <c r="F11" s="1" t="str">
        <f>"68"</f>
        <v>68</v>
      </c>
      <c r="G11" s="1">
        <v>0.12</v>
      </c>
      <c r="H11" s="1">
        <v>0</v>
      </c>
    </row>
    <row r="12" spans="1:8" x14ac:dyDescent="0.3">
      <c r="A12" t="s">
        <v>8</v>
      </c>
      <c r="B12">
        <v>13132</v>
      </c>
      <c r="C12" s="1" t="str">
        <f t="shared" si="1"/>
        <v>XF. ENERGIA INDEPENDIENTE (D11)</v>
      </c>
      <c r="D12" s="1" t="str">
        <f>"9. RENATO ANIBAL GARRIDO VILLEGAS (H)"</f>
        <v>9. RENATO ANIBAL GARRIDO VILLEGAS (H)</v>
      </c>
      <c r="E12" s="1" t="str">
        <f t="shared" si="2"/>
        <v>IND</v>
      </c>
      <c r="F12" s="1" t="str">
        <f>"11"</f>
        <v>11</v>
      </c>
      <c r="G12" s="1">
        <v>0.02</v>
      </c>
      <c r="H12" s="1">
        <v>0</v>
      </c>
    </row>
    <row r="13" spans="1:8" x14ac:dyDescent="0.3">
      <c r="A13" t="s">
        <v>8</v>
      </c>
      <c r="B13">
        <v>13132</v>
      </c>
      <c r="C13" s="1" t="str">
        <f t="shared" si="1"/>
        <v>XF. ENERGIA INDEPENDIENTE (D11)</v>
      </c>
      <c r="D13" s="1" t="str">
        <f>"10. DEBORA NOEMI RIQUELME VALENCIA (M)"</f>
        <v>10. DEBORA NOEMI RIQUELME VALENCIA (M)</v>
      </c>
      <c r="E13" s="1" t="str">
        <f t="shared" si="2"/>
        <v>IND</v>
      </c>
      <c r="F13" s="1" t="str">
        <f>"28"</f>
        <v>28</v>
      </c>
      <c r="G13" s="1">
        <v>0.05</v>
      </c>
      <c r="H13" s="1">
        <v>0</v>
      </c>
    </row>
    <row r="14" spans="1:8" x14ac:dyDescent="0.3">
      <c r="A14" t="s">
        <v>8</v>
      </c>
      <c r="B14">
        <v>13132</v>
      </c>
      <c r="C14" s="1" t="str">
        <f t="shared" si="1"/>
        <v>XF. ENERGIA INDEPENDIENTE (D11)</v>
      </c>
      <c r="D14" s="1" t="str">
        <f>"11. ESTEBAN MAURICIO CHAVEZ RIVERA (H)"</f>
        <v>11. ESTEBAN MAURICIO CHAVEZ RIVERA (H)</v>
      </c>
      <c r="E14" s="1" t="str">
        <f t="shared" si="2"/>
        <v>IND</v>
      </c>
      <c r="F14" s="1" t="str">
        <f>"22"</f>
        <v>22</v>
      </c>
      <c r="G14" s="1">
        <v>0.04</v>
      </c>
      <c r="H14" s="1">
        <v>0</v>
      </c>
    </row>
    <row r="15" spans="1:8" x14ac:dyDescent="0.3">
      <c r="A15" t="s">
        <v>8</v>
      </c>
      <c r="B15">
        <v>13132</v>
      </c>
      <c r="C15" s="1" t="str">
        <f t="shared" si="1"/>
        <v>XF. ENERGIA INDEPENDIENTE (D11)</v>
      </c>
      <c r="D15" s="1" t="str">
        <f>"12. BLANCA SOLEDAD OÑATE PIUTRIN (M)"</f>
        <v>12. BLANCA SOLEDAD OÑATE PIUTRIN (M)</v>
      </c>
      <c r="E15" s="1" t="str">
        <f t="shared" si="2"/>
        <v>IND</v>
      </c>
      <c r="F15" s="1" t="str">
        <f>"12"</f>
        <v>12</v>
      </c>
      <c r="G15" s="1">
        <v>0.02</v>
      </c>
      <c r="H15" s="1">
        <v>0</v>
      </c>
    </row>
    <row r="16" spans="1:8" x14ac:dyDescent="0.3">
      <c r="A16" t="s">
        <v>8</v>
      </c>
      <c r="B16">
        <v>13132</v>
      </c>
      <c r="C16" s="1" t="str">
        <f>"XG. PARTIDO HUMANISTA"</f>
        <v>XG. PARTIDO HUMANISTA</v>
      </c>
      <c r="E16" s="1" t="str">
        <f>""</f>
        <v/>
      </c>
      <c r="F16" s="1" t="str">
        <f>"86"</f>
        <v>86</v>
      </c>
      <c r="G16" s="1">
        <v>0.15</v>
      </c>
      <c r="H16" s="1"/>
    </row>
    <row r="17" spans="1:8" x14ac:dyDescent="0.3">
      <c r="A17" t="s">
        <v>8</v>
      </c>
      <c r="B17">
        <v>13132</v>
      </c>
      <c r="C17" s="1" t="str">
        <f>"XG. PARTIDO HUMANISTA"</f>
        <v>XG. PARTIDO HUMANISTA</v>
      </c>
      <c r="D17" s="1" t="str">
        <f>"13. SUSANA CORDOVA RODRIGUEZ (M)"</f>
        <v>13. SUSANA CORDOVA RODRIGUEZ (M)</v>
      </c>
      <c r="E17" s="1" t="str">
        <f>"PH"</f>
        <v>PH</v>
      </c>
      <c r="F17" s="1" t="str">
        <f>"86"</f>
        <v>86</v>
      </c>
      <c r="G17" s="1">
        <v>0.15</v>
      </c>
      <c r="H17" s="1">
        <v>0</v>
      </c>
    </row>
    <row r="18" spans="1:8" x14ac:dyDescent="0.3">
      <c r="A18" t="s">
        <v>8</v>
      </c>
      <c r="B18">
        <v>13132</v>
      </c>
      <c r="C18" s="1" t="str">
        <f>"XP. VAMOS POR CHILE"</f>
        <v>XP. VAMOS POR CHILE</v>
      </c>
      <c r="E18" s="1" t="str">
        <f>""</f>
        <v/>
      </c>
      <c r="F18" s="1" t="str">
        <f>"35.571"</f>
        <v>35.571</v>
      </c>
      <c r="G18" s="1">
        <v>63.81</v>
      </c>
      <c r="H18" s="1"/>
    </row>
    <row r="19" spans="1:8" x14ac:dyDescent="0.3">
      <c r="A19" t="s">
        <v>8</v>
      </c>
      <c r="B19">
        <v>13132</v>
      </c>
      <c r="C19" s="1" t="str">
        <f t="shared" ref="C19:C25" si="3">"XP. VAMOS POR CHILE"</f>
        <v>XP. VAMOS POR CHILE</v>
      </c>
      <c r="D19" s="1" t="str">
        <f>"14. MARCELA CUBILLOS SIGALL (M)"</f>
        <v>14. MARCELA CUBILLOS SIGALL (M)</v>
      </c>
      <c r="E19" s="1" t="str">
        <f>"IND-UDI"</f>
        <v>IND-UDI</v>
      </c>
      <c r="F19" s="1" t="str">
        <f>"17.529"</f>
        <v>17.529</v>
      </c>
      <c r="G19" s="1">
        <v>31.45</v>
      </c>
      <c r="H19" s="1">
        <v>1</v>
      </c>
    </row>
    <row r="20" spans="1:8" x14ac:dyDescent="0.3">
      <c r="A20" t="s">
        <v>8</v>
      </c>
      <c r="B20">
        <v>13132</v>
      </c>
      <c r="C20" s="1" t="str">
        <f t="shared" si="3"/>
        <v>XP. VAMOS POR CHILE</v>
      </c>
      <c r="D20" s="1" t="str">
        <f>"15. HERNAN LARRAIN MATTE (H)"</f>
        <v>15. HERNAN LARRAIN MATTE (H)</v>
      </c>
      <c r="E20" s="1" t="str">
        <f>"EVOPOLI"</f>
        <v>EVOPOLI</v>
      </c>
      <c r="F20" s="1" t="str">
        <f>"6.621"</f>
        <v>6.621</v>
      </c>
      <c r="G20" s="1">
        <v>11.88</v>
      </c>
      <c r="H20" s="1">
        <v>1</v>
      </c>
    </row>
    <row r="21" spans="1:8" x14ac:dyDescent="0.3">
      <c r="A21" t="s">
        <v>8</v>
      </c>
      <c r="B21">
        <v>13132</v>
      </c>
      <c r="C21" s="1" t="str">
        <f t="shared" si="3"/>
        <v>XP. VAMOS POR CHILE</v>
      </c>
      <c r="D21" s="1" t="str">
        <f>"16. PAULINA KANTOR PUPKIN (M)"</f>
        <v>16. PAULINA KANTOR PUPKIN (M)</v>
      </c>
      <c r="E21" s="1" t="str">
        <f>"EVOPOLI"</f>
        <v>EVOPOLI</v>
      </c>
      <c r="F21" s="1" t="str">
        <f>"2.679"</f>
        <v>2.679</v>
      </c>
      <c r="G21" s="1">
        <v>4.8099999999999996</v>
      </c>
      <c r="H21" s="1">
        <v>0</v>
      </c>
    </row>
    <row r="22" spans="1:8" x14ac:dyDescent="0.3">
      <c r="A22" t="s">
        <v>8</v>
      </c>
      <c r="B22">
        <v>13132</v>
      </c>
      <c r="C22" s="1" t="str">
        <f t="shared" si="3"/>
        <v>XP. VAMOS POR CHILE</v>
      </c>
      <c r="D22" s="1" t="str">
        <f>"17. BERNARDO FONTAINE TALAVERA (H)"</f>
        <v>17. BERNARDO FONTAINE TALAVERA (H)</v>
      </c>
      <c r="E22" s="1" t="str">
        <f>"IND-RN"</f>
        <v>IND-RN</v>
      </c>
      <c r="F22" s="1" t="str">
        <f>"3.858"</f>
        <v>3.858</v>
      </c>
      <c r="G22" s="1">
        <v>6.92</v>
      </c>
      <c r="H22" s="1">
        <v>1</v>
      </c>
    </row>
    <row r="23" spans="1:8" x14ac:dyDescent="0.3">
      <c r="A23" t="s">
        <v>8</v>
      </c>
      <c r="B23">
        <v>13132</v>
      </c>
      <c r="C23" s="1" t="str">
        <f t="shared" si="3"/>
        <v>XP. VAMOS POR CHILE</v>
      </c>
      <c r="D23" s="1" t="str">
        <f>"18. VERONICA CAMPINO GARCIA-HUIDOBRO (M)"</f>
        <v>18. VERONICA CAMPINO GARCIA-HUIDOBRO (M)</v>
      </c>
      <c r="E23" s="1" t="str">
        <f>"IND-RN"</f>
        <v>IND-RN</v>
      </c>
      <c r="F23" s="1" t="str">
        <f>"312"</f>
        <v>312</v>
      </c>
      <c r="G23" s="1">
        <v>0.55999999999999994</v>
      </c>
      <c r="H23" s="1">
        <v>0</v>
      </c>
    </row>
    <row r="24" spans="1:8" x14ac:dyDescent="0.3">
      <c r="A24" t="s">
        <v>8</v>
      </c>
      <c r="B24">
        <v>13132</v>
      </c>
      <c r="C24" s="1" t="str">
        <f t="shared" si="3"/>
        <v>XP. VAMOS POR CHILE</v>
      </c>
      <c r="D24" s="1" t="str">
        <f>"19. ANDRES CAREY CARVALLO (H)"</f>
        <v>19. ANDRES CAREY CARVALLO (H)</v>
      </c>
      <c r="E24" s="1" t="str">
        <f>"IND-RN"</f>
        <v>IND-RN</v>
      </c>
      <c r="F24" s="1" t="str">
        <f>"674"</f>
        <v>674</v>
      </c>
      <c r="G24" s="1">
        <v>1.21</v>
      </c>
      <c r="H24" s="1">
        <v>0</v>
      </c>
    </row>
    <row r="25" spans="1:8" x14ac:dyDescent="0.3">
      <c r="A25" t="s">
        <v>8</v>
      </c>
      <c r="B25">
        <v>13132</v>
      </c>
      <c r="C25" s="1" t="str">
        <f t="shared" si="3"/>
        <v>XP. VAMOS POR CHILE</v>
      </c>
      <c r="D25" s="1" t="str">
        <f>"20. CONSTANZA HUBE PORTUS (M)"</f>
        <v>20. CONSTANZA HUBE PORTUS (M)</v>
      </c>
      <c r="E25" s="1" t="str">
        <f>"UDI"</f>
        <v>UDI</v>
      </c>
      <c r="F25" s="1" t="str">
        <f>"3.898"</f>
        <v>3.898</v>
      </c>
      <c r="G25" s="1">
        <v>6.99</v>
      </c>
      <c r="H25" s="1">
        <v>1</v>
      </c>
    </row>
    <row r="26" spans="1:8" x14ac:dyDescent="0.3">
      <c r="A26" t="s">
        <v>8</v>
      </c>
      <c r="B26">
        <v>13132</v>
      </c>
      <c r="C26" s="1" t="str">
        <f>"XT. MOVIMIENTO SOCIAL CONSTITUYENTE / LA LISTA DEL PUEBLO (D11)"</f>
        <v>XT. MOVIMIENTO SOCIAL CONSTITUYENTE / LA LISTA DEL PUEBLO (D11)</v>
      </c>
      <c r="E26" s="1" t="str">
        <f>""</f>
        <v/>
      </c>
      <c r="F26" s="1" t="str">
        <f>"1.022"</f>
        <v>1.022</v>
      </c>
      <c r="G26" s="1">
        <v>1.83</v>
      </c>
      <c r="H26" s="1"/>
    </row>
    <row r="27" spans="1:8" x14ac:dyDescent="0.3">
      <c r="A27" t="s">
        <v>8</v>
      </c>
      <c r="B27">
        <v>13132</v>
      </c>
      <c r="C27" s="1" t="str">
        <f t="shared" ref="C27:C33" si="4">"XT. MOVIMIENTO SOCIAL CONSTITUYENTE / LA LISTA DEL PUEBLO (D11)"</f>
        <v>XT. MOVIMIENTO SOCIAL CONSTITUYENTE / LA LISTA DEL PUEBLO (D11)</v>
      </c>
      <c r="D27" s="1" t="str">
        <f>"21. SOLEDAD MELLA VIDAL (M)"</f>
        <v>21. SOLEDAD MELLA VIDAL (M)</v>
      </c>
      <c r="E27" s="1" t="str">
        <f t="shared" ref="E27:E33" si="5">"IND"</f>
        <v>IND</v>
      </c>
      <c r="F27" s="1" t="str">
        <f>"327"</f>
        <v>327</v>
      </c>
      <c r="G27" s="1">
        <v>0.59</v>
      </c>
      <c r="H27" s="1">
        <v>0</v>
      </c>
    </row>
    <row r="28" spans="1:8" x14ac:dyDescent="0.3">
      <c r="A28" t="s">
        <v>8</v>
      </c>
      <c r="B28">
        <v>13132</v>
      </c>
      <c r="C28" s="1" t="str">
        <f t="shared" si="4"/>
        <v>XT. MOVIMIENTO SOCIAL CONSTITUYENTE / LA LISTA DEL PUEBLO (D11)</v>
      </c>
      <c r="D28" s="1" t="str">
        <f>"22. ELEDIN PARRAGUEZ LIZANA (H)"</f>
        <v>22. ELEDIN PARRAGUEZ LIZANA (H)</v>
      </c>
      <c r="E28" s="1" t="str">
        <f t="shared" si="5"/>
        <v>IND</v>
      </c>
      <c r="F28" s="1" t="str">
        <f>"154"</f>
        <v>154</v>
      </c>
      <c r="G28" s="1">
        <v>0.27999999999999997</v>
      </c>
      <c r="H28" s="1">
        <v>0</v>
      </c>
    </row>
    <row r="29" spans="1:8" x14ac:dyDescent="0.3">
      <c r="A29" t="s">
        <v>8</v>
      </c>
      <c r="B29">
        <v>13132</v>
      </c>
      <c r="C29" s="1" t="str">
        <f t="shared" si="4"/>
        <v>XT. MOVIMIENTO SOCIAL CONSTITUYENTE / LA LISTA DEL PUEBLO (D11)</v>
      </c>
      <c r="D29" s="1" t="str">
        <f>"23. SONIA ULLOA TORO (M)"</f>
        <v>23. SONIA ULLOA TORO (M)</v>
      </c>
      <c r="E29" s="1" t="str">
        <f t="shared" si="5"/>
        <v>IND</v>
      </c>
      <c r="F29" s="1" t="str">
        <f>"88"</f>
        <v>88</v>
      </c>
      <c r="G29" s="1">
        <v>0.16</v>
      </c>
      <c r="H29" s="1">
        <v>0</v>
      </c>
    </row>
    <row r="30" spans="1:8" x14ac:dyDescent="0.3">
      <c r="A30" t="s">
        <v>8</v>
      </c>
      <c r="B30">
        <v>13132</v>
      </c>
      <c r="C30" s="1" t="str">
        <f t="shared" si="4"/>
        <v>XT. MOVIMIENTO SOCIAL CONSTITUYENTE / LA LISTA DEL PUEBLO (D11)</v>
      </c>
      <c r="D30" s="1" t="str">
        <f>"24. NICOLAS ROMERO REEVES (H)"</f>
        <v>24. NICOLAS ROMERO REEVES (H)</v>
      </c>
      <c r="E30" s="1" t="str">
        <f t="shared" si="5"/>
        <v>IND</v>
      </c>
      <c r="F30" s="1" t="str">
        <f>"106"</f>
        <v>106</v>
      </c>
      <c r="G30" s="1">
        <v>0.19</v>
      </c>
      <c r="H30" s="1">
        <v>0</v>
      </c>
    </row>
    <row r="31" spans="1:8" x14ac:dyDescent="0.3">
      <c r="A31" t="s">
        <v>8</v>
      </c>
      <c r="B31">
        <v>13132</v>
      </c>
      <c r="C31" s="1" t="str">
        <f t="shared" si="4"/>
        <v>XT. MOVIMIENTO SOCIAL CONSTITUYENTE / LA LISTA DEL PUEBLO (D11)</v>
      </c>
      <c r="D31" s="1" t="str">
        <f>"25. DANIELA KING REYES (M)"</f>
        <v>25. DANIELA KING REYES (M)</v>
      </c>
      <c r="E31" s="1" t="str">
        <f t="shared" si="5"/>
        <v>IND</v>
      </c>
      <c r="F31" s="1" t="str">
        <f>"193"</f>
        <v>193</v>
      </c>
      <c r="G31" s="1">
        <v>0.35000000000000003</v>
      </c>
      <c r="H31" s="1">
        <v>0</v>
      </c>
    </row>
    <row r="32" spans="1:8" x14ac:dyDescent="0.3">
      <c r="A32" t="s">
        <v>8</v>
      </c>
      <c r="B32">
        <v>13132</v>
      </c>
      <c r="C32" s="1" t="str">
        <f t="shared" si="4"/>
        <v>XT. MOVIMIENTO SOCIAL CONSTITUYENTE / LA LISTA DEL PUEBLO (D11)</v>
      </c>
      <c r="D32" s="1" t="str">
        <f>"26. JUAN EDUARDO BAEZA CARRASCO (H)"</f>
        <v>26. JUAN EDUARDO BAEZA CARRASCO (H)</v>
      </c>
      <c r="E32" s="1" t="str">
        <f t="shared" si="5"/>
        <v>IND</v>
      </c>
      <c r="F32" s="1" t="str">
        <f>"49"</f>
        <v>49</v>
      </c>
      <c r="G32" s="1">
        <v>0.09</v>
      </c>
      <c r="H32" s="1">
        <v>0</v>
      </c>
    </row>
    <row r="33" spans="1:8" x14ac:dyDescent="0.3">
      <c r="A33" t="s">
        <v>8</v>
      </c>
      <c r="B33">
        <v>13132</v>
      </c>
      <c r="C33" s="1" t="str">
        <f t="shared" si="4"/>
        <v>XT. MOVIMIENTO SOCIAL CONSTITUYENTE / LA LISTA DEL PUEBLO (D11)</v>
      </c>
      <c r="D33" s="1" t="str">
        <f>"27. CAROLINA CIFUENTES CASTILLO (M)"</f>
        <v>27. CAROLINA CIFUENTES CASTILLO (M)</v>
      </c>
      <c r="E33" s="1" t="str">
        <f t="shared" si="5"/>
        <v>IND</v>
      </c>
      <c r="F33" s="1" t="str">
        <f>"105"</f>
        <v>105</v>
      </c>
      <c r="G33" s="1">
        <v>0.19</v>
      </c>
      <c r="H33" s="1">
        <v>0</v>
      </c>
    </row>
    <row r="34" spans="1:8" x14ac:dyDescent="0.3">
      <c r="A34" t="s">
        <v>8</v>
      </c>
      <c r="B34">
        <v>13132</v>
      </c>
      <c r="C34" s="1" t="str">
        <f>"YB. LISTA DEL APRUEBO"</f>
        <v>YB. LISTA DEL APRUEBO</v>
      </c>
      <c r="E34" s="1" t="str">
        <f>""</f>
        <v/>
      </c>
      <c r="F34" s="1" t="str">
        <f>"6.698"</f>
        <v>6.698</v>
      </c>
      <c r="G34" s="1">
        <v>12.02</v>
      </c>
      <c r="H34" s="1"/>
    </row>
    <row r="35" spans="1:8" x14ac:dyDescent="0.3">
      <c r="A35" t="s">
        <v>8</v>
      </c>
      <c r="B35">
        <v>13132</v>
      </c>
      <c r="C35" s="1" t="str">
        <f t="shared" ref="C35:C41" si="6">"YB. LISTA DEL APRUEBO"</f>
        <v>YB. LISTA DEL APRUEBO</v>
      </c>
      <c r="D35" s="1" t="str">
        <f>"28. SARA LARRAIN RUIZ-TAGLE (M)"</f>
        <v>28. SARA LARRAIN RUIZ-TAGLE (M)</v>
      </c>
      <c r="E35" s="1" t="str">
        <f>"IND-PPD"</f>
        <v>IND-PPD</v>
      </c>
      <c r="F35" s="1" t="str">
        <f>"1.212"</f>
        <v>1.212</v>
      </c>
      <c r="G35" s="1">
        <v>2.17</v>
      </c>
      <c r="H35" s="1">
        <v>0</v>
      </c>
    </row>
    <row r="36" spans="1:8" ht="43.2" x14ac:dyDescent="0.3">
      <c r="A36" t="s">
        <v>8</v>
      </c>
      <c r="B36">
        <v>13132</v>
      </c>
      <c r="C36" s="1" t="str">
        <f t="shared" si="6"/>
        <v>YB. LISTA DEL APRUEBO</v>
      </c>
      <c r="D36" s="1" t="str">
        <f>"29. CRISTOBAL PATRICIO BELLOLIO BADIOLA (H)"</f>
        <v>29. CRISTOBAL PATRICIO BELLOLIO BADIOLA (H)</v>
      </c>
      <c r="E36" s="1" t="str">
        <f>"IND-CIUDADANOS"</f>
        <v>IND-CIUDADANOS</v>
      </c>
      <c r="F36" s="1" t="str">
        <f>"1.430"</f>
        <v>1.430</v>
      </c>
      <c r="G36" s="1">
        <v>2.5700000000000003</v>
      </c>
      <c r="H36" s="1">
        <v>0</v>
      </c>
    </row>
    <row r="37" spans="1:8" ht="43.2" x14ac:dyDescent="0.3">
      <c r="A37" t="s">
        <v>8</v>
      </c>
      <c r="B37">
        <v>13132</v>
      </c>
      <c r="C37" s="1" t="str">
        <f t="shared" si="6"/>
        <v>YB. LISTA DEL APRUEBO</v>
      </c>
      <c r="D37" s="1" t="str">
        <f>"30. PAOLA BERLIN RAZMILIC (M)"</f>
        <v>30. PAOLA BERLIN RAZMILIC (M)</v>
      </c>
      <c r="E37" s="1" t="str">
        <f>"IND-CIUDADANOS"</f>
        <v>IND-CIUDADANOS</v>
      </c>
      <c r="F37" s="1" t="str">
        <f>"409"</f>
        <v>409</v>
      </c>
      <c r="G37" s="1">
        <v>0.73</v>
      </c>
      <c r="H37" s="1">
        <v>0</v>
      </c>
    </row>
    <row r="38" spans="1:8" x14ac:dyDescent="0.3">
      <c r="A38" t="s">
        <v>8</v>
      </c>
      <c r="B38">
        <v>13132</v>
      </c>
      <c r="C38" s="1" t="str">
        <f t="shared" si="6"/>
        <v>YB. LISTA DEL APRUEBO</v>
      </c>
      <c r="D38" s="1" t="str">
        <f>"31. PATRICIO FERNANDEZ CHADWICK (H)"</f>
        <v>31. PATRICIO FERNANDEZ CHADWICK (H)</v>
      </c>
      <c r="E38" s="1" t="str">
        <f>"IND-PL"</f>
        <v>IND-PL</v>
      </c>
      <c r="F38" s="1" t="str">
        <f>"1.935"</f>
        <v>1.935</v>
      </c>
      <c r="G38" s="1">
        <v>3.47</v>
      </c>
      <c r="H38" s="1">
        <v>1</v>
      </c>
    </row>
    <row r="39" spans="1:8" x14ac:dyDescent="0.3">
      <c r="A39" t="s">
        <v>8</v>
      </c>
      <c r="B39">
        <v>13132</v>
      </c>
      <c r="C39" s="1" t="str">
        <f t="shared" si="6"/>
        <v>YB. LISTA DEL APRUEBO</v>
      </c>
      <c r="D39" s="1" t="str">
        <f>"32. MARIA JOSE CUMPLIDO BAEZA (M)"</f>
        <v>32. MARIA JOSE CUMPLIDO BAEZA (M)</v>
      </c>
      <c r="E39" s="1" t="str">
        <f>"PL"</f>
        <v>PL</v>
      </c>
      <c r="F39" s="1" t="str">
        <f>"382"</f>
        <v>382</v>
      </c>
      <c r="G39" s="1">
        <v>0.69</v>
      </c>
      <c r="H39" s="1">
        <v>0</v>
      </c>
    </row>
    <row r="40" spans="1:8" x14ac:dyDescent="0.3">
      <c r="A40" t="s">
        <v>8</v>
      </c>
      <c r="B40">
        <v>13132</v>
      </c>
      <c r="C40" s="1" t="str">
        <f t="shared" si="6"/>
        <v>YB. LISTA DEL APRUEBO</v>
      </c>
      <c r="D40" s="1" t="str">
        <f>"33. JUAN ENRIQUE PI ARRIAGADA (H)"</f>
        <v>33. JUAN ENRIQUE PI ARRIAGADA (H)</v>
      </c>
      <c r="E40" s="1" t="str">
        <f>"IND-PDC"</f>
        <v>IND-PDC</v>
      </c>
      <c r="F40" s="1" t="str">
        <f>"184"</f>
        <v>184</v>
      </c>
      <c r="G40" s="1">
        <v>0.33</v>
      </c>
      <c r="H40" s="1">
        <v>0</v>
      </c>
    </row>
    <row r="41" spans="1:8" x14ac:dyDescent="0.3">
      <c r="A41" t="s">
        <v>8</v>
      </c>
      <c r="B41">
        <v>13132</v>
      </c>
      <c r="C41" s="1" t="str">
        <f t="shared" si="6"/>
        <v>YB. LISTA DEL APRUEBO</v>
      </c>
      <c r="D41" s="1" t="str">
        <f>"34. ELISA WALKER ECHENIQUE (M)"</f>
        <v>34. ELISA WALKER ECHENIQUE (M)</v>
      </c>
      <c r="E41" s="1" t="str">
        <f>"PDC"</f>
        <v>PDC</v>
      </c>
      <c r="F41" s="1" t="str">
        <f>"1.146"</f>
        <v>1.146</v>
      </c>
      <c r="G41" s="1">
        <v>2.06</v>
      </c>
      <c r="H41" s="1">
        <v>0</v>
      </c>
    </row>
    <row r="42" spans="1:8" x14ac:dyDescent="0.3">
      <c r="A42" t="s">
        <v>8</v>
      </c>
      <c r="B42">
        <v>13132</v>
      </c>
      <c r="C42" s="1" t="str">
        <f>"YQ. APRUEBO DIGNIDAD"</f>
        <v>YQ. APRUEBO DIGNIDAD</v>
      </c>
      <c r="E42" s="1" t="str">
        <f>""</f>
        <v/>
      </c>
      <c r="F42" s="1" t="str">
        <f>"2.956"</f>
        <v>2.956</v>
      </c>
      <c r="G42" s="1">
        <v>5.3</v>
      </c>
      <c r="H42" s="1"/>
    </row>
    <row r="43" spans="1:8" x14ac:dyDescent="0.3">
      <c r="A43" t="s">
        <v>8</v>
      </c>
      <c r="B43">
        <v>13132</v>
      </c>
      <c r="C43" s="1" t="str">
        <f t="shared" ref="C43:C49" si="7">"YQ. APRUEBO DIGNIDAD"</f>
        <v>YQ. APRUEBO DIGNIDAD</v>
      </c>
      <c r="D43" s="1" t="str">
        <f>"35. CONSTANZA GABRIELA SCHONHAUT SOTO (M)"</f>
        <v>35. CONSTANZA GABRIELA SCHONHAUT SOTO (M)</v>
      </c>
      <c r="E43" s="1" t="str">
        <f>"CONVER."</f>
        <v>CONVER.</v>
      </c>
      <c r="F43" s="1" t="str">
        <f>"1.716"</f>
        <v>1.716</v>
      </c>
      <c r="G43" s="1">
        <v>3.08</v>
      </c>
      <c r="H43" s="1">
        <v>1</v>
      </c>
    </row>
    <row r="44" spans="1:8" x14ac:dyDescent="0.3">
      <c r="A44" t="s">
        <v>8</v>
      </c>
      <c r="B44">
        <v>13132</v>
      </c>
      <c r="C44" s="1" t="str">
        <f t="shared" si="7"/>
        <v>YQ. APRUEBO DIGNIDAD</v>
      </c>
      <c r="D44" s="1" t="str">
        <f>"36. JUAN VERA CARRASCO (H)"</f>
        <v>36. JUAN VERA CARRASCO (H)</v>
      </c>
      <c r="E44" s="1" t="str">
        <f>"IND-FREVS"</f>
        <v>IND-FREVS</v>
      </c>
      <c r="F44" s="1" t="str">
        <f>"25"</f>
        <v>25</v>
      </c>
      <c r="G44" s="1">
        <v>0.04</v>
      </c>
      <c r="H44" s="1">
        <v>0</v>
      </c>
    </row>
    <row r="45" spans="1:8" x14ac:dyDescent="0.3">
      <c r="A45" t="s">
        <v>8</v>
      </c>
      <c r="B45">
        <v>13132</v>
      </c>
      <c r="C45" s="1" t="str">
        <f t="shared" si="7"/>
        <v>YQ. APRUEBO DIGNIDAD</v>
      </c>
      <c r="D45" s="1" t="str">
        <f>"37. CAROLINA PAZ PEREZ DATTARI (M)"</f>
        <v>37. CAROLINA PAZ PEREZ DATTARI (M)</v>
      </c>
      <c r="E45" s="1" t="str">
        <f>"RD"</f>
        <v>RD</v>
      </c>
      <c r="F45" s="1" t="str">
        <f>"277"</f>
        <v>277</v>
      </c>
      <c r="G45" s="1">
        <v>0.5</v>
      </c>
      <c r="H45" s="1">
        <v>0</v>
      </c>
    </row>
    <row r="46" spans="1:8" x14ac:dyDescent="0.3">
      <c r="A46" t="s">
        <v>8</v>
      </c>
      <c r="B46">
        <v>13132</v>
      </c>
      <c r="C46" s="1" t="str">
        <f t="shared" si="7"/>
        <v>YQ. APRUEBO DIGNIDAD</v>
      </c>
      <c r="D46" s="1" t="str">
        <f>"38. MAURICIO PESUTIC PEREZ (H)"</f>
        <v>38. MAURICIO PESUTIC PEREZ (H)</v>
      </c>
      <c r="E46" s="1" t="str">
        <f>"IND-PCCH"</f>
        <v>IND-PCCH</v>
      </c>
      <c r="F46" s="1" t="str">
        <f>"380"</f>
        <v>380</v>
      </c>
      <c r="G46" s="1">
        <v>0.67999999999999994</v>
      </c>
      <c r="H46" s="1">
        <v>0</v>
      </c>
    </row>
    <row r="47" spans="1:8" x14ac:dyDescent="0.3">
      <c r="A47" t="s">
        <v>8</v>
      </c>
      <c r="B47">
        <v>13132</v>
      </c>
      <c r="C47" s="1" t="str">
        <f t="shared" si="7"/>
        <v>YQ. APRUEBO DIGNIDAD</v>
      </c>
      <c r="D47" s="1" t="str">
        <f>"39. NATALIA BELEN GARRIDO TORO (M)"</f>
        <v>39. NATALIA BELEN GARRIDO TORO (M)</v>
      </c>
      <c r="E47" s="1" t="str">
        <f>"IGUALDAD"</f>
        <v>IGUALDAD</v>
      </c>
      <c r="F47" s="1" t="str">
        <f>"91"</f>
        <v>91</v>
      </c>
      <c r="G47" s="1">
        <v>0.16</v>
      </c>
      <c r="H47" s="1">
        <v>0</v>
      </c>
    </row>
    <row r="48" spans="1:8" ht="28.8" x14ac:dyDescent="0.3">
      <c r="A48" t="s">
        <v>8</v>
      </c>
      <c r="B48">
        <v>13132</v>
      </c>
      <c r="C48" s="1" t="str">
        <f t="shared" si="7"/>
        <v>YQ. APRUEBO DIGNIDAD</v>
      </c>
      <c r="D48" s="1" t="str">
        <f>"40. DIEGO MARDONES PEREZ (H)"</f>
        <v>40. DIEGO MARDONES PEREZ (H)</v>
      </c>
      <c r="E48" s="1" t="str">
        <f>"IND-IGUALDAD"</f>
        <v>IND-IGUALDAD</v>
      </c>
      <c r="F48" s="1" t="str">
        <f>"259"</f>
        <v>259</v>
      </c>
      <c r="G48" s="1">
        <v>0.45999999999999996</v>
      </c>
      <c r="H48" s="1">
        <v>0</v>
      </c>
    </row>
    <row r="49" spans="1:8" x14ac:dyDescent="0.3">
      <c r="A49" t="s">
        <v>8</v>
      </c>
      <c r="B49">
        <v>13132</v>
      </c>
      <c r="C49" s="1" t="str">
        <f t="shared" si="7"/>
        <v>YQ. APRUEBO DIGNIDAD</v>
      </c>
      <c r="D49" s="1" t="str">
        <f>"41. JAVIERA ALEJANDRA TORO CACERES (M)"</f>
        <v>41. JAVIERA ALEJANDRA TORO CACERES (M)</v>
      </c>
      <c r="E49" s="1" t="str">
        <f>"COMUNES"</f>
        <v>COMUNES</v>
      </c>
      <c r="F49" s="1" t="str">
        <f>"208"</f>
        <v>208</v>
      </c>
      <c r="G49" s="1">
        <v>0.37</v>
      </c>
      <c r="H49" s="1">
        <v>0</v>
      </c>
    </row>
    <row r="50" spans="1:8" x14ac:dyDescent="0.3">
      <c r="A50" t="s">
        <v>8</v>
      </c>
      <c r="B50">
        <v>13132</v>
      </c>
      <c r="C50" s="1" t="str">
        <f>"ZB. UNION PATRIOTICA"</f>
        <v>ZB. UNION PATRIOTICA</v>
      </c>
      <c r="E50" s="1" t="str">
        <f>""</f>
        <v/>
      </c>
      <c r="F50" s="1" t="str">
        <f>"43"</f>
        <v>43</v>
      </c>
      <c r="G50" s="1">
        <v>0.08</v>
      </c>
      <c r="H50" s="1"/>
    </row>
    <row r="51" spans="1:8" x14ac:dyDescent="0.3">
      <c r="A51" t="s">
        <v>8</v>
      </c>
      <c r="B51">
        <v>13132</v>
      </c>
      <c r="C51" s="1" t="str">
        <f>"ZB. UNION PATRIOTICA"</f>
        <v>ZB. UNION PATRIOTICA</v>
      </c>
      <c r="D51" s="1" t="str">
        <f>"42. ALEJANDRA NATHALY BROZALEZ ROMERO (M)"</f>
        <v>42. ALEJANDRA NATHALY BROZALEZ ROMERO (M)</v>
      </c>
      <c r="E51" s="1" t="str">
        <f>"UPA"</f>
        <v>UPA</v>
      </c>
      <c r="F51" s="1" t="str">
        <f>"43"</f>
        <v>43</v>
      </c>
      <c r="G51" s="1">
        <v>0.08</v>
      </c>
      <c r="H51" s="1">
        <v>0</v>
      </c>
    </row>
    <row r="52" spans="1:8" x14ac:dyDescent="0.3">
      <c r="A52" t="s">
        <v>8</v>
      </c>
      <c r="B52">
        <v>13132</v>
      </c>
      <c r="C52" s="1" t="str">
        <f>"ZT. INDEPENDIENTES POR LA NUEVA CONSTITUCION (D11)"</f>
        <v>ZT. INDEPENDIENTES POR LA NUEVA CONSTITUCION (D11)</v>
      </c>
      <c r="E52" s="1" t="str">
        <f>""</f>
        <v/>
      </c>
      <c r="F52" s="1" t="str">
        <f>"909"</f>
        <v>909</v>
      </c>
      <c r="G52" s="1">
        <v>1.63</v>
      </c>
      <c r="H52" s="1"/>
    </row>
    <row r="53" spans="1:8" x14ac:dyDescent="0.3">
      <c r="A53" t="s">
        <v>8</v>
      </c>
      <c r="B53">
        <v>13132</v>
      </c>
      <c r="C53" s="1" t="str">
        <f t="shared" ref="C53:C59" si="8">"ZT. INDEPENDIENTES POR LA NUEVA CONSTITUCION (D11)"</f>
        <v>ZT. INDEPENDIENTES POR LA NUEVA CONSTITUCION (D11)</v>
      </c>
      <c r="D53" s="1" t="str">
        <f>"43. PILAR CATALINA ELGUETA LAGOS (M)"</f>
        <v>43. PILAR CATALINA ELGUETA LAGOS (M)</v>
      </c>
      <c r="E53" s="1" t="str">
        <f t="shared" ref="E53:E59" si="9">"IND"</f>
        <v>IND</v>
      </c>
      <c r="F53" s="1" t="str">
        <f>"154"</f>
        <v>154</v>
      </c>
      <c r="G53" s="1">
        <v>0.27999999999999997</v>
      </c>
      <c r="H53" s="1">
        <v>0</v>
      </c>
    </row>
    <row r="54" spans="1:8" x14ac:dyDescent="0.3">
      <c r="A54" t="s">
        <v>8</v>
      </c>
      <c r="B54">
        <v>13132</v>
      </c>
      <c r="C54" s="1" t="str">
        <f t="shared" si="8"/>
        <v>ZT. INDEPENDIENTES POR LA NUEVA CONSTITUCION (D11)</v>
      </c>
      <c r="D54" s="1" t="str">
        <f>"44. MILAN MARCOS IVELIC KUSANOVIC (H)"</f>
        <v>44. MILAN MARCOS IVELIC KUSANOVIC (H)</v>
      </c>
      <c r="E54" s="1" t="str">
        <f t="shared" si="9"/>
        <v>IND</v>
      </c>
      <c r="F54" s="1" t="str">
        <f>"394"</f>
        <v>394</v>
      </c>
      <c r="G54" s="1">
        <v>0.71000000000000008</v>
      </c>
      <c r="H54" s="1">
        <v>0</v>
      </c>
    </row>
    <row r="55" spans="1:8" x14ac:dyDescent="0.3">
      <c r="A55" t="s">
        <v>8</v>
      </c>
      <c r="B55">
        <v>13132</v>
      </c>
      <c r="C55" s="1" t="str">
        <f t="shared" si="8"/>
        <v>ZT. INDEPENDIENTES POR LA NUEVA CONSTITUCION (D11)</v>
      </c>
      <c r="D55" s="1" t="str">
        <f>"45. CAROLA PATRICIA FREDES TOLORZA (M)"</f>
        <v>45. CAROLA PATRICIA FREDES TOLORZA (M)</v>
      </c>
      <c r="E55" s="1" t="str">
        <f t="shared" si="9"/>
        <v>IND</v>
      </c>
      <c r="F55" s="1" t="str">
        <f>"77"</f>
        <v>77</v>
      </c>
      <c r="G55" s="1">
        <v>0.13999999999999999</v>
      </c>
      <c r="H55" s="1">
        <v>0</v>
      </c>
    </row>
    <row r="56" spans="1:8" x14ac:dyDescent="0.3">
      <c r="A56" t="s">
        <v>8</v>
      </c>
      <c r="B56">
        <v>13132</v>
      </c>
      <c r="C56" s="1" t="str">
        <f t="shared" si="8"/>
        <v>ZT. INDEPENDIENTES POR LA NUEVA CONSTITUCION (D11)</v>
      </c>
      <c r="D56" s="1" t="str">
        <f>"46. CLAUDIO GUZMAN FERNANDEZ DEL RIO (H)"</f>
        <v>46. CLAUDIO GUZMAN FERNANDEZ DEL RIO (H)</v>
      </c>
      <c r="E56" s="1" t="str">
        <f t="shared" si="9"/>
        <v>IND</v>
      </c>
      <c r="F56" s="1" t="str">
        <f>"83"</f>
        <v>83</v>
      </c>
      <c r="G56" s="1">
        <v>0.15</v>
      </c>
      <c r="H56" s="1">
        <v>0</v>
      </c>
    </row>
    <row r="57" spans="1:8" x14ac:dyDescent="0.3">
      <c r="A57" t="s">
        <v>8</v>
      </c>
      <c r="B57">
        <v>13132</v>
      </c>
      <c r="C57" s="1" t="str">
        <f t="shared" si="8"/>
        <v>ZT. INDEPENDIENTES POR LA NUEVA CONSTITUCION (D11)</v>
      </c>
      <c r="D57" s="1" t="str">
        <f>"47. CAROLINA BEATRIZ CONTRERAS DUPRE (M)"</f>
        <v>47. CAROLINA BEATRIZ CONTRERAS DUPRE (M)</v>
      </c>
      <c r="E57" s="1" t="str">
        <f t="shared" si="9"/>
        <v>IND</v>
      </c>
      <c r="F57" s="1" t="str">
        <f>"134"</f>
        <v>134</v>
      </c>
      <c r="G57" s="1">
        <v>0.24</v>
      </c>
      <c r="H57" s="1">
        <v>0</v>
      </c>
    </row>
    <row r="58" spans="1:8" x14ac:dyDescent="0.3">
      <c r="A58" t="s">
        <v>8</v>
      </c>
      <c r="B58">
        <v>13132</v>
      </c>
      <c r="C58" s="1" t="str">
        <f t="shared" si="8"/>
        <v>ZT. INDEPENDIENTES POR LA NUEVA CONSTITUCION (D11)</v>
      </c>
      <c r="D58" s="1" t="str">
        <f>"48. FELIPE ALBERTO ELIAS VERA PEÑALOZA (H)"</f>
        <v>48. FELIPE ALBERTO ELIAS VERA PEÑALOZA (H)</v>
      </c>
      <c r="E58" s="1" t="str">
        <f t="shared" si="9"/>
        <v>IND</v>
      </c>
      <c r="F58" s="1" t="str">
        <f>"25"</f>
        <v>25</v>
      </c>
      <c r="G58" s="1">
        <v>0.04</v>
      </c>
      <c r="H58" s="1">
        <v>0</v>
      </c>
    </row>
    <row r="59" spans="1:8" x14ac:dyDescent="0.3">
      <c r="A59" t="s">
        <v>8</v>
      </c>
      <c r="B59">
        <v>13132</v>
      </c>
      <c r="C59" s="1" t="str">
        <f t="shared" si="8"/>
        <v>ZT. INDEPENDIENTES POR LA NUEVA CONSTITUCION (D11)</v>
      </c>
      <c r="D59" s="1" t="str">
        <f>"49. PABLO ENRIQUE CARRASCO VILLABLANCA (H)"</f>
        <v>49. PABLO ENRIQUE CARRASCO VILLABLANCA (H)</v>
      </c>
      <c r="E59" s="1" t="str">
        <f t="shared" si="9"/>
        <v>IND</v>
      </c>
      <c r="F59" s="1" t="str">
        <f>"42"</f>
        <v>42</v>
      </c>
      <c r="G59" s="1">
        <v>0.08</v>
      </c>
      <c r="H59" s="1">
        <v>0</v>
      </c>
    </row>
    <row r="60" spans="1:8" x14ac:dyDescent="0.3">
      <c r="A60" t="s">
        <v>8</v>
      </c>
      <c r="B60">
        <v>13132</v>
      </c>
      <c r="C60" s="1" t="str">
        <f>"ZY. INDEPENDIENTES CON CHILE (D11)"</f>
        <v>ZY. INDEPENDIENTES CON CHILE (D11)</v>
      </c>
      <c r="E60" s="1" t="str">
        <f>""</f>
        <v/>
      </c>
      <c r="F60" s="1" t="str">
        <f>"5.099"</f>
        <v>5.099</v>
      </c>
      <c r="G60" s="1">
        <v>9.15</v>
      </c>
      <c r="H60" s="1"/>
    </row>
    <row r="61" spans="1:8" x14ac:dyDescent="0.3">
      <c r="A61" t="s">
        <v>8</v>
      </c>
      <c r="B61">
        <v>13132</v>
      </c>
      <c r="C61" s="1" t="str">
        <f t="shared" ref="C61:C67" si="10">"ZY. INDEPENDIENTES CON CHILE (D11)"</f>
        <v>ZY. INDEPENDIENTES CON CHILE (D11)</v>
      </c>
      <c r="D61" s="1" t="str">
        <f>"50. MARIANA AYLWIN OYARZUN (M)"</f>
        <v>50. MARIANA AYLWIN OYARZUN (M)</v>
      </c>
      <c r="E61" s="1" t="str">
        <f t="shared" ref="E61:E67" si="11">"IND"</f>
        <v>IND</v>
      </c>
      <c r="F61" s="1" t="str">
        <f>"1.745"</f>
        <v>1.745</v>
      </c>
      <c r="G61" s="1">
        <v>3.1300000000000003</v>
      </c>
      <c r="H61" s="1">
        <v>0</v>
      </c>
    </row>
    <row r="62" spans="1:8" x14ac:dyDescent="0.3">
      <c r="A62" t="s">
        <v>8</v>
      </c>
      <c r="B62">
        <v>13132</v>
      </c>
      <c r="C62" s="1" t="str">
        <f t="shared" si="10"/>
        <v>ZY. INDEPENDIENTES CON CHILE (D11)</v>
      </c>
      <c r="D62" s="1" t="str">
        <f>"51. TOMAS RECART BALZE (H)"</f>
        <v>51. TOMAS RECART BALZE (H)</v>
      </c>
      <c r="E62" s="1" t="str">
        <f t="shared" si="11"/>
        <v>IND</v>
      </c>
      <c r="F62" s="1" t="str">
        <f>"2.294"</f>
        <v>2.294</v>
      </c>
      <c r="G62" s="1">
        <v>4.12</v>
      </c>
      <c r="H62" s="1">
        <v>0</v>
      </c>
    </row>
    <row r="63" spans="1:8" x14ac:dyDescent="0.3">
      <c r="A63" t="s">
        <v>8</v>
      </c>
      <c r="B63">
        <v>13132</v>
      </c>
      <c r="C63" s="1" t="str">
        <f t="shared" si="10"/>
        <v>ZY. INDEPENDIENTES CON CHILE (D11)</v>
      </c>
      <c r="D63" s="1" t="str">
        <f>"52. PILAR PEÑA DARDAILLON (M)"</f>
        <v>52. PILAR PEÑA DARDAILLON (M)</v>
      </c>
      <c r="E63" s="1" t="str">
        <f t="shared" si="11"/>
        <v>IND</v>
      </c>
      <c r="F63" s="1" t="str">
        <f>"121"</f>
        <v>121</v>
      </c>
      <c r="G63" s="1">
        <v>0.22</v>
      </c>
      <c r="H63" s="1">
        <v>0</v>
      </c>
    </row>
    <row r="64" spans="1:8" x14ac:dyDescent="0.3">
      <c r="A64" t="s">
        <v>8</v>
      </c>
      <c r="B64">
        <v>13132</v>
      </c>
      <c r="C64" s="1" t="str">
        <f t="shared" si="10"/>
        <v>ZY. INDEPENDIENTES CON CHILE (D11)</v>
      </c>
      <c r="D64" s="1" t="str">
        <f>"53. CLEMENTE PEREZ ERRAZURIZ (H)"</f>
        <v>53. CLEMENTE PEREZ ERRAZURIZ (H)</v>
      </c>
      <c r="E64" s="1" t="str">
        <f t="shared" si="11"/>
        <v>IND</v>
      </c>
      <c r="F64" s="1" t="str">
        <f>"566"</f>
        <v>566</v>
      </c>
      <c r="G64" s="1">
        <v>1.02</v>
      </c>
      <c r="H64" s="1">
        <v>0</v>
      </c>
    </row>
    <row r="65" spans="1:8" x14ac:dyDescent="0.3">
      <c r="A65" t="s">
        <v>8</v>
      </c>
      <c r="B65">
        <v>13132</v>
      </c>
      <c r="C65" s="1" t="str">
        <f t="shared" si="10"/>
        <v>ZY. INDEPENDIENTES CON CHILE (D11)</v>
      </c>
      <c r="D65" s="1" t="str">
        <f>"54. CRISTINA BEATRIZ BASTIDAS GONZALEZ (M)"</f>
        <v>54. CRISTINA BEATRIZ BASTIDAS GONZALEZ (M)</v>
      </c>
      <c r="E65" s="1" t="str">
        <f t="shared" si="11"/>
        <v>IND</v>
      </c>
      <c r="F65" s="1" t="str">
        <f>"36"</f>
        <v>36</v>
      </c>
      <c r="G65" s="1">
        <v>0.06</v>
      </c>
      <c r="H65" s="1">
        <v>0</v>
      </c>
    </row>
    <row r="66" spans="1:8" x14ac:dyDescent="0.3">
      <c r="A66" t="s">
        <v>8</v>
      </c>
      <c r="B66">
        <v>13132</v>
      </c>
      <c r="C66" s="1" t="str">
        <f t="shared" si="10"/>
        <v>ZY. INDEPENDIENTES CON CHILE (D11)</v>
      </c>
      <c r="D66" s="1" t="str">
        <f>"55. MANUEL ADRIAN INOSTROZA PALMA (H)"</f>
        <v>55. MANUEL ADRIAN INOSTROZA PALMA (H)</v>
      </c>
      <c r="E66" s="1" t="str">
        <f t="shared" si="11"/>
        <v>IND</v>
      </c>
      <c r="F66" s="1" t="str">
        <f>"160"</f>
        <v>160</v>
      </c>
      <c r="G66" s="1">
        <v>0.28999999999999998</v>
      </c>
      <c r="H66" s="1">
        <v>0</v>
      </c>
    </row>
    <row r="67" spans="1:8" x14ac:dyDescent="0.3">
      <c r="A67" t="s">
        <v>8</v>
      </c>
      <c r="B67">
        <v>13132</v>
      </c>
      <c r="C67" s="1" t="str">
        <f t="shared" si="10"/>
        <v>ZY. INDEPENDIENTES CON CHILE (D11)</v>
      </c>
      <c r="D67" s="1" t="str">
        <f>"56. JORGE DE LA CARRERA DE LA BARRERA (H)"</f>
        <v>56. JORGE DE LA CARRERA DE LA BARRERA (H)</v>
      </c>
      <c r="E67" s="1" t="str">
        <f t="shared" si="11"/>
        <v>IND</v>
      </c>
      <c r="F67" s="1" t="str">
        <f>"177"</f>
        <v>177</v>
      </c>
      <c r="G67" s="1">
        <v>0.32</v>
      </c>
      <c r="H67" s="1">
        <v>0</v>
      </c>
    </row>
    <row r="68" spans="1:8" x14ac:dyDescent="0.3">
      <c r="A68" t="s">
        <v>8</v>
      </c>
      <c r="B68">
        <v>13132</v>
      </c>
      <c r="C68" s="1" t="str">
        <f>"CANDIDATURA INDEPENDIENTE"</f>
        <v>CANDIDATURA INDEPENDIENTE</v>
      </c>
      <c r="E68" s="1" t="str">
        <f>""</f>
        <v/>
      </c>
      <c r="F68" s="1" t="str">
        <f>"636"</f>
        <v>636</v>
      </c>
      <c r="G68" s="1">
        <v>1.1400000000000001</v>
      </c>
      <c r="H68" s="1"/>
    </row>
    <row r="69" spans="1:8" x14ac:dyDescent="0.3">
      <c r="A69" t="s">
        <v>8</v>
      </c>
      <c r="B69">
        <v>13132</v>
      </c>
      <c r="C69" s="1" t="str">
        <f t="shared" ref="C69:C73" si="12">"CANDIDATURA INDEPENDIENTE"</f>
        <v>CANDIDATURA INDEPENDIENTE</v>
      </c>
      <c r="D69" s="1" t="str">
        <f>"57. FRANCISCO ORREGO BAUZA (H)"</f>
        <v>57. FRANCISCO ORREGO BAUZA (H)</v>
      </c>
      <c r="E69" s="1" t="str">
        <f>"IND"</f>
        <v>IND</v>
      </c>
      <c r="F69" s="1" t="str">
        <f>"636"</f>
        <v>636</v>
      </c>
      <c r="G69" s="1">
        <v>1.1400000000000001</v>
      </c>
      <c r="H69" s="1">
        <v>0</v>
      </c>
    </row>
    <row r="70" spans="1:8" x14ac:dyDescent="0.3">
      <c r="A70" t="s">
        <v>8</v>
      </c>
      <c r="B70">
        <v>13132</v>
      </c>
      <c r="C70" s="1" t="str">
        <f t="shared" si="12"/>
        <v>CANDIDATURA INDEPENDIENTE</v>
      </c>
      <c r="E70" s="1" t="str">
        <f>""</f>
        <v/>
      </c>
      <c r="F70" s="1" t="str">
        <f>"151"</f>
        <v>151</v>
      </c>
      <c r="G70" s="1">
        <v>0.27</v>
      </c>
      <c r="H70" s="1"/>
    </row>
    <row r="71" spans="1:8" x14ac:dyDescent="0.3">
      <c r="A71" t="s">
        <v>8</v>
      </c>
      <c r="B71">
        <v>13132</v>
      </c>
      <c r="C71" s="1" t="str">
        <f t="shared" si="12"/>
        <v>CANDIDATURA INDEPENDIENTE</v>
      </c>
      <c r="D71" s="1" t="str">
        <f>"58. DIEGO BRAVO MORALES (H)"</f>
        <v>58. DIEGO BRAVO MORALES (H)</v>
      </c>
      <c r="E71" s="1" t="str">
        <f>"IND"</f>
        <v>IND</v>
      </c>
      <c r="F71" s="1" t="str">
        <f>"151"</f>
        <v>151</v>
      </c>
      <c r="G71" s="1">
        <v>0.27</v>
      </c>
      <c r="H71" s="1">
        <v>0</v>
      </c>
    </row>
    <row r="72" spans="1:8" x14ac:dyDescent="0.3">
      <c r="A72" t="s">
        <v>8</v>
      </c>
      <c r="B72">
        <v>13132</v>
      </c>
      <c r="C72" s="1" t="str">
        <f t="shared" si="12"/>
        <v>CANDIDATURA INDEPENDIENTE</v>
      </c>
      <c r="E72" s="1" t="str">
        <f>""</f>
        <v/>
      </c>
      <c r="F72" s="1" t="str">
        <f>"1.457"</f>
        <v>1.457</v>
      </c>
      <c r="G72" s="1">
        <v>2.6100000000000003</v>
      </c>
      <c r="H72" s="1"/>
    </row>
    <row r="73" spans="1:8" x14ac:dyDescent="0.3">
      <c r="A73" t="s">
        <v>8</v>
      </c>
      <c r="B73">
        <v>13132</v>
      </c>
      <c r="C73" s="1" t="str">
        <f t="shared" si="12"/>
        <v>CANDIDATURA INDEPENDIENTE</v>
      </c>
      <c r="D73" s="1" t="str">
        <f>"59. HENRY BOYS LOEB (H)"</f>
        <v>59. HENRY BOYS LOEB (H)</v>
      </c>
      <c r="E73" s="1" t="str">
        <f>"IND"</f>
        <v>IND</v>
      </c>
      <c r="F73" s="1" t="str">
        <f>"1.457"</f>
        <v>1.457</v>
      </c>
      <c r="G73" s="1">
        <v>2.6100000000000003</v>
      </c>
      <c r="H73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2021-06-10T19:14:28Z</dcterms:created>
  <dcterms:modified xsi:type="dcterms:W3CDTF">2021-06-10T19:14:29Z</dcterms:modified>
</cp:coreProperties>
</file>